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2EF061E-4086-4FA0-8E89-D644CF5C0E47}" xr6:coauthVersionLast="47" xr6:coauthVersionMax="47" xr10:uidLastSave="{00000000-0000-0000-0000-000000000000}"/>
  <bookViews>
    <workbookView xWindow="-120" yWindow="-120" windowWidth="20730" windowHeight="11160" xr2:uid="{03BD61A0-D359-4E31-8375-7952E7AD43C1}"/>
  </bookViews>
  <sheets>
    <sheet name="References" sheetId="3" r:id="rId1"/>
    <sheet name=" Price Out" sheetId="1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N12" i="1" l="1"/>
  <c r="N5" i="1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" i="1"/>
  <c r="N4" i="1"/>
  <c r="G5" i="1"/>
  <c r="N3" i="1"/>
  <c r="N21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26" i="1"/>
  <c r="N25" i="1"/>
  <c r="N23" i="1" l="1"/>
  <c r="D73" i="3"/>
  <c r="E72" i="3"/>
  <c r="E71" i="3"/>
  <c r="E25" i="1"/>
  <c r="D88" i="1"/>
  <c r="D87" i="1"/>
  <c r="E87" i="1" s="1"/>
  <c r="G87" i="1" s="1"/>
  <c r="D86" i="1"/>
  <c r="D85" i="1"/>
  <c r="D84" i="1"/>
  <c r="D83" i="1"/>
  <c r="D82" i="1"/>
  <c r="D81" i="1"/>
  <c r="D78" i="1"/>
  <c r="E78" i="1" s="1"/>
  <c r="G78" i="1" s="1"/>
  <c r="D76" i="1"/>
  <c r="E76" i="1" s="1"/>
  <c r="G76" i="1" s="1"/>
  <c r="D74" i="1"/>
  <c r="E74" i="1" s="1"/>
  <c r="G74" i="1" s="1"/>
  <c r="D73" i="1"/>
  <c r="E73" i="1" s="1"/>
  <c r="G73" i="1" s="1"/>
  <c r="D72" i="1"/>
  <c r="D71" i="1"/>
  <c r="D69" i="1"/>
  <c r="E69" i="1" s="1"/>
  <c r="G69" i="1" s="1"/>
  <c r="D68" i="1"/>
  <c r="E68" i="1" s="1"/>
  <c r="G68" i="1" s="1"/>
  <c r="D66" i="1"/>
  <c r="D65" i="1"/>
  <c r="E65" i="1" s="1"/>
  <c r="G65" i="1" s="1"/>
  <c r="D64" i="1"/>
  <c r="D63" i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D57" i="1"/>
  <c r="D56" i="1"/>
  <c r="D55" i="1"/>
  <c r="E57" i="1"/>
  <c r="G57" i="1" s="1"/>
  <c r="E56" i="1"/>
  <c r="G56" i="1" s="1"/>
  <c r="E53" i="1"/>
  <c r="D52" i="1"/>
  <c r="E52" i="1" s="1"/>
  <c r="G52" i="1" s="1"/>
  <c r="D51" i="1"/>
  <c r="E51" i="1" s="1"/>
  <c r="G51" i="1" s="1"/>
  <c r="E50" i="1"/>
  <c r="D49" i="1"/>
  <c r="E49" i="1" s="1"/>
  <c r="E46" i="1"/>
  <c r="D48" i="1"/>
  <c r="E48" i="1" s="1"/>
  <c r="G48" i="1" s="1"/>
  <c r="E47" i="1"/>
  <c r="D47" i="1"/>
  <c r="G47" i="1"/>
  <c r="D46" i="1"/>
  <c r="D45" i="1"/>
  <c r="D43" i="1"/>
  <c r="E43" i="1" s="1"/>
  <c r="G43" i="1" s="1"/>
  <c r="D41" i="1"/>
  <c r="E41" i="1" s="1"/>
  <c r="G41" i="1" s="1"/>
  <c r="D42" i="1"/>
  <c r="E42" i="1" s="1"/>
  <c r="G42" i="1" s="1"/>
  <c r="D44" i="1"/>
  <c r="E44" i="1" s="1"/>
  <c r="G44" i="1" s="1"/>
  <c r="D50" i="1"/>
  <c r="D53" i="1"/>
  <c r="D54" i="1"/>
  <c r="E55" i="1"/>
  <c r="G55" i="1" s="1"/>
  <c r="D58" i="1"/>
  <c r="E58" i="1" s="1"/>
  <c r="G58" i="1" s="1"/>
  <c r="D67" i="1"/>
  <c r="D70" i="1"/>
  <c r="D75" i="1"/>
  <c r="D77" i="1"/>
  <c r="D79" i="1"/>
  <c r="D80" i="1"/>
  <c r="E45" i="1"/>
  <c r="E54" i="1"/>
  <c r="E63" i="1"/>
  <c r="E64" i="1"/>
  <c r="E66" i="1"/>
  <c r="G66" i="1" s="1"/>
  <c r="E67" i="1"/>
  <c r="E70" i="1"/>
  <c r="E71" i="1"/>
  <c r="E72" i="1"/>
  <c r="E75" i="1"/>
  <c r="E77" i="1"/>
  <c r="E79" i="1"/>
  <c r="E80" i="1"/>
  <c r="E81" i="1"/>
  <c r="E82" i="1"/>
  <c r="E83" i="1"/>
  <c r="E84" i="1"/>
  <c r="E85" i="1"/>
  <c r="E86" i="1"/>
  <c r="E88" i="1"/>
  <c r="E89" i="1"/>
  <c r="E90" i="1"/>
  <c r="E40" i="1"/>
  <c r="D40" i="1"/>
  <c r="D39" i="1"/>
  <c r="E38" i="1"/>
  <c r="D38" i="1"/>
  <c r="E30" i="1"/>
  <c r="N30" i="1" s="1"/>
  <c r="C114" i="1"/>
  <c r="C115" i="1" s="1"/>
  <c r="G26" i="1"/>
  <c r="G27" i="1"/>
  <c r="G28" i="1"/>
  <c r="G29" i="1"/>
  <c r="G31" i="1"/>
  <c r="G32" i="1"/>
  <c r="G33" i="1"/>
  <c r="G34" i="1"/>
  <c r="G35" i="1"/>
  <c r="G36" i="1"/>
  <c r="G37" i="1"/>
  <c r="G39" i="1"/>
  <c r="G45" i="1"/>
  <c r="G54" i="1"/>
  <c r="G63" i="1"/>
  <c r="G64" i="1"/>
  <c r="G67" i="1"/>
  <c r="G70" i="1"/>
  <c r="G71" i="1"/>
  <c r="G72" i="1"/>
  <c r="G75" i="1"/>
  <c r="G77" i="1"/>
  <c r="G79" i="1"/>
  <c r="G80" i="1"/>
  <c r="G81" i="1"/>
  <c r="G82" i="1"/>
  <c r="G83" i="1"/>
  <c r="G84" i="1"/>
  <c r="G85" i="1"/>
  <c r="G86" i="1"/>
  <c r="G88" i="1"/>
  <c r="G89" i="1"/>
  <c r="G90" i="1"/>
  <c r="G3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39" i="1"/>
  <c r="E26" i="1"/>
  <c r="E27" i="1"/>
  <c r="E28" i="1"/>
  <c r="E29" i="1"/>
  <c r="E31" i="1"/>
  <c r="E32" i="1"/>
  <c r="E33" i="1"/>
  <c r="E34" i="1"/>
  <c r="E35" i="1"/>
  <c r="E36" i="1"/>
  <c r="E37" i="1"/>
  <c r="E23" i="1"/>
  <c r="D7" i="1"/>
  <c r="D8" i="1"/>
  <c r="E8" i="1" s="1"/>
  <c r="D9" i="1"/>
  <c r="D11" i="1"/>
  <c r="E11" i="1" s="1"/>
  <c r="D10" i="1"/>
  <c r="E10" i="1" s="1"/>
  <c r="D13" i="1"/>
  <c r="E13" i="1" s="1"/>
  <c r="D14" i="1"/>
  <c r="D15" i="1"/>
  <c r="E15" i="1" s="1"/>
  <c r="D17" i="1"/>
  <c r="E17" i="1" s="1"/>
  <c r="D18" i="1"/>
  <c r="E18" i="1" s="1"/>
  <c r="D20" i="1"/>
  <c r="D37" i="1"/>
  <c r="D36" i="1"/>
  <c r="D35" i="1"/>
  <c r="D34" i="1"/>
  <c r="D33" i="1"/>
  <c r="D32" i="1"/>
  <c r="D31" i="1"/>
  <c r="D29" i="1"/>
  <c r="D28" i="1"/>
  <c r="D27" i="1"/>
  <c r="D26" i="1"/>
  <c r="D25" i="1"/>
  <c r="G22" i="1"/>
  <c r="E3" i="1"/>
  <c r="E4" i="1"/>
  <c r="E5" i="1"/>
  <c r="E6" i="1"/>
  <c r="E7" i="1"/>
  <c r="E9" i="1"/>
  <c r="E12" i="1"/>
  <c r="E14" i="1"/>
  <c r="E16" i="1"/>
  <c r="E19" i="1"/>
  <c r="E20" i="1"/>
  <c r="E2" i="1"/>
  <c r="D89" i="1"/>
  <c r="D90" i="1"/>
  <c r="D21" i="1"/>
  <c r="D5" i="1"/>
  <c r="D6" i="1"/>
  <c r="D12" i="1"/>
  <c r="D16" i="1"/>
  <c r="D19" i="1"/>
  <c r="D4" i="1"/>
  <c r="D3" i="1"/>
  <c r="D2" i="1"/>
  <c r="C23" i="1"/>
  <c r="C92" i="1" s="1"/>
  <c r="C91" i="1"/>
  <c r="F90" i="1"/>
  <c r="F89" i="1"/>
  <c r="F88" i="1"/>
  <c r="F87" i="1"/>
  <c r="F83" i="1"/>
  <c r="F82" i="1"/>
  <c r="F81" i="1"/>
  <c r="F86" i="1"/>
  <c r="F85" i="1"/>
  <c r="F84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1" i="1"/>
  <c r="F5" i="1"/>
  <c r="F4" i="1"/>
  <c r="F3" i="1"/>
  <c r="F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06" i="1"/>
  <c r="F107" i="1"/>
  <c r="F108" i="1"/>
  <c r="F109" i="1"/>
  <c r="F110" i="1"/>
  <c r="F111" i="1"/>
  <c r="F105" i="1"/>
  <c r="F99" i="1"/>
  <c r="F100" i="1"/>
  <c r="F101" i="1"/>
  <c r="F102" i="1"/>
  <c r="F103" i="1"/>
  <c r="F104" i="1"/>
  <c r="F98" i="1"/>
  <c r="F97" i="1"/>
  <c r="F96" i="1"/>
  <c r="F95" i="1"/>
  <c r="F94" i="1"/>
  <c r="E112" i="1"/>
  <c r="C60" i="3"/>
  <c r="B60" i="3"/>
  <c r="B54" i="3"/>
  <c r="C58" i="3" s="1"/>
  <c r="C53" i="3"/>
  <c r="C52" i="3"/>
  <c r="B49" i="3"/>
  <c r="B58" i="3" s="1"/>
  <c r="B59" i="3" s="1"/>
  <c r="G48" i="3"/>
  <c r="C48" i="3"/>
  <c r="G47" i="3"/>
  <c r="G50" i="3" s="1"/>
  <c r="G53" i="3" s="1"/>
  <c r="C47" i="3"/>
  <c r="B9" i="3"/>
  <c r="E9" i="3" s="1"/>
  <c r="G8" i="3"/>
  <c r="E8" i="3"/>
  <c r="C8" i="3"/>
  <c r="B8" i="3"/>
  <c r="H8" i="3" s="1"/>
  <c r="H7" i="3"/>
  <c r="D7" i="3"/>
  <c r="B7" i="3"/>
  <c r="G7" i="3" s="1"/>
  <c r="G6" i="3"/>
  <c r="E6" i="3"/>
  <c r="C6" i="3"/>
  <c r="B6" i="3"/>
  <c r="F6" i="3" s="1"/>
  <c r="B5" i="3"/>
  <c r="E5" i="3" s="1"/>
  <c r="G4" i="3"/>
  <c r="E4" i="3"/>
  <c r="C4" i="3"/>
  <c r="B4" i="3"/>
  <c r="H4" i="3" s="1"/>
  <c r="H3" i="3"/>
  <c r="D3" i="3"/>
  <c r="B3" i="3"/>
  <c r="G3" i="3" s="1"/>
  <c r="C49" i="3" l="1"/>
  <c r="F72" i="3" s="1"/>
  <c r="G72" i="3" s="1"/>
  <c r="C54" i="3"/>
  <c r="F71" i="3" s="1"/>
  <c r="G71" i="3" s="1"/>
  <c r="B55" i="3"/>
  <c r="G30" i="1"/>
  <c r="G53" i="1"/>
  <c r="G50" i="1"/>
  <c r="G49" i="1"/>
  <c r="G46" i="1"/>
  <c r="G40" i="1"/>
  <c r="G38" i="1"/>
  <c r="E91" i="1"/>
  <c r="E92" i="1" s="1"/>
  <c r="G23" i="1"/>
  <c r="F112" i="1"/>
  <c r="B61" i="3"/>
  <c r="C59" i="3"/>
  <c r="C61" i="3" s="1"/>
  <c r="F5" i="3"/>
  <c r="E3" i="3"/>
  <c r="F4" i="3"/>
  <c r="C5" i="3"/>
  <c r="G5" i="3"/>
  <c r="D6" i="3"/>
  <c r="H6" i="3"/>
  <c r="E7" i="3"/>
  <c r="F8" i="3"/>
  <c r="C9" i="3"/>
  <c r="G9" i="3"/>
  <c r="B50" i="3"/>
  <c r="F3" i="3"/>
  <c r="D5" i="3"/>
  <c r="H5" i="3"/>
  <c r="F7" i="3"/>
  <c r="D9" i="3"/>
  <c r="H9" i="3"/>
  <c r="F9" i="3"/>
  <c r="C3" i="3"/>
  <c r="D4" i="3"/>
  <c r="C7" i="3"/>
  <c r="D8" i="3"/>
  <c r="G73" i="3" l="1"/>
  <c r="E61" i="3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94" i="1"/>
  <c r="N91" i="1"/>
  <c r="N92" i="1" s="1"/>
  <c r="G95" i="1" l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94" i="1"/>
  <c r="G112" i="1" l="1"/>
  <c r="G2" i="1" l="1"/>
  <c r="G25" i="1"/>
  <c r="G91" i="1" l="1"/>
  <c r="G92" i="1" s="1"/>
  <c r="C116" i="1" s="1"/>
  <c r="C117" i="1" s="1"/>
  <c r="H110" i="1" l="1"/>
  <c r="I110" i="1" s="1"/>
  <c r="J110" i="1" s="1"/>
  <c r="K110" i="1" s="1"/>
  <c r="M110" i="1" s="1"/>
  <c r="O110" i="1" s="1"/>
  <c r="P110" i="1" s="1"/>
  <c r="H40" i="1"/>
  <c r="I40" i="1" s="1"/>
  <c r="J40" i="1" s="1"/>
  <c r="K40" i="1" s="1"/>
  <c r="M40" i="1" s="1"/>
  <c r="H56" i="1"/>
  <c r="I56" i="1" s="1"/>
  <c r="J56" i="1" s="1"/>
  <c r="K56" i="1" s="1"/>
  <c r="M56" i="1" s="1"/>
  <c r="H72" i="1"/>
  <c r="I72" i="1" s="1"/>
  <c r="J72" i="1" s="1"/>
  <c r="K72" i="1" s="1"/>
  <c r="M72" i="1" s="1"/>
  <c r="H99" i="1"/>
  <c r="I99" i="1" s="1"/>
  <c r="J99" i="1" s="1"/>
  <c r="K99" i="1" s="1"/>
  <c r="M99" i="1" s="1"/>
  <c r="O99" i="1" s="1"/>
  <c r="P99" i="1" s="1"/>
  <c r="H29" i="1"/>
  <c r="I29" i="1" s="1"/>
  <c r="J29" i="1" s="1"/>
  <c r="K29" i="1" s="1"/>
  <c r="M29" i="1" s="1"/>
  <c r="H45" i="1"/>
  <c r="I45" i="1" s="1"/>
  <c r="J45" i="1" s="1"/>
  <c r="K45" i="1" s="1"/>
  <c r="M45" i="1" s="1"/>
  <c r="H100" i="1"/>
  <c r="I100" i="1" s="1"/>
  <c r="J100" i="1" s="1"/>
  <c r="K100" i="1" s="1"/>
  <c r="M100" i="1" s="1"/>
  <c r="O100" i="1" s="1"/>
  <c r="P100" i="1" s="1"/>
  <c r="H26" i="1"/>
  <c r="I26" i="1" s="1"/>
  <c r="J26" i="1" s="1"/>
  <c r="K26" i="1" s="1"/>
  <c r="M26" i="1" s="1"/>
  <c r="H42" i="1"/>
  <c r="I42" i="1" s="1"/>
  <c r="J42" i="1" s="1"/>
  <c r="K42" i="1" s="1"/>
  <c r="M42" i="1" s="1"/>
  <c r="H109" i="1"/>
  <c r="I109" i="1" s="1"/>
  <c r="J109" i="1" s="1"/>
  <c r="K109" i="1" s="1"/>
  <c r="M109" i="1" s="1"/>
  <c r="O109" i="1" s="1"/>
  <c r="P109" i="1" s="1"/>
  <c r="H62" i="1"/>
  <c r="I62" i="1" s="1"/>
  <c r="J62" i="1" s="1"/>
  <c r="K62" i="1" s="1"/>
  <c r="M62" i="1" s="1"/>
  <c r="H83" i="1"/>
  <c r="I83" i="1" s="1"/>
  <c r="J83" i="1" s="1"/>
  <c r="K83" i="1" s="1"/>
  <c r="M83" i="1" s="1"/>
  <c r="H8" i="1"/>
  <c r="I8" i="1" s="1"/>
  <c r="J8" i="1" s="1"/>
  <c r="K8" i="1" s="1"/>
  <c r="H97" i="1"/>
  <c r="I97" i="1" s="1"/>
  <c r="J97" i="1" s="1"/>
  <c r="K97" i="1" s="1"/>
  <c r="M97" i="1" s="1"/>
  <c r="O97" i="1" s="1"/>
  <c r="P97" i="1" s="1"/>
  <c r="H63" i="1"/>
  <c r="I63" i="1" s="1"/>
  <c r="J63" i="1" s="1"/>
  <c r="K63" i="1" s="1"/>
  <c r="M63" i="1" s="1"/>
  <c r="H84" i="1"/>
  <c r="I84" i="1" s="1"/>
  <c r="J84" i="1" s="1"/>
  <c r="K84" i="1" s="1"/>
  <c r="M84" i="1" s="1"/>
  <c r="H13" i="1"/>
  <c r="I13" i="1" s="1"/>
  <c r="J13" i="1" s="1"/>
  <c r="K13" i="1" s="1"/>
  <c r="H66" i="1"/>
  <c r="I66" i="1" s="1"/>
  <c r="J66" i="1" s="1"/>
  <c r="K66" i="1" s="1"/>
  <c r="M66" i="1" s="1"/>
  <c r="H7" i="1"/>
  <c r="I7" i="1" s="1"/>
  <c r="J7" i="1" s="1"/>
  <c r="K7" i="1" s="1"/>
  <c r="H51" i="1"/>
  <c r="I51" i="1" s="1"/>
  <c r="J51" i="1" s="1"/>
  <c r="K51" i="1" s="1"/>
  <c r="M51" i="1" s="1"/>
  <c r="H75" i="1"/>
  <c r="I75" i="1" s="1"/>
  <c r="J75" i="1" s="1"/>
  <c r="K75" i="1" s="1"/>
  <c r="M75" i="1" s="1"/>
  <c r="H2" i="1"/>
  <c r="H18" i="1"/>
  <c r="I18" i="1" s="1"/>
  <c r="J18" i="1" s="1"/>
  <c r="H71" i="1"/>
  <c r="I71" i="1" s="1"/>
  <c r="J71" i="1" s="1"/>
  <c r="K71" i="1" s="1"/>
  <c r="M71" i="1" s="1"/>
  <c r="H19" i="1"/>
  <c r="I19" i="1" s="1"/>
  <c r="J19" i="1" s="1"/>
  <c r="H54" i="1"/>
  <c r="I54" i="1" s="1"/>
  <c r="J54" i="1" s="1"/>
  <c r="K54" i="1" s="1"/>
  <c r="M54" i="1" s="1"/>
  <c r="H20" i="1"/>
  <c r="I20" i="1" s="1"/>
  <c r="J20" i="1" s="1"/>
  <c r="H9" i="1"/>
  <c r="I9" i="1" s="1"/>
  <c r="J9" i="1" s="1"/>
  <c r="K9" i="1" s="1"/>
  <c r="M9" i="1" s="1"/>
  <c r="H55" i="1"/>
  <c r="I55" i="1" s="1"/>
  <c r="J55" i="1" s="1"/>
  <c r="K55" i="1" s="1"/>
  <c r="M55" i="1" s="1"/>
  <c r="H70" i="1"/>
  <c r="I70" i="1" s="1"/>
  <c r="J70" i="1" s="1"/>
  <c r="K70" i="1" s="1"/>
  <c r="M70" i="1" s="1"/>
  <c r="H14" i="1"/>
  <c r="I14" i="1" s="1"/>
  <c r="J14" i="1" s="1"/>
  <c r="K14" i="1" s="1"/>
  <c r="H98" i="1"/>
  <c r="I98" i="1" s="1"/>
  <c r="J98" i="1" s="1"/>
  <c r="K98" i="1" s="1"/>
  <c r="M98" i="1" s="1"/>
  <c r="O98" i="1" s="1"/>
  <c r="P98" i="1" s="1"/>
  <c r="H28" i="1"/>
  <c r="I28" i="1" s="1"/>
  <c r="J28" i="1" s="1"/>
  <c r="K28" i="1" s="1"/>
  <c r="M28" i="1" s="1"/>
  <c r="H44" i="1"/>
  <c r="I44" i="1" s="1"/>
  <c r="J44" i="1" s="1"/>
  <c r="K44" i="1" s="1"/>
  <c r="M44" i="1" s="1"/>
  <c r="H60" i="1"/>
  <c r="I60" i="1" s="1"/>
  <c r="J60" i="1" s="1"/>
  <c r="K60" i="1" s="1"/>
  <c r="M60" i="1" s="1"/>
  <c r="H76" i="1"/>
  <c r="I76" i="1" s="1"/>
  <c r="J76" i="1" s="1"/>
  <c r="K76" i="1" s="1"/>
  <c r="M76" i="1" s="1"/>
  <c r="H103" i="1"/>
  <c r="I103" i="1" s="1"/>
  <c r="J103" i="1" s="1"/>
  <c r="K103" i="1" s="1"/>
  <c r="M103" i="1" s="1"/>
  <c r="O103" i="1" s="1"/>
  <c r="P103" i="1" s="1"/>
  <c r="H33" i="1"/>
  <c r="I33" i="1" s="1"/>
  <c r="J33" i="1" s="1"/>
  <c r="K33" i="1" s="1"/>
  <c r="M33" i="1" s="1"/>
  <c r="H49" i="1"/>
  <c r="I49" i="1" s="1"/>
  <c r="J49" i="1" s="1"/>
  <c r="K49" i="1" s="1"/>
  <c r="M49" i="1" s="1"/>
  <c r="H104" i="1"/>
  <c r="I104" i="1" s="1"/>
  <c r="J104" i="1" s="1"/>
  <c r="K104" i="1" s="1"/>
  <c r="M104" i="1" s="1"/>
  <c r="O104" i="1" s="1"/>
  <c r="P104" i="1" s="1"/>
  <c r="H30" i="1"/>
  <c r="I30" i="1" s="1"/>
  <c r="J30" i="1" s="1"/>
  <c r="K30" i="1" s="1"/>
  <c r="M30" i="1" s="1"/>
  <c r="H46" i="1"/>
  <c r="I46" i="1" s="1"/>
  <c r="J46" i="1" s="1"/>
  <c r="K46" i="1" s="1"/>
  <c r="M46" i="1" s="1"/>
  <c r="H27" i="1"/>
  <c r="I27" i="1" s="1"/>
  <c r="J27" i="1" s="1"/>
  <c r="K27" i="1" s="1"/>
  <c r="M27" i="1" s="1"/>
  <c r="H67" i="1"/>
  <c r="I67" i="1" s="1"/>
  <c r="J67" i="1" s="1"/>
  <c r="K67" i="1" s="1"/>
  <c r="M67" i="1" s="1"/>
  <c r="H87" i="1"/>
  <c r="I87" i="1" s="1"/>
  <c r="J87" i="1" s="1"/>
  <c r="K87" i="1" s="1"/>
  <c r="M87" i="1" s="1"/>
  <c r="H12" i="1"/>
  <c r="I12" i="1" s="1"/>
  <c r="J12" i="1" s="1"/>
  <c r="K12" i="1" s="1"/>
  <c r="H31" i="1"/>
  <c r="I31" i="1" s="1"/>
  <c r="J31" i="1" s="1"/>
  <c r="K31" i="1" s="1"/>
  <c r="M31" i="1" s="1"/>
  <c r="H69" i="1"/>
  <c r="I69" i="1" s="1"/>
  <c r="J69" i="1" s="1"/>
  <c r="K69" i="1" s="1"/>
  <c r="M69" i="1" s="1"/>
  <c r="H88" i="1"/>
  <c r="I88" i="1" s="1"/>
  <c r="J88" i="1" s="1"/>
  <c r="K88" i="1" s="1"/>
  <c r="M88" i="1" s="1"/>
  <c r="H17" i="1"/>
  <c r="I17" i="1" s="1"/>
  <c r="J17" i="1" s="1"/>
  <c r="K17" i="1" s="1"/>
  <c r="H77" i="1"/>
  <c r="I77" i="1" s="1"/>
  <c r="J77" i="1" s="1"/>
  <c r="K77" i="1" s="1"/>
  <c r="M77" i="1" s="1"/>
  <c r="H15" i="1"/>
  <c r="I15" i="1" s="1"/>
  <c r="J15" i="1" s="1"/>
  <c r="K15" i="1" s="1"/>
  <c r="H59" i="1"/>
  <c r="I59" i="1" s="1"/>
  <c r="J59" i="1" s="1"/>
  <c r="K59" i="1" s="1"/>
  <c r="M59" i="1" s="1"/>
  <c r="H81" i="1"/>
  <c r="I81" i="1" s="1"/>
  <c r="J81" i="1" s="1"/>
  <c r="K81" i="1" s="1"/>
  <c r="M81" i="1" s="1"/>
  <c r="H6" i="1"/>
  <c r="I6" i="1" s="1"/>
  <c r="J6" i="1" s="1"/>
  <c r="H105" i="1"/>
  <c r="I105" i="1" s="1"/>
  <c r="J105" i="1" s="1"/>
  <c r="K105" i="1" s="1"/>
  <c r="M105" i="1" s="1"/>
  <c r="O105" i="1" s="1"/>
  <c r="P105" i="1" s="1"/>
  <c r="H82" i="1"/>
  <c r="I82" i="1" s="1"/>
  <c r="J82" i="1" s="1"/>
  <c r="K82" i="1" s="1"/>
  <c r="M82" i="1" s="1"/>
  <c r="H57" i="1"/>
  <c r="I57" i="1" s="1"/>
  <c r="J57" i="1" s="1"/>
  <c r="K57" i="1" s="1"/>
  <c r="M57" i="1" s="1"/>
  <c r="H79" i="1"/>
  <c r="I79" i="1" s="1"/>
  <c r="J79" i="1" s="1"/>
  <c r="K79" i="1" s="1"/>
  <c r="M79" i="1" s="1"/>
  <c r="H35" i="1"/>
  <c r="I35" i="1" s="1"/>
  <c r="J35" i="1" s="1"/>
  <c r="K35" i="1" s="1"/>
  <c r="M35" i="1" s="1"/>
  <c r="H11" i="1"/>
  <c r="I11" i="1" s="1"/>
  <c r="J11" i="1" s="1"/>
  <c r="K11" i="1" s="1"/>
  <c r="H102" i="1"/>
  <c r="I102" i="1" s="1"/>
  <c r="J102" i="1" s="1"/>
  <c r="K102" i="1" s="1"/>
  <c r="M102" i="1" s="1"/>
  <c r="O102" i="1" s="1"/>
  <c r="P102" i="1" s="1"/>
  <c r="H32" i="1"/>
  <c r="I32" i="1" s="1"/>
  <c r="J32" i="1" s="1"/>
  <c r="K32" i="1" s="1"/>
  <c r="M32" i="1" s="1"/>
  <c r="H48" i="1"/>
  <c r="I48" i="1" s="1"/>
  <c r="J48" i="1" s="1"/>
  <c r="K48" i="1" s="1"/>
  <c r="M48" i="1" s="1"/>
  <c r="H64" i="1"/>
  <c r="I64" i="1" s="1"/>
  <c r="J64" i="1" s="1"/>
  <c r="K64" i="1" s="1"/>
  <c r="M64" i="1" s="1"/>
  <c r="H80" i="1"/>
  <c r="I80" i="1" s="1"/>
  <c r="J80" i="1" s="1"/>
  <c r="K80" i="1" s="1"/>
  <c r="M80" i="1" s="1"/>
  <c r="H107" i="1"/>
  <c r="I107" i="1" s="1"/>
  <c r="J107" i="1" s="1"/>
  <c r="K107" i="1" s="1"/>
  <c r="M107" i="1" s="1"/>
  <c r="O107" i="1" s="1"/>
  <c r="P107" i="1" s="1"/>
  <c r="H37" i="1"/>
  <c r="I37" i="1" s="1"/>
  <c r="J37" i="1" s="1"/>
  <c r="K37" i="1" s="1"/>
  <c r="M37" i="1" s="1"/>
  <c r="H53" i="1"/>
  <c r="I53" i="1" s="1"/>
  <c r="J53" i="1" s="1"/>
  <c r="K53" i="1" s="1"/>
  <c r="M53" i="1" s="1"/>
  <c r="H108" i="1"/>
  <c r="I108" i="1" s="1"/>
  <c r="J108" i="1" s="1"/>
  <c r="K108" i="1" s="1"/>
  <c r="M108" i="1" s="1"/>
  <c r="O108" i="1" s="1"/>
  <c r="P108" i="1" s="1"/>
  <c r="H34" i="1"/>
  <c r="I34" i="1" s="1"/>
  <c r="J34" i="1" s="1"/>
  <c r="K34" i="1" s="1"/>
  <c r="M34" i="1" s="1"/>
  <c r="H50" i="1"/>
  <c r="I50" i="1" s="1"/>
  <c r="J50" i="1" s="1"/>
  <c r="K50" i="1" s="1"/>
  <c r="M50" i="1" s="1"/>
  <c r="H43" i="1"/>
  <c r="I43" i="1" s="1"/>
  <c r="J43" i="1" s="1"/>
  <c r="K43" i="1" s="1"/>
  <c r="M43" i="1" s="1"/>
  <c r="H73" i="1"/>
  <c r="I73" i="1" s="1"/>
  <c r="J73" i="1" s="1"/>
  <c r="K73" i="1" s="1"/>
  <c r="M73" i="1" s="1"/>
  <c r="H25" i="1"/>
  <c r="H16" i="1"/>
  <c r="I16" i="1" s="1"/>
  <c r="J16" i="1" s="1"/>
  <c r="K16" i="1" s="1"/>
  <c r="H47" i="1"/>
  <c r="I47" i="1" s="1"/>
  <c r="J47" i="1" s="1"/>
  <c r="K47" i="1" s="1"/>
  <c r="M47" i="1" s="1"/>
  <c r="H74" i="1"/>
  <c r="I74" i="1" s="1"/>
  <c r="J74" i="1" s="1"/>
  <c r="K74" i="1" s="1"/>
  <c r="M74" i="1" s="1"/>
  <c r="H5" i="1"/>
  <c r="I5" i="1" s="1"/>
  <c r="J5" i="1" s="1"/>
  <c r="K5" i="1" s="1"/>
  <c r="H21" i="1"/>
  <c r="I21" i="1" s="1"/>
  <c r="J21" i="1" s="1"/>
  <c r="K21" i="1" s="1"/>
  <c r="M21" i="1" s="1"/>
  <c r="H86" i="1"/>
  <c r="I86" i="1" s="1"/>
  <c r="J86" i="1" s="1"/>
  <c r="K86" i="1" s="1"/>
  <c r="M86" i="1" s="1"/>
  <c r="H101" i="1"/>
  <c r="I101" i="1" s="1"/>
  <c r="J101" i="1" s="1"/>
  <c r="K101" i="1" s="1"/>
  <c r="M101" i="1" s="1"/>
  <c r="O101" i="1" s="1"/>
  <c r="P101" i="1" s="1"/>
  <c r="H65" i="1"/>
  <c r="I65" i="1" s="1"/>
  <c r="J65" i="1" s="1"/>
  <c r="K65" i="1" s="1"/>
  <c r="M65" i="1" s="1"/>
  <c r="H85" i="1"/>
  <c r="I85" i="1" s="1"/>
  <c r="J85" i="1" s="1"/>
  <c r="K85" i="1" s="1"/>
  <c r="M85" i="1" s="1"/>
  <c r="H10" i="1"/>
  <c r="I10" i="1" s="1"/>
  <c r="J10" i="1" s="1"/>
  <c r="K10" i="1" s="1"/>
  <c r="H39" i="1"/>
  <c r="I39" i="1" s="1"/>
  <c r="J39" i="1" s="1"/>
  <c r="K39" i="1" s="1"/>
  <c r="M39" i="1" s="1"/>
  <c r="H90" i="1"/>
  <c r="I90" i="1" s="1"/>
  <c r="J90" i="1" s="1"/>
  <c r="K90" i="1" s="1"/>
  <c r="M90" i="1" s="1"/>
  <c r="S90" i="1" s="1"/>
  <c r="H106" i="1"/>
  <c r="I106" i="1" s="1"/>
  <c r="J106" i="1" s="1"/>
  <c r="K106" i="1" s="1"/>
  <c r="M106" i="1" s="1"/>
  <c r="O106" i="1" s="1"/>
  <c r="P106" i="1" s="1"/>
  <c r="H36" i="1"/>
  <c r="I36" i="1" s="1"/>
  <c r="J36" i="1" s="1"/>
  <c r="K36" i="1" s="1"/>
  <c r="M36" i="1" s="1"/>
  <c r="H52" i="1"/>
  <c r="I52" i="1" s="1"/>
  <c r="J52" i="1" s="1"/>
  <c r="K52" i="1" s="1"/>
  <c r="M52" i="1" s="1"/>
  <c r="H68" i="1"/>
  <c r="I68" i="1" s="1"/>
  <c r="J68" i="1" s="1"/>
  <c r="K68" i="1" s="1"/>
  <c r="M68" i="1" s="1"/>
  <c r="H95" i="1"/>
  <c r="I95" i="1" s="1"/>
  <c r="J95" i="1" s="1"/>
  <c r="K95" i="1" s="1"/>
  <c r="M95" i="1" s="1"/>
  <c r="O95" i="1" s="1"/>
  <c r="P95" i="1" s="1"/>
  <c r="H111" i="1"/>
  <c r="I111" i="1" s="1"/>
  <c r="J111" i="1" s="1"/>
  <c r="K111" i="1" s="1"/>
  <c r="M111" i="1" s="1"/>
  <c r="O111" i="1" s="1"/>
  <c r="P111" i="1" s="1"/>
  <c r="H41" i="1"/>
  <c r="I41" i="1" s="1"/>
  <c r="J41" i="1" s="1"/>
  <c r="K41" i="1" s="1"/>
  <c r="M41" i="1" s="1"/>
  <c r="H96" i="1"/>
  <c r="I96" i="1" s="1"/>
  <c r="J96" i="1" s="1"/>
  <c r="K96" i="1" s="1"/>
  <c r="M96" i="1" s="1"/>
  <c r="O96" i="1" s="1"/>
  <c r="P96" i="1" s="1"/>
  <c r="H94" i="1"/>
  <c r="I94" i="1" s="1"/>
  <c r="J94" i="1" s="1"/>
  <c r="K94" i="1" s="1"/>
  <c r="M94" i="1" s="1"/>
  <c r="O94" i="1" s="1"/>
  <c r="P94" i="1" s="1"/>
  <c r="H38" i="1"/>
  <c r="I38" i="1" s="1"/>
  <c r="J38" i="1" s="1"/>
  <c r="K38" i="1" s="1"/>
  <c r="M38" i="1" s="1"/>
  <c r="H78" i="1"/>
  <c r="I78" i="1" s="1"/>
  <c r="J78" i="1" s="1"/>
  <c r="K78" i="1" s="1"/>
  <c r="M78" i="1" s="1"/>
  <c r="H4" i="1"/>
  <c r="I4" i="1" s="1"/>
  <c r="J4" i="1" s="1"/>
  <c r="K4" i="1" s="1"/>
  <c r="H58" i="1"/>
  <c r="I58" i="1" s="1"/>
  <c r="J58" i="1" s="1"/>
  <c r="K58" i="1" s="1"/>
  <c r="M58" i="1" s="1"/>
  <c r="H3" i="1"/>
  <c r="I3" i="1" s="1"/>
  <c r="J3" i="1" s="1"/>
  <c r="K3" i="1" s="1"/>
  <c r="H89" i="1"/>
  <c r="I89" i="1" s="1"/>
  <c r="J89" i="1" s="1"/>
  <c r="K89" i="1" s="1"/>
  <c r="M89" i="1" s="1"/>
  <c r="S89" i="1" s="1"/>
  <c r="H61" i="1"/>
  <c r="I61" i="1" s="1"/>
  <c r="J61" i="1" s="1"/>
  <c r="K61" i="1" s="1"/>
  <c r="M61" i="1" s="1"/>
  <c r="O26" i="1"/>
  <c r="P26" i="1" s="1"/>
  <c r="O89" i="1" l="1"/>
  <c r="P89" i="1" s="1"/>
  <c r="O41" i="1"/>
  <c r="P41" i="1" s="1"/>
  <c r="O73" i="1"/>
  <c r="P73" i="1" s="1"/>
  <c r="O80" i="1"/>
  <c r="P80" i="1" s="1"/>
  <c r="O57" i="1"/>
  <c r="P57" i="1" s="1"/>
  <c r="O81" i="1"/>
  <c r="P81" i="1" s="1"/>
  <c r="O45" i="1"/>
  <c r="P45" i="1" s="1"/>
  <c r="O47" i="1"/>
  <c r="P47" i="1" s="1"/>
  <c r="O43" i="1"/>
  <c r="P43" i="1" s="1"/>
  <c r="O64" i="1"/>
  <c r="P64" i="1" s="1"/>
  <c r="O82" i="1"/>
  <c r="P82" i="1" s="1"/>
  <c r="O59" i="1"/>
  <c r="P59" i="1" s="1"/>
  <c r="O87" i="1"/>
  <c r="P87" i="1" s="1"/>
  <c r="O55" i="1"/>
  <c r="P55" i="1" s="1"/>
  <c r="K19" i="1"/>
  <c r="M19" i="1" s="1"/>
  <c r="S19" i="1" s="1"/>
  <c r="O42" i="1"/>
  <c r="P42" i="1" s="1"/>
  <c r="O29" i="1"/>
  <c r="P29" i="1" s="1"/>
  <c r="O85" i="1"/>
  <c r="P85" i="1" s="1"/>
  <c r="O37" i="1"/>
  <c r="P37" i="1" s="1"/>
  <c r="O48" i="1"/>
  <c r="P48" i="1" s="1"/>
  <c r="O69" i="1"/>
  <c r="P69" i="1" s="1"/>
  <c r="O9" i="1"/>
  <c r="P9" i="1" s="1"/>
  <c r="O51" i="1"/>
  <c r="P51" i="1" s="1"/>
  <c r="O84" i="1"/>
  <c r="P84" i="1" s="1"/>
  <c r="O83" i="1"/>
  <c r="P83" i="1" s="1"/>
  <c r="O61" i="1"/>
  <c r="P61" i="1" s="1"/>
  <c r="O68" i="1"/>
  <c r="P68" i="1" s="1"/>
  <c r="O90" i="1"/>
  <c r="P90" i="1" s="1"/>
  <c r="O65" i="1"/>
  <c r="P65" i="1" s="1"/>
  <c r="O34" i="1"/>
  <c r="P34" i="1" s="1"/>
  <c r="O32" i="1"/>
  <c r="P32" i="1" s="1"/>
  <c r="O79" i="1"/>
  <c r="P79" i="1" s="1"/>
  <c r="K6" i="1"/>
  <c r="M6" i="1" s="1"/>
  <c r="O77" i="1"/>
  <c r="P77" i="1" s="1"/>
  <c r="O31" i="1"/>
  <c r="P31" i="1" s="1"/>
  <c r="O27" i="1"/>
  <c r="P27" i="1" s="1"/>
  <c r="O49" i="1"/>
  <c r="P49" i="1" s="1"/>
  <c r="O60" i="1"/>
  <c r="P60" i="1" s="1"/>
  <c r="K20" i="1"/>
  <c r="M20" i="1" s="1"/>
  <c r="K18" i="1"/>
  <c r="M18" i="1" s="1"/>
  <c r="O63" i="1"/>
  <c r="P63" i="1" s="1"/>
  <c r="O62" i="1"/>
  <c r="P62" i="1" s="1"/>
  <c r="O72" i="1"/>
  <c r="P72" i="1" s="1"/>
  <c r="O78" i="1"/>
  <c r="P78" i="1" s="1"/>
  <c r="O52" i="1"/>
  <c r="P52" i="1" s="1"/>
  <c r="O39" i="1"/>
  <c r="P39" i="1" s="1"/>
  <c r="O74" i="1"/>
  <c r="P74" i="1" s="1"/>
  <c r="O46" i="1"/>
  <c r="P46" i="1" s="1"/>
  <c r="O33" i="1"/>
  <c r="P33" i="1" s="1"/>
  <c r="O44" i="1"/>
  <c r="P44" i="1" s="1"/>
  <c r="O70" i="1"/>
  <c r="P70" i="1" s="1"/>
  <c r="O54" i="1"/>
  <c r="P54" i="1" s="1"/>
  <c r="O66" i="1"/>
  <c r="P66" i="1" s="1"/>
  <c r="O56" i="1"/>
  <c r="P56" i="1" s="1"/>
  <c r="O38" i="1"/>
  <c r="P38" i="1" s="1"/>
  <c r="O36" i="1"/>
  <c r="P36" i="1" s="1"/>
  <c r="O86" i="1"/>
  <c r="P86" i="1" s="1"/>
  <c r="O53" i="1"/>
  <c r="P53" i="1" s="1"/>
  <c r="O88" i="1"/>
  <c r="P88" i="1" s="1"/>
  <c r="O30" i="1"/>
  <c r="P30" i="1" s="1"/>
  <c r="O28" i="1"/>
  <c r="P28" i="1" s="1"/>
  <c r="O75" i="1"/>
  <c r="P75" i="1" s="1"/>
  <c r="O40" i="1"/>
  <c r="P40" i="1" s="1"/>
  <c r="O58" i="1"/>
  <c r="P58" i="1" s="1"/>
  <c r="O21" i="1"/>
  <c r="P21" i="1" s="1"/>
  <c r="O50" i="1"/>
  <c r="P50" i="1" s="1"/>
  <c r="O35" i="1"/>
  <c r="P35" i="1" s="1"/>
  <c r="O67" i="1"/>
  <c r="P67" i="1" s="1"/>
  <c r="O76" i="1"/>
  <c r="P76" i="1" s="1"/>
  <c r="O71" i="1"/>
  <c r="P71" i="1" s="1"/>
  <c r="P112" i="1"/>
  <c r="H91" i="1"/>
  <c r="I25" i="1"/>
  <c r="J25" i="1" s="1"/>
  <c r="K25" i="1" s="1"/>
  <c r="M25" i="1" s="1"/>
  <c r="S25" i="1" s="1"/>
  <c r="H23" i="1"/>
  <c r="H92" i="1" s="1"/>
  <c r="I2" i="1"/>
  <c r="J2" i="1" s="1"/>
  <c r="K2" i="1" s="1"/>
  <c r="M2" i="1" s="1"/>
  <c r="M11" i="1"/>
  <c r="M3" i="1"/>
  <c r="S3" i="1" s="1"/>
  <c r="M5" i="1"/>
  <c r="S5" i="1" s="1"/>
  <c r="M4" i="1"/>
  <c r="M8" i="1"/>
  <c r="M10" i="1"/>
  <c r="M17" i="1"/>
  <c r="M13" i="1"/>
  <c r="M14" i="1"/>
  <c r="M12" i="1"/>
  <c r="S12" i="1" s="1"/>
  <c r="M16" i="1"/>
  <c r="S16" i="1" s="1"/>
  <c r="M15" i="1"/>
  <c r="M7" i="1"/>
  <c r="O20" i="1" l="1"/>
  <c r="P20" i="1" s="1"/>
  <c r="O19" i="1"/>
  <c r="P19" i="1" s="1"/>
  <c r="O18" i="1"/>
  <c r="P18" i="1" s="1"/>
  <c r="O6" i="1"/>
  <c r="P6" i="1" s="1"/>
  <c r="O12" i="1"/>
  <c r="P12" i="1" s="1"/>
  <c r="O10" i="1"/>
  <c r="P10" i="1" s="1"/>
  <c r="O7" i="1"/>
  <c r="P7" i="1" s="1"/>
  <c r="O14" i="1"/>
  <c r="P14" i="1" s="1"/>
  <c r="O8" i="1"/>
  <c r="P8" i="1" s="1"/>
  <c r="O3" i="1"/>
  <c r="P3" i="1" s="1"/>
  <c r="O25" i="1"/>
  <c r="P25" i="1" s="1"/>
  <c r="P91" i="1" s="1"/>
  <c r="Q91" i="1" s="1"/>
  <c r="O15" i="1"/>
  <c r="P15" i="1" s="1"/>
  <c r="O13" i="1"/>
  <c r="P13" i="1" s="1"/>
  <c r="O4" i="1"/>
  <c r="P4" i="1" s="1"/>
  <c r="O11" i="1"/>
  <c r="P11" i="1" s="1"/>
  <c r="O16" i="1"/>
  <c r="P16" i="1" s="1"/>
  <c r="O17" i="1"/>
  <c r="P17" i="1" s="1"/>
  <c r="O5" i="1"/>
  <c r="P5" i="1" s="1"/>
  <c r="O2" i="1"/>
  <c r="O91" i="1"/>
  <c r="O23" i="1" l="1"/>
  <c r="O92" i="1" s="1"/>
  <c r="P2" i="1"/>
  <c r="P23" i="1" s="1"/>
  <c r="P92" i="1" l="1"/>
  <c r="Q92" i="1" s="1"/>
  <c r="Q23" i="1"/>
  <c r="B66" i="3"/>
  <c r="B67" i="3" s="1"/>
</calcChain>
</file>

<file path=xl/sharedStrings.xml><?xml version="1.0" encoding="utf-8"?>
<sst xmlns="http://schemas.openxmlformats.org/spreadsheetml/2006/main" count="251" uniqueCount="214">
  <si>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</si>
  <si>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</si>
  <si>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</si>
  <si>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</si>
  <si>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</si>
  <si>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</si>
  <si>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</si>
  <si>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</si>
  <si>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</si>
  <si>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Tariff</t>
  </si>
  <si>
    <t>Company Proposed Tariff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</si>
  <si>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</si>
  <si>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</si>
  <si>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</si>
  <si>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</si>
  <si>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</si>
  <si>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</si>
  <si>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</si>
  <si>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</si>
  <si>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</si>
  <si>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</si>
  <si>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</si>
  <si>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</si>
  <si>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</si>
  <si>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</si>
  <si>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</si>
  <si>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</si>
  <si>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</si>
  <si>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</si>
  <si>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</si>
  <si>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</si>
  <si>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</si>
  <si>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</si>
  <si>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</si>
  <si>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</si>
  <si>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</si>
  <si>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</si>
  <si>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</si>
  <si>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</si>
  <si>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</si>
  <si>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</si>
  <si>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</si>
  <si>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</si>
  <si>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</si>
  <si>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</si>
  <si>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</si>
  <si>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</si>
  <si>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</si>
  <si>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</si>
  <si>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</si>
  <si>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</si>
  <si>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</si>
  <si>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</si>
  <si>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</si>
  <si>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</si>
  <si>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</si>
  <si>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</si>
  <si>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</si>
  <si>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</si>
  <si>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</si>
  <si>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</si>
  <si>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</si>
  <si>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</si>
  <si>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</si>
  <si>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</si>
  <si>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</si>
  <si>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</si>
  <si>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</si>
  <si>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</si>
  <si>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</si>
  <si>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</si>
  <si>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</si>
  <si>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</si>
  <si>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</si>
  <si>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</si>
  <si>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</si>
  <si>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</si>
  <si>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</si>
  <si>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</si>
  <si>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</si>
  <si>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</si>
  <si>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</si>
  <si>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</si>
  <si>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Collected Revenue Excess/(Deficiency)</t>
  </si>
  <si>
    <t>Monthly Pickups</t>
  </si>
  <si>
    <t>Annual Frequency</t>
  </si>
  <si>
    <t>Meeks</t>
  </si>
  <si>
    <t>Non-Customers</t>
  </si>
  <si>
    <t>Current Rates</t>
  </si>
  <si>
    <t>Non-Customer Totals</t>
  </si>
  <si>
    <t>Ratio</t>
  </si>
  <si>
    <t>* not on meeks - calculated by staff</t>
  </si>
  <si>
    <t>WTE</t>
  </si>
  <si>
    <t>Valley &amp; Spokane TS</t>
  </si>
  <si>
    <t>Transfer Stations</t>
  </si>
  <si>
    <t>Revenue Inc from Co Proposed Rates</t>
  </si>
  <si>
    <t>Loose Materials (Company Load)</t>
  </si>
  <si>
    <t>Item 240 - 35 Gal Special Pickup</t>
  </si>
  <si>
    <t>Item 240 - 64 Gal Special Pickup</t>
  </si>
  <si>
    <t>Item 240 - 96 Gal Special Pickup</t>
  </si>
  <si>
    <t>Item 240 - 1 Yard Special Pickup</t>
  </si>
  <si>
    <t>Item 240 - 1.5 Yard Special Pickup</t>
  </si>
  <si>
    <t>Item 240 - 2 Yard Special Pickup</t>
  </si>
  <si>
    <t>Item 240 - 3 Yard Special Pickup</t>
  </si>
  <si>
    <t>Item 240 - 4 Yard Special Pickup</t>
  </si>
  <si>
    <t>Item 240 - 6 Yard Special Pickup</t>
  </si>
  <si>
    <t>Item 240 - 8 Yard Special Pickup</t>
  </si>
  <si>
    <t>Item 240 - 1 Yard Temp Service Pickup</t>
  </si>
  <si>
    <t>Item 240 - 1.5 Yard Temp Service Pickup</t>
  </si>
  <si>
    <t>Item 240 - 2 Yard Temp Service Pickup</t>
  </si>
  <si>
    <t>Item 240 - 3 Yard Temp Service Pickup</t>
  </si>
  <si>
    <t>Item 240 - 4 Yard Temp Service Pickup</t>
  </si>
  <si>
    <t>Item 240 - 6 Yard Temp Service Pickup</t>
  </si>
  <si>
    <t>Item 240 - 8 Yard Temp Service Pickup</t>
  </si>
  <si>
    <t>Total Tonnage</t>
  </si>
  <si>
    <t>Total Annual Pounds</t>
  </si>
  <si>
    <t>Total Calculated Pounds</t>
  </si>
  <si>
    <t>Adjustment Factor</t>
  </si>
  <si>
    <t>1AM 1-32 GAL CAN MSW</t>
  </si>
  <si>
    <t>2AM 2-32 GAL CANS MSW</t>
  </si>
  <si>
    <t>3AM 3-32 GAL CANS MSW</t>
  </si>
  <si>
    <t>4AM 4-32 GAL CANS MSW</t>
  </si>
  <si>
    <t>5AM 5-32 GAL CANS MSW</t>
  </si>
  <si>
    <t>BH0 28-32 GAL CANS MSW</t>
  </si>
  <si>
    <t>CM1 35 GAL CART MSW 1X WK</t>
  </si>
  <si>
    <t>CT2 2-35 GAL CARTS MSW</t>
  </si>
  <si>
    <t>CT4 4-35 GAL CARTS MSW</t>
  </si>
  <si>
    <t>1DM 1-64 GAL CART MSW</t>
  </si>
  <si>
    <t>2DM 2-64 GAL CARTS MSW</t>
  </si>
  <si>
    <t>1EM 1-96 GAL CART MSW</t>
  </si>
  <si>
    <t>2EM 2-96 GAL CARTS MSW</t>
  </si>
  <si>
    <t>1FE 1 YD MSW EOW</t>
  </si>
  <si>
    <t>111 1-1 YD 1X PER WEEK</t>
  </si>
  <si>
    <t>211 2-1 YD 1X PER WEEK</t>
  </si>
  <si>
    <t>112 1-1 YD 2X PER WEEK</t>
  </si>
  <si>
    <t>5FE 1.5 YD MSW EOW</t>
  </si>
  <si>
    <t>151 1-1.5 YD 1X PER WEEK</t>
  </si>
  <si>
    <t>2FE 2 YD MSW EOW</t>
  </si>
  <si>
    <t>121 1-2 YD 1X PER WEEK</t>
  </si>
  <si>
    <t>221 2-2 YD 1X PER WEEK</t>
  </si>
  <si>
    <t>321 3-2 YD 1X PER WEEK</t>
  </si>
  <si>
    <t>122 1-2 YD 2X PER WEEK</t>
  </si>
  <si>
    <t>222 2-2 YD 2X PER WEEK</t>
  </si>
  <si>
    <t>3FE 3 YD MSW EOW</t>
  </si>
  <si>
    <t>131 1-3 YD 1X PER WEEK</t>
  </si>
  <si>
    <t>132 1-3 YD 2X PER WEEK</t>
  </si>
  <si>
    <t>4FE 4 YD MSW EOW</t>
  </si>
  <si>
    <t>141 1-4 YD 1X PER WEEK</t>
  </si>
  <si>
    <t>241 2-4 YD 1X PER WEEK</t>
  </si>
  <si>
    <t>142 1-4 YD 2X PER WEEK</t>
  </si>
  <si>
    <t>242 2-4 YD 2X PER WEEK</t>
  </si>
  <si>
    <t>143 1-4 YD 3X PER WEEK</t>
  </si>
  <si>
    <t>6FE 6 YD MSW EOW</t>
  </si>
  <si>
    <t>161 1-6 YD 1X PER WEEK</t>
  </si>
  <si>
    <t>261 2-6 YD 1X PER WEEK</t>
  </si>
  <si>
    <t>361 3-6 YD 1X PER WEEK</t>
  </si>
  <si>
    <t>461 4-6 YD 1X PER WEEK</t>
  </si>
  <si>
    <t>561 5-6 YD 1X PER WEEK</t>
  </si>
  <si>
    <t>162 1-6 YD 2X PER WEEK</t>
  </si>
  <si>
    <t>262 2-6 YD 2X PER WEEK</t>
  </si>
  <si>
    <t>163 1-6 YD 3X PER WEEK</t>
  </si>
  <si>
    <t>463 4-6 YD 3X PER WEEK</t>
  </si>
  <si>
    <t>8FE 8 YD MSW EOW</t>
  </si>
  <si>
    <t>181 1-8 YD 1X PER WEEK</t>
  </si>
  <si>
    <t>281 2-8 YD 1X PER WEEK</t>
  </si>
  <si>
    <t>381 3-8 YD 1X PER WEEK</t>
  </si>
  <si>
    <t>581 5-8 YD 1X PER WEEK</t>
  </si>
  <si>
    <t>681 6-8 YD 1X PER WEEK</t>
  </si>
  <si>
    <t>182 1-8 YD 2X PER WEEK</t>
  </si>
  <si>
    <t>282 2-8 YD 2X PER WEEK</t>
  </si>
  <si>
    <t>183 1-8 YD 3X PER WEEK</t>
  </si>
  <si>
    <t>283 2-8 YD 3X PER WEEK</t>
  </si>
  <si>
    <t>184 1-8 YD 4X PER WEEK</t>
  </si>
  <si>
    <t>185 1-8 YD 5X PER WEEK</t>
  </si>
  <si>
    <t>2C1 2 YD COMPACTOR 1X WK</t>
  </si>
  <si>
    <t>2C2 2 YD COMPACTOR 2X WK</t>
  </si>
  <si>
    <t>3C1 3 YD COMPACTOR 1X WK</t>
  </si>
  <si>
    <t>4CE 4 YD COMPACTOR EOW</t>
  </si>
  <si>
    <t>4C1 4 YD COMPACTOR 1X WK</t>
  </si>
  <si>
    <t>4C2 4 YD COMPACTOR 2X WK</t>
  </si>
  <si>
    <t>5C1 5 YD COMPACTOR 1X WK</t>
  </si>
  <si>
    <t>6C1 6 YD COMPACTOR 1X WK</t>
  </si>
  <si>
    <t>YDC YARDAGE MSW</t>
  </si>
  <si>
    <t>OFC SNAPSHOT EXCESS YARDS</t>
  </si>
  <si>
    <t>C3M 32 GAL CAN MSW 1X MO</t>
  </si>
  <si>
    <t>T5M 35 GAL CART MSW 1X MO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</si>
  <si>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</si>
  <si>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</si>
  <si>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</si>
  <si>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</si>
  <si>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</si>
  <si>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</si>
  <si>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C35 5-32 GAL CANS MSW</t>
  </si>
  <si>
    <t>C36 6-32 GAL CANS MSW</t>
  </si>
  <si>
    <t>T51 1-35 GAL CART MSW</t>
  </si>
  <si>
    <t>T52 2-35 GAL CARTS MSW</t>
  </si>
  <si>
    <t>T53 3-35 GAL CARTS MSW</t>
  </si>
  <si>
    <t>T54 4-35 GAL CARTS MSW</t>
  </si>
  <si>
    <t>T61 1-64 GAL CART MSW</t>
  </si>
  <si>
    <t>T62 2-64 GAL CARTS MSW</t>
  </si>
  <si>
    <t>T63 3-64 GAL CARTS MSW</t>
  </si>
  <si>
    <t>T91 1-96 GAL CART MSW</t>
  </si>
  <si>
    <t>T92 2-96 GAL CARTS MSW</t>
  </si>
  <si>
    <t>TOTALS</t>
  </si>
  <si>
    <t>TOTAL</t>
  </si>
  <si>
    <t>Company Over /(Under) Collecting</t>
  </si>
  <si>
    <t>Scheduled Service  WTE</t>
  </si>
  <si>
    <t>Scheduled Service VALLEY &amp; SPOKANE TS</t>
  </si>
  <si>
    <t>Regulated Tons delivered to Transfer Stations</t>
  </si>
  <si>
    <t>Regulated Tons delivered to WTE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</si>
  <si>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</si>
  <si>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</si>
  <si>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Old Rate</t>
  </si>
  <si>
    <t>New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</si>
</sst>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_);_(&quot;$&quot;* \(#,##0\);_(&quot;$&quot;* &quot;-&quot;??_);_(@_)"/>
    <numFmt numFmtId="171" formatCode="0.0%"/>
    <numFmt numFmtId="172" formatCode="_(&quot;$&quot;* #,##0.00000000_);_(&quot;$&quot;* \(#,##0.00000000\);_(&quot;$&quot;* &quot;-&quot;??_);_(@_)"/>
    <numFmt numFmtId="173" formatCode="_(&quot;$&quot;* #,##0.000000000000_);_(&quot;$&quot;* \(#,##0.000000000000\);_(&quot;$&quot;* &quot;-&quot;??_);_(@_)"/>
    <numFmt numFmtId="174" formatCode="_(&quot;$&quot;* #,##0.00000000000000_);_(&quot;$&quot;* \(#,##0.00000000000000\);_(&quot;$&quot;* &quot;-&quot;??_);_(@_)"/>
    <numFmt numFmtId="175" formatCode="_(&quot;$&quot;* #,##0.00000000000000000000_);_(&quot;$&quot;* \(#,##0.0000000000000000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6" borderId="9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137">
    <xf numFmtId="0" fontId="0" fillId="0" borderId="0" xfId="0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3" fillId="0" borderId="0" xfId="0" applyFont="1"/>
    <xf numFmtId="0" fontId="0" fillId="0" borderId="0" xfId="0" applyAlignment="1">
      <alignment horizontal="left" indent="1"/>
    </xf>
    <xf numFmtId="0" fontId="0" fillId="3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8" fontId="0" fillId="0" borderId="0" xfId="0" applyNumberFormat="1"/>
    <xf numFmtId="0" fontId="0" fillId="2" borderId="1" xfId="0" applyFill="1" applyBorder="1"/>
    <xf numFmtId="44" fontId="0" fillId="0" borderId="0" xfId="0" applyNumberFormat="1"/>
    <xf numFmtId="169" fontId="0" fillId="0" borderId="0" xfId="0" applyNumberFormat="1"/>
    <xf numFmtId="44" fontId="3" fillId="0" borderId="0" xfId="0" applyNumberFormat="1" applyFont="1"/>
    <xf numFmtId="0" fontId="3" fillId="0" borderId="3" xfId="0" applyFont="1" applyBorder="1"/>
    <xf numFmtId="0" fontId="0" fillId="2" borderId="4" xfId="0" applyFill="1" applyBorder="1" applyAlignment="1">
      <alignment horizontal="center"/>
    </xf>
    <xf numFmtId="0" fontId="0" fillId="0" borderId="5" xfId="0" applyBorder="1"/>
    <xf numFmtId="44" fontId="1" fillId="0" borderId="6" xfId="2" applyFont="1" applyBorder="1"/>
    <xf numFmtId="1" fontId="0" fillId="0" borderId="0" xfId="0" applyNumberFormat="1" applyAlignment="1">
      <alignment horizontal="right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left" wrapText="1" indent="2"/>
    </xf>
    <xf numFmtId="164" fontId="7" fillId="2" borderId="1" xfId="1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9" fillId="0" borderId="0" xfId="3" applyFont="1" applyAlignment="1">
      <alignment horizontal="left"/>
    </xf>
    <xf numFmtId="1" fontId="8" fillId="0" borderId="0" xfId="0" applyNumberFormat="1" applyFont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44" fontId="8" fillId="7" borderId="0" xfId="2" applyFont="1" applyFill="1"/>
    <xf numFmtId="2" fontId="9" fillId="0" borderId="0" xfId="3" applyNumberFormat="1" applyFont="1" applyAlignment="1">
      <alignment horizontal="right"/>
    </xf>
    <xf numFmtId="44" fontId="8" fillId="7" borderId="0" xfId="0" applyNumberFormat="1" applyFont="1" applyFill="1"/>
    <xf numFmtId="2" fontId="8" fillId="0" borderId="0" xfId="0" applyNumberFormat="1" applyFont="1"/>
    <xf numFmtId="0" fontId="7" fillId="5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right"/>
    </xf>
    <xf numFmtId="3" fontId="8" fillId="0" borderId="0" xfId="0" applyNumberFormat="1" applyFont="1"/>
    <xf numFmtId="3" fontId="10" fillId="5" borderId="1" xfId="0" applyNumberFormat="1" applyFont="1" applyFill="1" applyBorder="1" applyAlignment="1">
      <alignment horizontal="right"/>
    </xf>
    <xf numFmtId="3" fontId="9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5" borderId="1" xfId="0" applyNumberFormat="1" applyFont="1" applyFill="1" applyBorder="1" applyAlignment="1">
      <alignment horizontal="right"/>
    </xf>
    <xf numFmtId="3" fontId="7" fillId="5" borderId="1" xfId="0" applyNumberFormat="1" applyFont="1" applyFill="1" applyBorder="1"/>
    <xf numFmtId="44" fontId="8" fillId="0" borderId="0" xfId="0" applyNumberFormat="1" applyFont="1"/>
    <xf numFmtId="44" fontId="8" fillId="5" borderId="0" xfId="0" applyNumberFormat="1" applyFont="1" applyFill="1"/>
    <xf numFmtId="44" fontId="7" fillId="5" borderId="0" xfId="0" applyNumberFormat="1" applyFont="1" applyFill="1" applyAlignment="1">
      <alignment horizontal="center" wrapText="1"/>
    </xf>
    <xf numFmtId="3" fontId="0" fillId="0" borderId="0" xfId="0" applyNumberFormat="1"/>
    <xf numFmtId="170" fontId="8" fillId="0" borderId="0" xfId="0" applyNumberFormat="1" applyFont="1"/>
    <xf numFmtId="44" fontId="10" fillId="5" borderId="1" xfId="0" applyNumberFormat="1" applyFont="1" applyFill="1" applyBorder="1" applyAlignment="1">
      <alignment horizontal="center"/>
    </xf>
    <xf numFmtId="43" fontId="1" fillId="0" borderId="0" xfId="1" applyFont="1"/>
    <xf numFmtId="43" fontId="1" fillId="0" borderId="0" xfId="1" applyFont="1" applyAlignment="1">
      <alignment horizontal="center"/>
    </xf>
    <xf numFmtId="164" fontId="1" fillId="0" borderId="0" xfId="1" applyNumberFormat="1" applyFont="1"/>
    <xf numFmtId="44" fontId="1" fillId="0" borderId="0" xfId="2" applyFont="1" applyFill="1"/>
    <xf numFmtId="165" fontId="1" fillId="0" borderId="0" xfId="2" applyNumberFormat="1" applyFont="1" applyFill="1"/>
    <xf numFmtId="166" fontId="1" fillId="0" borderId="0" xfId="1" applyNumberFormat="1" applyFont="1"/>
    <xf numFmtId="44" fontId="2" fillId="0" borderId="1" xfId="2" applyFont="1" applyFill="1" applyBorder="1"/>
    <xf numFmtId="165" fontId="1" fillId="0" borderId="1" xfId="2" applyNumberFormat="1" applyFont="1" applyFill="1" applyBorder="1"/>
    <xf numFmtId="166" fontId="1" fillId="0" borderId="0" xfId="1" applyNumberFormat="1" applyFont="1" applyBorder="1"/>
    <xf numFmtId="167" fontId="1" fillId="0" borderId="0" xfId="2" applyNumberFormat="1" applyFont="1" applyFill="1"/>
    <xf numFmtId="166" fontId="1" fillId="0" borderId="1" xfId="1" applyNumberFormat="1" applyFont="1" applyBorder="1"/>
    <xf numFmtId="171" fontId="1" fillId="0" borderId="0" xfId="4" applyNumberFormat="1" applyFont="1"/>
    <xf numFmtId="164" fontId="1" fillId="0" borderId="1" xfId="1" applyNumberFormat="1" applyFont="1" applyBorder="1"/>
    <xf numFmtId="0" fontId="0" fillId="0" borderId="7" xfId="0" applyBorder="1"/>
    <xf numFmtId="0" fontId="0" fillId="0" borderId="8" xfId="0" applyBorder="1"/>
    <xf numFmtId="0" fontId="0" fillId="8" borderId="0" xfId="0" applyFill="1"/>
    <xf numFmtId="0" fontId="0" fillId="9" borderId="10" xfId="0" applyFill="1" applyBorder="1"/>
    <xf numFmtId="0" fontId="0" fillId="8" borderId="10" xfId="0" applyFill="1" applyBorder="1"/>
    <xf numFmtId="0" fontId="11" fillId="0" borderId="0" xfId="0" applyFont="1"/>
    <xf numFmtId="0" fontId="4" fillId="0" borderId="0" xfId="0" applyFont="1"/>
    <xf numFmtId="0" fontId="11" fillId="0" borderId="0" xfId="7" applyFont="1"/>
    <xf numFmtId="0" fontId="12" fillId="0" borderId="0" xfId="0" applyFont="1"/>
    <xf numFmtId="0" fontId="13" fillId="0" borderId="0" xfId="0" applyFont="1"/>
    <xf numFmtId="1" fontId="8" fillId="0" borderId="0" xfId="1" applyNumberFormat="1" applyFont="1" applyFill="1" applyBorder="1"/>
    <xf numFmtId="1" fontId="9" fillId="0" borderId="0" xfId="3" applyNumberFormat="1" applyFont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right"/>
    </xf>
    <xf numFmtId="2" fontId="7" fillId="5" borderId="11" xfId="0" applyNumberFormat="1" applyFont="1" applyFill="1" applyBorder="1"/>
    <xf numFmtId="3" fontId="10" fillId="5" borderId="11" xfId="3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/>
    </xf>
    <xf numFmtId="44" fontId="7" fillId="5" borderId="1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4" fontId="1" fillId="0" borderId="0" xfId="8" applyNumberFormat="1" applyFont="1"/>
    <xf numFmtId="164" fontId="1" fillId="0" borderId="0" xfId="1" applyNumberFormat="1" applyFont="1" applyFill="1" applyBorder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/>
    <xf numFmtId="2" fontId="13" fillId="0" borderId="0" xfId="0" applyNumberFormat="1" applyFont="1"/>
    <xf numFmtId="3" fontId="13" fillId="0" borderId="0" xfId="3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70" fontId="13" fillId="0" borderId="0" xfId="0" applyNumberFormat="1" applyFont="1"/>
    <xf numFmtId="44" fontId="13" fillId="0" borderId="0" xfId="0" applyNumberFormat="1" applyFont="1"/>
    <xf numFmtId="44" fontId="13" fillId="7" borderId="0" xfId="0" applyNumberFormat="1" applyFont="1" applyFill="1"/>
    <xf numFmtId="2" fontId="12" fillId="0" borderId="0" xfId="0" applyNumberFormat="1" applyFont="1"/>
    <xf numFmtId="3" fontId="12" fillId="0" borderId="0" xfId="3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3" fontId="12" fillId="0" borderId="0" xfId="0" applyNumberFormat="1" applyFont="1"/>
    <xf numFmtId="170" fontId="12" fillId="0" borderId="0" xfId="0" applyNumberFormat="1" applyFont="1"/>
    <xf numFmtId="44" fontId="12" fillId="0" borderId="0" xfId="0" applyNumberFormat="1" applyFont="1"/>
    <xf numFmtId="44" fontId="12" fillId="7" borderId="0" xfId="0" applyNumberFormat="1" applyFont="1" applyFill="1"/>
    <xf numFmtId="2" fontId="8" fillId="10" borderId="0" xfId="1" applyNumberFormat="1" applyFont="1" applyFill="1" applyBorder="1"/>
    <xf numFmtId="0" fontId="11" fillId="10" borderId="0" xfId="7" applyFont="1" applyFill="1"/>
    <xf numFmtId="2" fontId="8" fillId="10" borderId="0" xfId="1" applyNumberFormat="1" applyFont="1" applyFill="1" applyBorder="1" applyAlignment="1">
      <alignment horizontal="right"/>
    </xf>
    <xf numFmtId="3" fontId="0" fillId="9" borderId="10" xfId="0" applyNumberFormat="1" applyFill="1" applyBorder="1"/>
    <xf numFmtId="1" fontId="0" fillId="9" borderId="10" xfId="0" applyNumberFormat="1" applyFill="1" applyBorder="1"/>
    <xf numFmtId="43" fontId="0" fillId="9" borderId="10" xfId="0" applyNumberFormat="1" applyFill="1" applyBorder="1"/>
    <xf numFmtId="0" fontId="11" fillId="10" borderId="0" xfId="0" applyFont="1" applyFill="1"/>
    <xf numFmtId="164" fontId="1" fillId="10" borderId="0" xfId="1" applyNumberFormat="1" applyFont="1" applyFill="1" applyBorder="1"/>
    <xf numFmtId="3" fontId="9" fillId="10" borderId="0" xfId="3" applyNumberFormat="1" applyFont="1" applyFill="1" applyAlignment="1">
      <alignment horizontal="right"/>
    </xf>
    <xf numFmtId="9" fontId="0" fillId="9" borderId="10" xfId="4" applyFont="1" applyFill="1" applyBorder="1"/>
    <xf numFmtId="43" fontId="8" fillId="0" borderId="0" xfId="0" applyNumberFormat="1" applyFont="1"/>
    <xf numFmtId="43" fontId="12" fillId="0" borderId="0" xfId="0" applyNumberFormat="1" applyFont="1"/>
    <xf numFmtId="167" fontId="0" fillId="0" borderId="0" xfId="0" applyNumberFormat="1"/>
    <xf numFmtId="172" fontId="0" fillId="0" borderId="0" xfId="0" applyNumberFormat="1"/>
    <xf numFmtId="43" fontId="1" fillId="0" borderId="0" xfId="1" applyFont="1" applyBorder="1"/>
    <xf numFmtId="0" fontId="0" fillId="0" borderId="0" xfId="0" applyAlignment="1">
      <alignment horizontal="right"/>
    </xf>
    <xf numFmtId="10" fontId="1" fillId="0" borderId="0" xfId="4" applyNumberFormat="1" applyFont="1" applyBorder="1"/>
    <xf numFmtId="43" fontId="14" fillId="0" borderId="0" xfId="1" applyFont="1" applyBorder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171" fontId="0" fillId="0" borderId="0" xfId="4" applyNumberFormat="1" applyFont="1"/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</cellXfs>
  <cellStyles count="9">
    <cellStyle name="Comma" xfId="1" builtinId="3"/>
    <cellStyle name="Comma 10" xfId="8" xr:uid="{64F91195-FE25-42CD-9556-FE4C457609A1}"/>
    <cellStyle name="Currency" xfId="2" builtinId="4"/>
    <cellStyle name="Normal" xfId="0" builtinId="0"/>
    <cellStyle name="Normal 21" xfId="7" xr:uid="{AD9132D8-2D37-4CC5-96A7-811134E3EC43}"/>
    <cellStyle name="Normal 90" xfId="6" xr:uid="{9E04665A-7950-477D-8EEC-904233E61ABB}"/>
    <cellStyle name="Normal_Price out" xfId="3" xr:uid="{862E1CDB-81C3-4FC7-A2C7-8E19820808C6}"/>
    <cellStyle name="Note 2" xfId="5" xr:uid="{8DCABC03-F376-4793-B27F-C76BCECB111B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aclynn_simmons_utc_wa_gov/Documents/Local%20Computer%20Files/Documents/WM%20Spokane/TG-210882/03-Disposal%20Fee%20Increase%20Workpap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immons215\AppData\Local\Microsoft\Windows\INetCache\Content.Outlook\9GUVH2K9\TG-143889%20WM%20Spokane%20DF%20-%20Staff%20revised%2012-2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Calculations"/>
    </sheetNames>
    <sheetDataSet>
      <sheetData sheetId="0"/>
      <sheetData sheetId="1">
        <row r="124">
          <cell r="G124">
            <v>29072.720000000001</v>
          </cell>
        </row>
        <row r="125">
          <cell r="G125">
            <v>1193.08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s"/>
      <sheetName val="Staff Calcs"/>
    </sheetNames>
    <sheetDataSet>
      <sheetData sheetId="0"/>
      <sheetData sheetId="1">
        <row r="138">
          <cell r="C138">
            <v>30265.799942999998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8F75-32CD-4D2C-8E71-1962F7DC107B}">
  <sheetPr>
    <tabColor theme="9" tint="-0.249977111117893"/>
    <pageSetUpPr fitToPage="1"/>
  </sheetPr>
  <dimension ref="A1:X73"/>
  <sheetViews>
    <sheetView tabSelected="1" workbookViewId="0">
      <selection activeCell="C61" sqref="B61:C61"/>
    </sheetView>
  </sheetViews>
  <sheetFormatPr defaultRowHeight="15" x14ac:dyDescent="0.25"/>
  <cols>
    <col min="1" max="1" width="36.42578125" customWidth="1"/>
    <col min="2" max="2" width="16.7109375" customWidth="1"/>
    <col min="3" max="3" width="15.5703125" customWidth="1"/>
    <col min="4" max="4" width="13.7109375" customWidth="1"/>
    <col min="5" max="5" width="12.5703125" bestFit="1" customWidth="1"/>
    <col min="6" max="6" width="12.42578125" customWidth="1"/>
    <col min="7" max="7" width="24.85546875" customWidth="1"/>
  </cols>
  <sheetData>
    <row r="1" spans="1:8" x14ac:dyDescent="0.25">
      <c r="A1" s="132" t="s">
        <v>15</v>
      </c>
      <c r="B1" s="132"/>
      <c r="C1" s="132"/>
      <c r="D1" s="132"/>
      <c r="E1" s="132"/>
      <c r="F1" s="132"/>
      <c r="G1" s="132"/>
      <c r="H1" s="132"/>
    </row>
    <row r="2" spans="1:8" x14ac:dyDescent="0.25">
      <c r="A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</row>
    <row r="3" spans="1:8" x14ac:dyDescent="0.25">
      <c r="A3" t="s">
        <v>24</v>
      </c>
      <c r="B3" s="55">
        <f>52*5/12</f>
        <v>21.666666666666668</v>
      </c>
      <c r="C3" s="3">
        <f>$B$3*2</f>
        <v>43.333333333333336</v>
      </c>
      <c r="D3" s="3">
        <f>$B$3*3</f>
        <v>65</v>
      </c>
      <c r="E3" s="3">
        <f>$B$3*4</f>
        <v>86.666666666666671</v>
      </c>
      <c r="F3" s="3">
        <f>$B$3*5</f>
        <v>108.33333333333334</v>
      </c>
      <c r="G3" s="3">
        <f>$B$3*6</f>
        <v>130</v>
      </c>
      <c r="H3" s="3">
        <f>$B$3*7</f>
        <v>151.66666666666669</v>
      </c>
    </row>
    <row r="4" spans="1:8" x14ac:dyDescent="0.25">
      <c r="A4" t="s">
        <v>25</v>
      </c>
      <c r="B4" s="55">
        <f>52*4/12</f>
        <v>17.333333333333332</v>
      </c>
      <c r="C4" s="3">
        <f>$B$4*2</f>
        <v>34.666666666666664</v>
      </c>
      <c r="D4" s="3">
        <f>$B$4*3</f>
        <v>52</v>
      </c>
      <c r="E4" s="3">
        <f>$B$4*4</f>
        <v>69.333333333333329</v>
      </c>
      <c r="F4" s="3">
        <f>$B$4*5</f>
        <v>86.666666666666657</v>
      </c>
      <c r="G4" s="3">
        <f>$B$4*6</f>
        <v>104</v>
      </c>
      <c r="H4" s="3">
        <f>$B$4*7</f>
        <v>121.33333333333333</v>
      </c>
    </row>
    <row r="5" spans="1:8" x14ac:dyDescent="0.25">
      <c r="A5" t="s">
        <v>26</v>
      </c>
      <c r="B5" s="55">
        <f>52*3/12</f>
        <v>13</v>
      </c>
      <c r="C5" s="3">
        <f>$B$5*2</f>
        <v>26</v>
      </c>
      <c r="D5" s="3">
        <f>$B$5*3</f>
        <v>39</v>
      </c>
      <c r="E5" s="3">
        <f>$B$5*4</f>
        <v>52</v>
      </c>
      <c r="F5" s="3">
        <f>$B$5*5</f>
        <v>65</v>
      </c>
      <c r="G5" s="3">
        <f>$B$5*6</f>
        <v>78</v>
      </c>
      <c r="H5" s="3">
        <f>$B$5*7</f>
        <v>91</v>
      </c>
    </row>
    <row r="6" spans="1:8" x14ac:dyDescent="0.25">
      <c r="A6" t="s">
        <v>27</v>
      </c>
      <c r="B6" s="55">
        <f>52*2/12</f>
        <v>8.6666666666666661</v>
      </c>
      <c r="C6" s="4">
        <f>$B$6*2</f>
        <v>17.333333333333332</v>
      </c>
      <c r="D6" s="4">
        <f>$B$6*3</f>
        <v>26</v>
      </c>
      <c r="E6" s="4">
        <f>$B$6*4</f>
        <v>34.666666666666664</v>
      </c>
      <c r="F6" s="4">
        <f>$B$6*5</f>
        <v>43.333333333333329</v>
      </c>
      <c r="G6" s="4">
        <f>$B$6*6</f>
        <v>52</v>
      </c>
      <c r="H6" s="4">
        <f>$B$6*7</f>
        <v>60.666666666666664</v>
      </c>
    </row>
    <row r="7" spans="1:8" x14ac:dyDescent="0.25">
      <c r="A7" t="s">
        <v>28</v>
      </c>
      <c r="B7" s="55">
        <f>52/12</f>
        <v>4.333333333333333</v>
      </c>
      <c r="C7" s="4">
        <f>$B$7*2</f>
        <v>8.6666666666666661</v>
      </c>
      <c r="D7" s="4">
        <f>$B$7*3</f>
        <v>13</v>
      </c>
      <c r="E7" s="4">
        <f>$B$7*4</f>
        <v>17.333333333333332</v>
      </c>
      <c r="F7" s="4">
        <f>$B$7*5</f>
        <v>21.666666666666664</v>
      </c>
      <c r="G7" s="4">
        <f>$B$7*6</f>
        <v>26</v>
      </c>
      <c r="H7" s="4">
        <f>$B$7*7</f>
        <v>30.333333333333332</v>
      </c>
    </row>
    <row r="8" spans="1:8" x14ac:dyDescent="0.25">
      <c r="A8" t="s">
        <v>29</v>
      </c>
      <c r="B8" s="55">
        <f>26/12</f>
        <v>2.1666666666666665</v>
      </c>
      <c r="C8" s="4">
        <f>$B$8*2</f>
        <v>4.333333333333333</v>
      </c>
      <c r="D8" s="4">
        <f>$B$8*3</f>
        <v>6.5</v>
      </c>
      <c r="E8" s="4">
        <f>$B$8*4</f>
        <v>8.6666666666666661</v>
      </c>
      <c r="F8" s="4">
        <f>$B$8*5</f>
        <v>10.833333333333332</v>
      </c>
      <c r="G8" s="4">
        <f>$B$8*6</f>
        <v>13</v>
      </c>
      <c r="H8" s="4">
        <f>$B$8*7</f>
        <v>15.166666666666666</v>
      </c>
    </row>
    <row r="9" spans="1:8" x14ac:dyDescent="0.25">
      <c r="A9" t="s">
        <v>30</v>
      </c>
      <c r="B9" s="55">
        <f>12/12</f>
        <v>1</v>
      </c>
      <c r="C9" s="4">
        <f>$B$9*2</f>
        <v>2</v>
      </c>
      <c r="D9" s="4">
        <f>$B$9*3</f>
        <v>3</v>
      </c>
      <c r="E9" s="4">
        <f>$B$9*4</f>
        <v>4</v>
      </c>
      <c r="F9" s="4">
        <f>$B$9*5</f>
        <v>5</v>
      </c>
      <c r="G9" s="4">
        <f>$B$9*6</f>
        <v>6</v>
      </c>
      <c r="H9" s="4">
        <f>$B$9*7</f>
        <v>7</v>
      </c>
    </row>
    <row r="10" spans="1:8" x14ac:dyDescent="0.25">
      <c r="B10" s="55"/>
      <c r="C10" s="4"/>
      <c r="D10" s="4"/>
      <c r="E10" s="4"/>
      <c r="F10" s="4"/>
      <c r="G10" s="4"/>
      <c r="H10" s="4"/>
    </row>
    <row r="11" spans="1:8" x14ac:dyDescent="0.25">
      <c r="A11" s="132" t="s">
        <v>3</v>
      </c>
      <c r="B11" s="132"/>
      <c r="C11" s="4"/>
      <c r="D11" s="4"/>
      <c r="E11" s="4"/>
      <c r="F11" s="4"/>
      <c r="G11" s="4"/>
      <c r="H11" s="4"/>
    </row>
    <row r="12" spans="1:8" x14ac:dyDescent="0.25">
      <c r="A12" s="5" t="s">
        <v>31</v>
      </c>
      <c r="B12" s="56" t="s">
        <v>32</v>
      </c>
      <c r="C12" s="4"/>
      <c r="D12" s="4"/>
      <c r="E12" s="4"/>
      <c r="F12" s="4"/>
      <c r="G12" s="4"/>
      <c r="H12" s="4"/>
    </row>
    <row r="13" spans="1:8" x14ac:dyDescent="0.25">
      <c r="A13" s="6" t="s">
        <v>33</v>
      </c>
      <c r="B13" s="57">
        <v>20</v>
      </c>
      <c r="C13" s="4"/>
      <c r="D13" s="4"/>
      <c r="E13" s="4"/>
      <c r="F13" s="4"/>
      <c r="G13" s="4"/>
      <c r="H13" s="4"/>
    </row>
    <row r="14" spans="1:8" x14ac:dyDescent="0.25">
      <c r="A14" s="6" t="s">
        <v>34</v>
      </c>
      <c r="B14" s="57">
        <v>34</v>
      </c>
      <c r="C14" s="4"/>
      <c r="D14" s="4"/>
      <c r="E14" s="4"/>
      <c r="F14" s="4"/>
      <c r="G14" s="4"/>
      <c r="H14" s="4"/>
    </row>
    <row r="15" spans="1:8" x14ac:dyDescent="0.25">
      <c r="A15" s="6" t="s">
        <v>35</v>
      </c>
      <c r="B15" s="57">
        <v>51</v>
      </c>
      <c r="C15" s="4"/>
      <c r="D15" s="4"/>
      <c r="E15" s="4"/>
      <c r="F15" s="4"/>
      <c r="G15" s="4"/>
      <c r="H15" s="4"/>
    </row>
    <row r="16" spans="1:8" x14ac:dyDescent="0.25">
      <c r="A16" s="6" t="s">
        <v>36</v>
      </c>
      <c r="B16" s="57">
        <v>77</v>
      </c>
      <c r="C16" s="4"/>
      <c r="D16" s="4"/>
      <c r="E16" s="4"/>
      <c r="F16" t="s">
        <v>37</v>
      </c>
      <c r="G16" s="57">
        <v>2000</v>
      </c>
      <c r="H16" s="4"/>
    </row>
    <row r="17" spans="1:24" x14ac:dyDescent="0.25">
      <c r="A17" s="6" t="s">
        <v>38</v>
      </c>
      <c r="B17" s="57">
        <v>97</v>
      </c>
      <c r="C17" s="4"/>
      <c r="D17" s="4"/>
      <c r="E17" s="4"/>
      <c r="F17" t="s">
        <v>39</v>
      </c>
      <c r="G17" s="7" t="s">
        <v>40</v>
      </c>
      <c r="H17" s="4"/>
    </row>
    <row r="18" spans="1:24" x14ac:dyDescent="0.25">
      <c r="A18" s="6" t="s">
        <v>41</v>
      </c>
      <c r="B18" s="57">
        <v>117</v>
      </c>
      <c r="C18" s="4"/>
      <c r="D18" s="4"/>
      <c r="E18" s="4"/>
      <c r="H18" s="4"/>
    </row>
    <row r="19" spans="1:24" x14ac:dyDescent="0.25">
      <c r="A19" s="6" t="s">
        <v>42</v>
      </c>
      <c r="B19" s="57">
        <v>157</v>
      </c>
      <c r="C19" s="4"/>
      <c r="D19" s="4"/>
      <c r="E19" s="4"/>
      <c r="F19" s="8"/>
      <c r="G19" s="9"/>
      <c r="H19" s="4"/>
    </row>
    <row r="20" spans="1:24" x14ac:dyDescent="0.25">
      <c r="A20" s="6" t="s">
        <v>43</v>
      </c>
      <c r="B20" s="57">
        <v>37</v>
      </c>
      <c r="C20" s="4" t="s">
        <v>44</v>
      </c>
      <c r="D20" s="4"/>
      <c r="E20" s="4"/>
      <c r="F20" s="8"/>
      <c r="G20" s="9"/>
      <c r="H20" s="4"/>
    </row>
    <row r="21" spans="1:24" x14ac:dyDescent="0.25">
      <c r="A21" s="6" t="s">
        <v>45</v>
      </c>
      <c r="B21" s="57">
        <v>47</v>
      </c>
      <c r="C21" s="4"/>
      <c r="D21" s="4"/>
      <c r="E21" s="4"/>
      <c r="F21" s="4"/>
      <c r="G21" s="4"/>
      <c r="H21" s="4"/>
    </row>
    <row r="22" spans="1:24" x14ac:dyDescent="0.25">
      <c r="A22" s="6" t="s">
        <v>46</v>
      </c>
      <c r="B22" s="57">
        <v>68</v>
      </c>
      <c r="C22" s="4"/>
      <c r="D22" s="4"/>
      <c r="E22" s="4"/>
      <c r="F22" s="4"/>
      <c r="G22" s="4"/>
      <c r="H22" s="4"/>
    </row>
    <row r="23" spans="1:24" x14ac:dyDescent="0.25">
      <c r="A23" s="6" t="s">
        <v>47</v>
      </c>
      <c r="B23" s="57">
        <v>34</v>
      </c>
      <c r="C23" s="4"/>
      <c r="D23" s="4"/>
      <c r="E23" s="4"/>
      <c r="F23" s="4"/>
      <c r="G23" s="4"/>
      <c r="H23" s="4"/>
    </row>
    <row r="24" spans="1:24" x14ac:dyDescent="0.25">
      <c r="A24" s="6" t="s">
        <v>48</v>
      </c>
      <c r="B24" s="57">
        <v>34</v>
      </c>
      <c r="C24" s="4"/>
      <c r="D24" s="4"/>
      <c r="E24" s="4"/>
      <c r="F24" s="4"/>
      <c r="G24" s="4"/>
      <c r="H24" s="4"/>
    </row>
    <row r="25" spans="1:24" x14ac:dyDescent="0.25">
      <c r="A25" s="5" t="s">
        <v>49</v>
      </c>
      <c r="B25" s="57"/>
      <c r="C25" s="4"/>
      <c r="D25" s="4"/>
      <c r="E25" s="4"/>
      <c r="F25" s="4"/>
      <c r="G25" s="4"/>
      <c r="H25" s="4"/>
    </row>
    <row r="26" spans="1:24" x14ac:dyDescent="0.25">
      <c r="A26" s="6" t="s">
        <v>50</v>
      </c>
      <c r="B26" s="57">
        <v>29</v>
      </c>
      <c r="C26" s="4"/>
      <c r="D26" s="4"/>
      <c r="E26" s="4"/>
      <c r="F26" s="4"/>
      <c r="G26" s="4"/>
      <c r="H26" s="4"/>
    </row>
    <row r="27" spans="1:24" x14ac:dyDescent="0.25">
      <c r="A27" s="6" t="s">
        <v>51</v>
      </c>
      <c r="B27" s="57">
        <v>175</v>
      </c>
      <c r="C27" s="4"/>
      <c r="D27" s="4"/>
      <c r="E27" s="4"/>
      <c r="F27" s="4"/>
      <c r="G27" s="4"/>
      <c r="H27" s="4"/>
    </row>
    <row r="28" spans="1:24" x14ac:dyDescent="0.25">
      <c r="A28" s="6" t="s">
        <v>52</v>
      </c>
      <c r="B28" s="57">
        <v>250</v>
      </c>
      <c r="C28" s="4"/>
      <c r="D28" s="4"/>
      <c r="E28" s="4"/>
      <c r="F28" s="4"/>
      <c r="G28" s="4"/>
      <c r="H28" s="4"/>
      <c r="X28" t="s">
        <v>210</v>
      </c>
    </row>
    <row r="29" spans="1:24" x14ac:dyDescent="0.25">
      <c r="A29" s="6" t="s">
        <v>53</v>
      </c>
      <c r="B29" s="57">
        <v>324</v>
      </c>
      <c r="C29" s="4"/>
      <c r="D29" s="4"/>
      <c r="E29" s="4"/>
      <c r="F29" s="4"/>
      <c r="G29" s="4"/>
      <c r="H29" s="4"/>
    </row>
    <row r="30" spans="1:24" x14ac:dyDescent="0.25">
      <c r="A30" s="6" t="s">
        <v>54</v>
      </c>
      <c r="B30" s="57">
        <v>473</v>
      </c>
      <c r="C30" s="4"/>
      <c r="D30" s="4"/>
      <c r="E30" s="4"/>
      <c r="F30" s="4"/>
      <c r="G30" s="4"/>
      <c r="H30" s="4"/>
    </row>
    <row r="31" spans="1:24" x14ac:dyDescent="0.25">
      <c r="A31" s="6" t="s">
        <v>55</v>
      </c>
      <c r="B31" s="57">
        <v>613</v>
      </c>
      <c r="C31" s="4"/>
      <c r="D31" s="4"/>
      <c r="E31" s="4"/>
      <c r="F31" s="4"/>
      <c r="G31" s="4"/>
      <c r="H31" s="4"/>
    </row>
    <row r="32" spans="1:24" x14ac:dyDescent="0.25">
      <c r="A32" s="6" t="s">
        <v>56</v>
      </c>
      <c r="B32" s="57">
        <v>840</v>
      </c>
      <c r="C32" s="4"/>
      <c r="D32" s="4"/>
      <c r="E32" s="4"/>
      <c r="F32" s="4"/>
      <c r="G32" s="4"/>
      <c r="H32" s="4"/>
    </row>
    <row r="33" spans="1:8" x14ac:dyDescent="0.25">
      <c r="A33" s="6" t="s">
        <v>57</v>
      </c>
      <c r="B33" s="57">
        <v>980</v>
      </c>
      <c r="C33" s="4"/>
      <c r="D33" s="4"/>
      <c r="E33" s="4"/>
      <c r="F33" s="4"/>
      <c r="G33" s="4"/>
      <c r="H33" s="4"/>
    </row>
    <row r="34" spans="1:8" x14ac:dyDescent="0.25">
      <c r="A34" s="6" t="s">
        <v>58</v>
      </c>
      <c r="B34" s="57">
        <v>482</v>
      </c>
      <c r="C34" s="4" t="s">
        <v>44</v>
      </c>
      <c r="D34" s="4"/>
      <c r="E34" s="4"/>
      <c r="F34" s="4"/>
      <c r="G34" s="4"/>
      <c r="H34" s="4"/>
    </row>
    <row r="35" spans="1:8" x14ac:dyDescent="0.25">
      <c r="A35" s="6" t="s">
        <v>59</v>
      </c>
      <c r="B35" s="57">
        <v>689</v>
      </c>
      <c r="C35" s="4" t="s">
        <v>44</v>
      </c>
      <c r="D35" s="4"/>
      <c r="E35" s="4"/>
      <c r="F35" s="4"/>
      <c r="G35" s="4"/>
      <c r="H35" s="4"/>
    </row>
    <row r="36" spans="1:8" x14ac:dyDescent="0.25">
      <c r="A36" s="6" t="s">
        <v>60</v>
      </c>
      <c r="B36" s="57">
        <v>892</v>
      </c>
      <c r="C36" s="4" t="s">
        <v>44</v>
      </c>
      <c r="D36" s="4"/>
      <c r="E36" s="4"/>
      <c r="F36" s="4"/>
      <c r="G36" s="4"/>
      <c r="H36" s="4"/>
    </row>
    <row r="37" spans="1:8" x14ac:dyDescent="0.25">
      <c r="A37" s="6" t="s">
        <v>61</v>
      </c>
      <c r="B37" s="57">
        <v>1301</v>
      </c>
      <c r="C37" s="4"/>
      <c r="D37" s="4"/>
      <c r="E37" s="4"/>
      <c r="F37" s="4"/>
      <c r="G37" s="4"/>
      <c r="H37" s="4"/>
    </row>
    <row r="38" spans="1:8" x14ac:dyDescent="0.25">
      <c r="A38" s="6" t="s">
        <v>62</v>
      </c>
      <c r="B38" s="57">
        <v>1686</v>
      </c>
      <c r="C38" s="4"/>
      <c r="D38" s="4"/>
      <c r="E38" s="4"/>
      <c r="F38" s="4"/>
      <c r="G38" s="4"/>
      <c r="H38" s="4"/>
    </row>
    <row r="39" spans="1:8" x14ac:dyDescent="0.25">
      <c r="A39" s="6" t="s">
        <v>63</v>
      </c>
      <c r="B39" s="57">
        <v>2046</v>
      </c>
      <c r="C39" s="4"/>
      <c r="D39" s="4"/>
      <c r="E39" s="4"/>
      <c r="F39" s="4"/>
      <c r="G39" s="4"/>
      <c r="H39" s="4"/>
    </row>
    <row r="40" spans="1:8" x14ac:dyDescent="0.25">
      <c r="A40" s="6" t="s">
        <v>64</v>
      </c>
      <c r="B40" s="57">
        <v>2310</v>
      </c>
      <c r="C40" s="4"/>
      <c r="D40" s="4"/>
      <c r="E40" s="4"/>
      <c r="F40" s="4"/>
      <c r="G40" s="4"/>
      <c r="H40" s="4"/>
    </row>
    <row r="41" spans="1:8" x14ac:dyDescent="0.25">
      <c r="A41" s="6" t="s">
        <v>65</v>
      </c>
      <c r="B41" s="57">
        <v>2800</v>
      </c>
      <c r="C41" s="4" t="s">
        <v>44</v>
      </c>
      <c r="D41" s="4"/>
      <c r="E41" s="4"/>
      <c r="F41" s="4"/>
      <c r="G41" s="4"/>
      <c r="H41" s="4"/>
    </row>
    <row r="42" spans="1:8" x14ac:dyDescent="0.25">
      <c r="A42" s="6" t="s">
        <v>66</v>
      </c>
      <c r="B42" s="57">
        <v>125</v>
      </c>
      <c r="C42" s="4"/>
      <c r="D42" s="4"/>
      <c r="E42" s="4"/>
      <c r="F42" s="4"/>
      <c r="G42" s="4"/>
      <c r="H42" s="4"/>
    </row>
    <row r="43" spans="1:8" x14ac:dyDescent="0.25">
      <c r="B43" s="133" t="s">
        <v>91</v>
      </c>
      <c r="C43" s="133"/>
    </row>
    <row r="46" spans="1:8" x14ac:dyDescent="0.25">
      <c r="A46" s="1" t="s">
        <v>92</v>
      </c>
      <c r="B46" s="10" t="s">
        <v>67</v>
      </c>
      <c r="C46" s="10" t="s">
        <v>68</v>
      </c>
      <c r="F46" s="134" t="s">
        <v>69</v>
      </c>
      <c r="G46" s="134"/>
    </row>
    <row r="47" spans="1:8" x14ac:dyDescent="0.25">
      <c r="A47" s="11" t="s">
        <v>70</v>
      </c>
      <c r="B47" s="58">
        <v>132.62</v>
      </c>
      <c r="C47" s="59">
        <f>B47/2000</f>
        <v>6.6310000000000008E-2</v>
      </c>
      <c r="F47" t="s">
        <v>71</v>
      </c>
      <c r="G47" s="60">
        <f>0.0175</f>
        <v>1.7500000000000002E-2</v>
      </c>
    </row>
    <row r="48" spans="1:8" x14ac:dyDescent="0.25">
      <c r="A48" s="11" t="s">
        <v>72</v>
      </c>
      <c r="B48" s="61">
        <v>141.9</v>
      </c>
      <c r="C48" s="62">
        <f>B48/2000</f>
        <v>7.0949999999999999E-2</v>
      </c>
      <c r="F48" t="s">
        <v>73</v>
      </c>
      <c r="G48" s="63">
        <f>0.0051</f>
        <v>5.1000000000000004E-3</v>
      </c>
    </row>
    <row r="49" spans="1:7" x14ac:dyDescent="0.25">
      <c r="A49" s="6" t="s">
        <v>6</v>
      </c>
      <c r="B49" s="58">
        <f>B48-B47</f>
        <v>9.2800000000000011</v>
      </c>
      <c r="C49" s="64">
        <f>C48-C47</f>
        <v>4.6399999999999914E-3</v>
      </c>
      <c r="F49" t="s">
        <v>74</v>
      </c>
      <c r="G49" s="65">
        <v>7.4999999999999997E-3</v>
      </c>
    </row>
    <row r="50" spans="1:7" x14ac:dyDescent="0.25">
      <c r="B50" s="66">
        <f>+B49/B47</f>
        <v>6.9974362841200427E-2</v>
      </c>
      <c r="F50" t="s">
        <v>75</v>
      </c>
      <c r="G50" s="12">
        <f>SUM(G47:G49)</f>
        <v>3.0100000000000002E-2</v>
      </c>
    </row>
    <row r="51" spans="1:7" x14ac:dyDescent="0.25">
      <c r="A51" s="1" t="s">
        <v>93</v>
      </c>
      <c r="B51" s="10" t="s">
        <v>67</v>
      </c>
      <c r="C51" s="10" t="s">
        <v>68</v>
      </c>
      <c r="D51" s="122"/>
      <c r="G51" s="12"/>
    </row>
    <row r="52" spans="1:7" x14ac:dyDescent="0.25">
      <c r="A52" s="11" t="s">
        <v>70</v>
      </c>
      <c r="B52" s="58">
        <v>125.4</v>
      </c>
      <c r="C52" s="59">
        <f>B52/2000</f>
        <v>6.2700000000000006E-2</v>
      </c>
      <c r="G52" s="12"/>
    </row>
    <row r="53" spans="1:7" x14ac:dyDescent="0.25">
      <c r="A53" s="11" t="s">
        <v>72</v>
      </c>
      <c r="B53" s="61">
        <v>130.41999999999999</v>
      </c>
      <c r="C53" s="62">
        <f>B53/2000</f>
        <v>6.520999999999999E-2</v>
      </c>
      <c r="F53" t="s">
        <v>77</v>
      </c>
      <c r="G53" s="15">
        <f>1-G50</f>
        <v>0.96989999999999998</v>
      </c>
    </row>
    <row r="54" spans="1:7" x14ac:dyDescent="0.25">
      <c r="A54" s="6" t="s">
        <v>6</v>
      </c>
      <c r="B54" s="58">
        <f>B53-B52</f>
        <v>5.0199999999999818</v>
      </c>
      <c r="C54" s="64">
        <f>C53-C52</f>
        <v>2.5099999999999845E-3</v>
      </c>
      <c r="G54" s="12"/>
    </row>
    <row r="55" spans="1:7" x14ac:dyDescent="0.25">
      <c r="B55" s="66">
        <f>+B54/B52</f>
        <v>4.003189792663462E-2</v>
      </c>
      <c r="G55" s="12"/>
    </row>
    <row r="56" spans="1:7" x14ac:dyDescent="0.25">
      <c r="G56" s="12"/>
    </row>
    <row r="57" spans="1:7" x14ac:dyDescent="0.25">
      <c r="B57" s="13" t="s">
        <v>92</v>
      </c>
      <c r="C57" s="13" t="s">
        <v>94</v>
      </c>
    </row>
    <row r="58" spans="1:7" x14ac:dyDescent="0.25">
      <c r="A58" t="s">
        <v>76</v>
      </c>
      <c r="B58" s="14">
        <f>B49</f>
        <v>9.2800000000000011</v>
      </c>
      <c r="C58" s="14">
        <f>B54</f>
        <v>5.0199999999999818</v>
      </c>
    </row>
    <row r="59" spans="1:7" x14ac:dyDescent="0.25">
      <c r="A59" t="s">
        <v>78</v>
      </c>
      <c r="B59" s="14">
        <f>B58/$G$53</f>
        <v>9.5679967006907933</v>
      </c>
      <c r="C59" s="14">
        <f>C58/$G$53</f>
        <v>5.1757913186926299</v>
      </c>
    </row>
    <row r="60" spans="1:7" x14ac:dyDescent="0.25">
      <c r="A60" t="s">
        <v>79</v>
      </c>
      <c r="B60" s="67">
        <f>+[1]Calculations!G125</f>
        <v>1193.08</v>
      </c>
      <c r="C60" s="67">
        <f>+[1]Calculations!G124</f>
        <v>29072.720000000001</v>
      </c>
    </row>
    <row r="61" spans="1:7" x14ac:dyDescent="0.25">
      <c r="A61" s="5" t="s">
        <v>80</v>
      </c>
      <c r="B61" s="16">
        <f>B59*B60</f>
        <v>11415.385503660171</v>
      </c>
      <c r="C61" s="16">
        <f>C59*C60</f>
        <v>150474.33178678161</v>
      </c>
      <c r="E61" s="14">
        <f>B61+C61</f>
        <v>161889.71729044177</v>
      </c>
    </row>
    <row r="64" spans="1:7" ht="15.75" thickBot="1" x14ac:dyDescent="0.3"/>
    <row r="65" spans="1:7" x14ac:dyDescent="0.25">
      <c r="A65" s="17" t="s">
        <v>81</v>
      </c>
      <c r="B65" s="18" t="s">
        <v>82</v>
      </c>
      <c r="D65" s="14"/>
    </row>
    <row r="66" spans="1:7" x14ac:dyDescent="0.25">
      <c r="A66" s="19" t="s">
        <v>95</v>
      </c>
      <c r="B66" s="20">
        <f>' Price Out'!P92</f>
        <v>161889.71698555187</v>
      </c>
    </row>
    <row r="67" spans="1:7" x14ac:dyDescent="0.25">
      <c r="A67" s="19" t="s">
        <v>83</v>
      </c>
      <c r="B67" s="20">
        <f>B66-C61-B61</f>
        <v>-3.0488990523735993E-4</v>
      </c>
    </row>
    <row r="68" spans="1:7" ht="15.75" thickBot="1" x14ac:dyDescent="0.3">
      <c r="A68" s="68"/>
      <c r="B68" s="69"/>
    </row>
    <row r="71" spans="1:7" x14ac:dyDescent="0.25">
      <c r="A71" s="123" t="s">
        <v>208</v>
      </c>
      <c r="B71" s="124"/>
      <c r="D71" s="123">
        <v>29072.720000000001</v>
      </c>
      <c r="E71" s="125">
        <f>D71/D73</f>
        <v>0.96057992850015528</v>
      </c>
      <c r="F71" s="121">
        <f>C54</f>
        <v>2.5099999999999845E-3</v>
      </c>
      <c r="G71" s="129">
        <f>E71*F71</f>
        <v>2.4110556205353749E-3</v>
      </c>
    </row>
    <row r="72" spans="1:7" ht="17.25" x14ac:dyDescent="0.4">
      <c r="A72" s="123" t="s">
        <v>209</v>
      </c>
      <c r="B72" s="124"/>
      <c r="D72" s="126">
        <v>1193.08</v>
      </c>
      <c r="E72" s="125">
        <f>D72/D73</f>
        <v>3.9420071499844701E-2</v>
      </c>
      <c r="F72" s="121">
        <f>C49</f>
        <v>4.6399999999999914E-3</v>
      </c>
      <c r="G72" s="127">
        <f>E72*F72</f>
        <v>1.8290913175927909E-4</v>
      </c>
    </row>
    <row r="73" spans="1:7" x14ac:dyDescent="0.25">
      <c r="A73" s="123"/>
      <c r="B73" s="124"/>
      <c r="D73" s="123">
        <f>SUM(D71:D72)</f>
        <v>30265.800000000003</v>
      </c>
      <c r="G73" s="128">
        <f>G71+G72</f>
        <v>2.5939647522946539E-3</v>
      </c>
    </row>
  </sheetData>
  <mergeCells count="4">
    <mergeCell ref="A1:H1"/>
    <mergeCell ref="A11:B11"/>
    <mergeCell ref="B43:C43"/>
    <mergeCell ref="F46:G46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45A1-7416-4DCD-917F-9E37A02AD52C}">
  <sheetPr>
    <tabColor rgb="FFFF0000"/>
  </sheetPr>
  <dimension ref="A1:AC226"/>
  <sheetViews>
    <sheetView topLeftCell="B75" zoomScaleNormal="100" workbookViewId="0">
      <pane xSplit="1" topLeftCell="H1" activePane="topRight" state="frozen"/>
      <selection activeCell="B1" sqref="B1"/>
      <selection pane="topRight" activeCell="Q92" sqref="Q92"/>
    </sheetView>
  </sheetViews>
  <sheetFormatPr defaultRowHeight="15" x14ac:dyDescent="0.25"/>
  <cols>
    <col min="1" max="1" width="0" hidden="1" customWidth="1"/>
    <col min="2" max="2" width="35.5703125" customWidth="1"/>
    <col min="3" max="3" width="16.42578125" customWidth="1"/>
    <col min="4" max="4" width="16.85546875" customWidth="1"/>
    <col min="5" max="5" width="16.140625" style="21" customWidth="1"/>
    <col min="6" max="6" width="11.7109375" customWidth="1"/>
    <col min="7" max="7" width="14.42578125" customWidth="1"/>
    <col min="8" max="8" width="13.5703125" customWidth="1"/>
    <col min="9" max="9" width="13.42578125" customWidth="1"/>
    <col min="10" max="10" width="11" bestFit="1" customWidth="1"/>
    <col min="11" max="11" width="10.7109375" customWidth="1"/>
    <col min="12" max="12" width="11" bestFit="1" customWidth="1"/>
    <col min="14" max="14" width="17.85546875" customWidth="1"/>
    <col min="15" max="15" width="14.5703125" customWidth="1"/>
    <col min="16" max="16" width="16.42578125" customWidth="1"/>
    <col min="19" max="19" width="11.7109375" customWidth="1"/>
  </cols>
  <sheetData>
    <row r="1" spans="1:19" ht="44.25" customHeight="1" x14ac:dyDescent="0.25">
      <c r="A1" s="1"/>
      <c r="B1" s="90" t="s">
        <v>206</v>
      </c>
      <c r="C1" s="24" t="s">
        <v>0</v>
      </c>
      <c r="D1" s="24" t="s">
        <v>1</v>
      </c>
      <c r="E1" s="25" t="s">
        <v>2</v>
      </c>
      <c r="F1" s="26" t="s">
        <v>3</v>
      </c>
      <c r="G1" s="24" t="s">
        <v>4</v>
      </c>
      <c r="H1" s="27" t="s">
        <v>5</v>
      </c>
      <c r="I1" s="28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4" t="s">
        <v>11</v>
      </c>
      <c r="O1" s="24" t="s">
        <v>12</v>
      </c>
      <c r="P1" s="24" t="s">
        <v>13</v>
      </c>
      <c r="R1" s="131" t="s">
        <v>212</v>
      </c>
      <c r="S1" s="131" t="s">
        <v>213</v>
      </c>
    </row>
    <row r="2" spans="1:19" x14ac:dyDescent="0.25">
      <c r="A2" s="135" t="s">
        <v>14</v>
      </c>
      <c r="B2" s="75" t="s">
        <v>184</v>
      </c>
      <c r="C2" s="91">
        <v>118</v>
      </c>
      <c r="D2" s="31">
        <f>References!B9</f>
        <v>1</v>
      </c>
      <c r="E2" s="45">
        <f>C2*D2*12</f>
        <v>1416</v>
      </c>
      <c r="F2" s="80">
        <f>References!B14</f>
        <v>34</v>
      </c>
      <c r="G2" s="32">
        <f>F2*E2</f>
        <v>48144</v>
      </c>
      <c r="H2" s="36">
        <f>G2*C$117</f>
        <v>28692.707935118768</v>
      </c>
      <c r="I2" s="49">
        <f>H2*References!G$73</f>
        <v>74.427873031583204</v>
      </c>
      <c r="J2" s="49">
        <f>I2/References!G$53</f>
        <v>76.737677112674717</v>
      </c>
      <c r="K2" s="49">
        <f>J2/E2</f>
        <v>5.4193274797086667E-2</v>
      </c>
      <c r="L2" s="33">
        <v>7.3308250951242373</v>
      </c>
      <c r="M2" s="49">
        <f t="shared" ref="M2:M16" si="0">K2+L2</f>
        <v>7.3850183699213243</v>
      </c>
      <c r="N2" s="49">
        <f>L2*C2*12</f>
        <v>10380.44833469592</v>
      </c>
      <c r="O2" s="49">
        <f>M2*C2*12</f>
        <v>10457.186011808595</v>
      </c>
      <c r="P2" s="49">
        <f>O2-N2</f>
        <v>76.737677112674646</v>
      </c>
      <c r="Q2" s="14"/>
      <c r="R2" s="14"/>
      <c r="S2" s="14"/>
    </row>
    <row r="3" spans="1:19" x14ac:dyDescent="0.25">
      <c r="A3" s="136"/>
      <c r="B3" s="75" t="s">
        <v>185</v>
      </c>
      <c r="C3" s="91">
        <v>129</v>
      </c>
      <c r="D3" s="31">
        <f>References!B9</f>
        <v>1</v>
      </c>
      <c r="E3" s="45">
        <f t="shared" ref="E3:E20" si="1">C3*D3*12</f>
        <v>1548</v>
      </c>
      <c r="F3" s="80">
        <f>References!B20</f>
        <v>37</v>
      </c>
      <c r="G3" s="32">
        <f t="shared" ref="G3:G21" si="2">F3*E3</f>
        <v>57276</v>
      </c>
      <c r="H3" s="36">
        <f t="shared" ref="H3:H21" si="3">G3*C$117</f>
        <v>34135.16823886388</v>
      </c>
      <c r="I3" s="49">
        <f>H3*References!G$73</f>
        <v>88.545423225260876</v>
      </c>
      <c r="J3" s="49">
        <f>I3/References!G$53</f>
        <v>91.293353155233405</v>
      </c>
      <c r="K3" s="49">
        <f t="shared" ref="K3:K21" si="4">J3/E3*D3</f>
        <v>5.8975034338006077E-2</v>
      </c>
      <c r="L3" s="33">
        <v>8.5532508388116693</v>
      </c>
      <c r="M3" s="49">
        <f t="shared" si="0"/>
        <v>8.6122258731496757</v>
      </c>
      <c r="N3" s="49">
        <f t="shared" ref="N3:N20" si="5">L3*C3*12</f>
        <v>13240.432298480464</v>
      </c>
      <c r="O3" s="49">
        <f t="shared" ref="O3:O20" si="6">M3*C3*12</f>
        <v>13331.725651635699</v>
      </c>
      <c r="P3" s="49">
        <f t="shared" ref="P3:P21" si="7">O3-N3</f>
        <v>91.293353155235309</v>
      </c>
      <c r="Q3" s="14"/>
      <c r="R3" s="14">
        <v>8.5531850409746752</v>
      </c>
      <c r="S3" s="14">
        <f>M3/L3*R3</f>
        <v>8.6121596216337526</v>
      </c>
    </row>
    <row r="4" spans="1:19" x14ac:dyDescent="0.25">
      <c r="A4" s="136"/>
      <c r="B4" s="75" t="s">
        <v>186</v>
      </c>
      <c r="C4" s="91">
        <v>147</v>
      </c>
      <c r="D4" s="31">
        <f>References!$B$7</f>
        <v>4.333333333333333</v>
      </c>
      <c r="E4" s="45">
        <f t="shared" si="1"/>
        <v>7644</v>
      </c>
      <c r="F4" s="80">
        <f>References!B13</f>
        <v>20</v>
      </c>
      <c r="G4" s="32">
        <f t="shared" si="2"/>
        <v>152880</v>
      </c>
      <c r="H4" s="36">
        <f t="shared" si="3"/>
        <v>91112.935965456913</v>
      </c>
      <c r="I4" s="49">
        <f>H4*References!G$73</f>
        <v>236.3437443724751</v>
      </c>
      <c r="J4" s="49">
        <f>I4/References!G$53</f>
        <v>243.67846620525322</v>
      </c>
      <c r="K4" s="49">
        <f t="shared" si="4"/>
        <v>0.13813972007100522</v>
      </c>
      <c r="L4" s="33">
        <v>11.444242149523626</v>
      </c>
      <c r="M4" s="49">
        <f t="shared" si="0"/>
        <v>11.582381869594631</v>
      </c>
      <c r="N4" s="49">
        <f t="shared" si="5"/>
        <v>20187.643151759679</v>
      </c>
      <c r="O4" s="49">
        <f t="shared" si="6"/>
        <v>20431.321617964928</v>
      </c>
      <c r="P4" s="49">
        <f t="shared" si="7"/>
        <v>243.6784662052487</v>
      </c>
      <c r="Q4" s="14"/>
      <c r="R4" s="14"/>
      <c r="S4" s="14"/>
    </row>
    <row r="5" spans="1:19" x14ac:dyDescent="0.25">
      <c r="A5" s="136"/>
      <c r="B5" s="75" t="s">
        <v>187</v>
      </c>
      <c r="C5" s="91">
        <v>1120</v>
      </c>
      <c r="D5" s="31">
        <f>References!$B$7</f>
        <v>4.333333333333333</v>
      </c>
      <c r="E5" s="45">
        <f t="shared" si="1"/>
        <v>58240</v>
      </c>
      <c r="F5" s="80">
        <f>References!B13</f>
        <v>20</v>
      </c>
      <c r="G5" s="32">
        <f t="shared" si="2"/>
        <v>1164800</v>
      </c>
      <c r="H5" s="36">
        <f t="shared" si="3"/>
        <v>694193.79783205257</v>
      </c>
      <c r="I5" s="49">
        <f>H5*References!G$73</f>
        <v>1800.7142428379052</v>
      </c>
      <c r="J5" s="49">
        <f>I5/References!G$53</f>
        <v>1856.5978377543099</v>
      </c>
      <c r="K5" s="49">
        <f t="shared" si="4"/>
        <v>0.1381397200710052</v>
      </c>
      <c r="L5" s="33">
        <v>12.444242149523626</v>
      </c>
      <c r="M5" s="49">
        <f t="shared" si="0"/>
        <v>12.582381869594631</v>
      </c>
      <c r="N5" s="49">
        <f t="shared" si="5"/>
        <v>167250.61448959756</v>
      </c>
      <c r="O5" s="49">
        <f t="shared" si="6"/>
        <v>169107.21232735185</v>
      </c>
      <c r="P5" s="49">
        <f t="shared" si="7"/>
        <v>1856.5978377542924</v>
      </c>
      <c r="Q5" s="14"/>
      <c r="R5" s="14">
        <v>6.9194753723812372</v>
      </c>
      <c r="S5" s="14">
        <f>M5/L5*R5</f>
        <v>6.9962863488548468</v>
      </c>
    </row>
    <row r="6" spans="1:19" x14ac:dyDescent="0.25">
      <c r="A6" s="136"/>
      <c r="B6" s="75" t="s">
        <v>188</v>
      </c>
      <c r="C6" s="91">
        <v>4049</v>
      </c>
      <c r="D6" s="31">
        <f>References!$B$7</f>
        <v>4.333333333333333</v>
      </c>
      <c r="E6" s="45">
        <f t="shared" si="1"/>
        <v>210547.99999999997</v>
      </c>
      <c r="F6" s="80">
        <f>References!$B$14</f>
        <v>34</v>
      </c>
      <c r="G6" s="32">
        <f t="shared" si="2"/>
        <v>7158631.9999999991</v>
      </c>
      <c r="H6" s="36">
        <f t="shared" si="3"/>
        <v>4266378.7219797922</v>
      </c>
      <c r="I6" s="49">
        <f>H6*References!G$73</f>
        <v>11066.836024755494</v>
      </c>
      <c r="J6" s="49">
        <f>I6/References!G$53</f>
        <v>11410.285621977002</v>
      </c>
      <c r="K6" s="49">
        <f t="shared" si="4"/>
        <v>0.23483752412070888</v>
      </c>
      <c r="L6" s="33">
        <v>15.180242078871695</v>
      </c>
      <c r="M6" s="49">
        <f t="shared" si="0"/>
        <v>15.415079602992403</v>
      </c>
      <c r="N6" s="49">
        <f t="shared" si="5"/>
        <v>737577.60212821793</v>
      </c>
      <c r="O6" s="49">
        <f t="shared" si="6"/>
        <v>748987.88775019487</v>
      </c>
      <c r="P6" s="49">
        <f t="shared" si="7"/>
        <v>11410.285621976946</v>
      </c>
      <c r="Q6" s="14"/>
      <c r="R6" s="14"/>
      <c r="S6" s="14"/>
    </row>
    <row r="7" spans="1:19" x14ac:dyDescent="0.25">
      <c r="A7" s="136"/>
      <c r="B7" s="75" t="s">
        <v>189</v>
      </c>
      <c r="C7" s="91">
        <v>1155</v>
      </c>
      <c r="D7" s="111">
        <f>References!C7</f>
        <v>8.6666666666666661</v>
      </c>
      <c r="E7" s="45">
        <f t="shared" si="1"/>
        <v>120120</v>
      </c>
      <c r="F7" s="80">
        <f>References!$B$14</f>
        <v>34</v>
      </c>
      <c r="G7" s="32">
        <f t="shared" si="2"/>
        <v>4084080</v>
      </c>
      <c r="H7" s="36">
        <f t="shared" si="3"/>
        <v>2434017.0036486345</v>
      </c>
      <c r="I7" s="49">
        <f>H7*References!G$73</f>
        <v>6313.754313950406</v>
      </c>
      <c r="J7" s="49">
        <f>I7/References!G$53</f>
        <v>6509.6961686260502</v>
      </c>
      <c r="K7" s="49">
        <f t="shared" si="4"/>
        <v>0.46967504824141776</v>
      </c>
      <c r="L7" s="33">
        <v>23.98048415774339</v>
      </c>
      <c r="M7" s="49">
        <f t="shared" si="0"/>
        <v>24.450159205984807</v>
      </c>
      <c r="N7" s="49">
        <f t="shared" si="5"/>
        <v>332369.5104263234</v>
      </c>
      <c r="O7" s="49">
        <f t="shared" si="6"/>
        <v>338879.20659494947</v>
      </c>
      <c r="P7" s="49">
        <f t="shared" si="7"/>
        <v>6509.6961686260765</v>
      </c>
      <c r="Q7" s="14"/>
      <c r="R7" s="14"/>
      <c r="S7" s="14"/>
    </row>
    <row r="8" spans="1:19" x14ac:dyDescent="0.25">
      <c r="A8" s="136"/>
      <c r="B8" s="75" t="s">
        <v>190</v>
      </c>
      <c r="C8" s="91">
        <v>64</v>
      </c>
      <c r="D8" s="111">
        <f>References!D7</f>
        <v>13</v>
      </c>
      <c r="E8" s="45">
        <f t="shared" si="1"/>
        <v>9984</v>
      </c>
      <c r="F8" s="80">
        <f>References!$B$14</f>
        <v>34</v>
      </c>
      <c r="G8" s="32">
        <f t="shared" si="2"/>
        <v>339456</v>
      </c>
      <c r="H8" s="36">
        <f t="shared" si="3"/>
        <v>202307.90679676962</v>
      </c>
      <c r="I8" s="49">
        <f>H8*References!G$73</f>
        <v>524.77957934133246</v>
      </c>
      <c r="J8" s="49">
        <f>I8/References!G$53</f>
        <v>541.06565557411329</v>
      </c>
      <c r="K8" s="49">
        <f>J8/E8*D8</f>
        <v>0.70451257236212672</v>
      </c>
      <c r="L8" s="33">
        <v>32.770726236615076</v>
      </c>
      <c r="M8" s="49">
        <f t="shared" si="0"/>
        <v>33.475238808977203</v>
      </c>
      <c r="N8" s="49">
        <f t="shared" si="5"/>
        <v>25167.917749720378</v>
      </c>
      <c r="O8" s="49">
        <f t="shared" si="6"/>
        <v>25708.983405294493</v>
      </c>
      <c r="P8" s="49">
        <f t="shared" si="7"/>
        <v>541.06565557411523</v>
      </c>
      <c r="Q8" s="14"/>
      <c r="R8" s="14"/>
      <c r="S8" s="14"/>
    </row>
    <row r="9" spans="1:19" x14ac:dyDescent="0.25">
      <c r="A9" s="136"/>
      <c r="B9" s="75" t="s">
        <v>191</v>
      </c>
      <c r="C9" s="91">
        <v>13</v>
      </c>
      <c r="D9" s="111">
        <f>References!E7</f>
        <v>17.333333333333332</v>
      </c>
      <c r="E9" s="45">
        <f t="shared" si="1"/>
        <v>2704</v>
      </c>
      <c r="F9" s="80">
        <f>References!$B$14</f>
        <v>34</v>
      </c>
      <c r="G9" s="32">
        <f t="shared" si="2"/>
        <v>91936</v>
      </c>
      <c r="H9" s="36">
        <f t="shared" si="3"/>
        <v>54791.72475745844</v>
      </c>
      <c r="I9" s="49">
        <f>H9*References!G$73</f>
        <v>142.12780273827755</v>
      </c>
      <c r="J9" s="49">
        <f>I9/References!G$53</f>
        <v>146.53861505132235</v>
      </c>
      <c r="K9" s="49">
        <f t="shared" ref="K9:K20" si="8">J9/E9*D9</f>
        <v>0.93935009648283552</v>
      </c>
      <c r="L9" s="33">
        <v>41.568846616760659</v>
      </c>
      <c r="M9" s="49">
        <f>K9+L9</f>
        <v>42.508196713243493</v>
      </c>
      <c r="N9" s="49">
        <f t="shared" si="5"/>
        <v>6484.7400722146631</v>
      </c>
      <c r="O9" s="49">
        <f t="shared" si="6"/>
        <v>6631.2786872659854</v>
      </c>
      <c r="P9" s="49">
        <f t="shared" si="7"/>
        <v>146.53861505132227</v>
      </c>
      <c r="Q9" s="14"/>
      <c r="R9" s="14"/>
      <c r="S9" s="14"/>
    </row>
    <row r="10" spans="1:19" x14ac:dyDescent="0.25">
      <c r="A10" s="136"/>
      <c r="B10" s="75" t="s">
        <v>192</v>
      </c>
      <c r="C10" s="91">
        <v>3</v>
      </c>
      <c r="D10" s="111">
        <f>References!F7</f>
        <v>21.666666666666664</v>
      </c>
      <c r="E10" s="45">
        <f t="shared" si="1"/>
        <v>780</v>
      </c>
      <c r="F10" s="80">
        <f>References!$B$14</f>
        <v>34</v>
      </c>
      <c r="G10" s="32">
        <f t="shared" si="2"/>
        <v>26520</v>
      </c>
      <c r="H10" s="36">
        <f t="shared" si="3"/>
        <v>15805.305218497626</v>
      </c>
      <c r="I10" s="49">
        <f>H10*References!G$73</f>
        <v>40.998404636041592</v>
      </c>
      <c r="J10" s="49">
        <f>I10/References!G$53</f>
        <v>42.270754341727596</v>
      </c>
      <c r="K10" s="49">
        <f t="shared" si="8"/>
        <v>1.1741876206035442</v>
      </c>
      <c r="L10" s="33">
        <v>50.361210394358466</v>
      </c>
      <c r="M10" s="49">
        <f t="shared" si="0"/>
        <v>51.535398014962013</v>
      </c>
      <c r="N10" s="49">
        <f t="shared" si="5"/>
        <v>1813.0035741969048</v>
      </c>
      <c r="O10" s="49">
        <f t="shared" si="6"/>
        <v>1855.2743285386323</v>
      </c>
      <c r="P10" s="49">
        <f t="shared" si="7"/>
        <v>42.270754341727525</v>
      </c>
      <c r="Q10" s="14"/>
      <c r="R10" s="14"/>
      <c r="S10" s="14"/>
    </row>
    <row r="11" spans="1:19" x14ac:dyDescent="0.25">
      <c r="A11" s="136"/>
      <c r="B11" s="75" t="s">
        <v>193</v>
      </c>
      <c r="C11" s="91">
        <v>1E-4</v>
      </c>
      <c r="D11" s="111">
        <f>References!G7</f>
        <v>26</v>
      </c>
      <c r="E11" s="45">
        <f t="shared" si="1"/>
        <v>3.1200000000000006E-2</v>
      </c>
      <c r="F11" s="80">
        <f>References!$B$14</f>
        <v>34</v>
      </c>
      <c r="G11" s="32">
        <f t="shared" si="2"/>
        <v>1.0608000000000002</v>
      </c>
      <c r="H11" s="36">
        <f t="shared" si="3"/>
        <v>0.63221220873990513</v>
      </c>
      <c r="I11" s="49">
        <f>H11*References!G$73</f>
        <v>1.639936185441664E-3</v>
      </c>
      <c r="J11" s="49">
        <f>I11/References!G$53</f>
        <v>1.690830173669104E-3</v>
      </c>
      <c r="K11" s="49">
        <f t="shared" si="8"/>
        <v>1.4090251447242532</v>
      </c>
      <c r="L11" s="33">
        <v>59.123269925140988</v>
      </c>
      <c r="M11" s="49">
        <f t="shared" si="0"/>
        <v>60.532295069865242</v>
      </c>
      <c r="N11" s="49">
        <f t="shared" si="5"/>
        <v>7.0947923910169186E-2</v>
      </c>
      <c r="O11" s="49">
        <f t="shared" si="6"/>
        <v>7.2638754083838297E-2</v>
      </c>
      <c r="P11" s="49">
        <f t="shared" si="7"/>
        <v>1.6908301736691111E-3</v>
      </c>
      <c r="Q11" s="14"/>
      <c r="R11" s="14"/>
      <c r="S11" s="14"/>
    </row>
    <row r="12" spans="1:19" x14ac:dyDescent="0.25">
      <c r="B12" s="75" t="s">
        <v>194</v>
      </c>
      <c r="C12" s="91">
        <v>8197</v>
      </c>
      <c r="D12" s="31">
        <f>References!$B$7</f>
        <v>4.333333333333333</v>
      </c>
      <c r="E12" s="45">
        <f t="shared" si="1"/>
        <v>426243.99999999994</v>
      </c>
      <c r="F12" s="80">
        <f>References!$B$20</f>
        <v>37</v>
      </c>
      <c r="G12" s="32">
        <f t="shared" si="2"/>
        <v>15771027.999999998</v>
      </c>
      <c r="H12" s="36">
        <f t="shared" si="3"/>
        <v>9399167.0870841686</v>
      </c>
      <c r="I12" s="49">
        <f>H12*References!G$73</f>
        <v>24381.10812482435</v>
      </c>
      <c r="J12" s="49">
        <f>I12/References!G$53</f>
        <v>25137.754536369059</v>
      </c>
      <c r="K12" s="49">
        <f t="shared" si="8"/>
        <v>0.25555848213135968</v>
      </c>
      <c r="L12" s="33">
        <v>16.384086968183901</v>
      </c>
      <c r="M12" s="49">
        <f t="shared" si="0"/>
        <v>16.63964545031526</v>
      </c>
      <c r="N12" s="49">
        <f t="shared" si="5"/>
        <v>1611604.3305384414</v>
      </c>
      <c r="O12" s="49">
        <f t="shared" si="6"/>
        <v>1636742.0850748103</v>
      </c>
      <c r="P12" s="49">
        <f t="shared" si="7"/>
        <v>25137.754536368884</v>
      </c>
      <c r="Q12" s="14"/>
      <c r="R12" s="14">
        <v>9.0984238267944164</v>
      </c>
      <c r="S12" s="14">
        <f>M12/L12*R12</f>
        <v>9.24034076043122</v>
      </c>
    </row>
    <row r="13" spans="1:19" x14ac:dyDescent="0.25">
      <c r="B13" s="75" t="s">
        <v>195</v>
      </c>
      <c r="C13" s="91">
        <v>24</v>
      </c>
      <c r="D13" s="111">
        <f>References!B6</f>
        <v>8.6666666666666661</v>
      </c>
      <c r="E13" s="45">
        <f t="shared" si="1"/>
        <v>2496</v>
      </c>
      <c r="F13" s="80">
        <f>References!$B$20</f>
        <v>37</v>
      </c>
      <c r="G13" s="32">
        <f t="shared" si="2"/>
        <v>92352</v>
      </c>
      <c r="H13" s="36">
        <f t="shared" si="3"/>
        <v>55039.651113827029</v>
      </c>
      <c r="I13" s="49">
        <f>H13*References!G$73</f>
        <v>142.7709149678625</v>
      </c>
      <c r="J13" s="49">
        <f>I13/References!G$53</f>
        <v>147.20168570766316</v>
      </c>
      <c r="K13" s="49">
        <f t="shared" si="8"/>
        <v>0.51111696426271924</v>
      </c>
      <c r="L13" s="33">
        <v>25.7781739363678</v>
      </c>
      <c r="M13" s="49">
        <f t="shared" si="0"/>
        <v>26.289290900630519</v>
      </c>
      <c r="N13" s="49">
        <f t="shared" si="5"/>
        <v>7424.1140936739257</v>
      </c>
      <c r="O13" s="49">
        <f t="shared" si="6"/>
        <v>7571.3157793815899</v>
      </c>
      <c r="P13" s="49">
        <f t="shared" si="7"/>
        <v>147.20168570766418</v>
      </c>
      <c r="Q13" s="14"/>
      <c r="R13" s="14"/>
      <c r="S13" s="14"/>
    </row>
    <row r="14" spans="1:19" x14ac:dyDescent="0.25">
      <c r="B14" s="75" t="s">
        <v>196</v>
      </c>
      <c r="C14" s="91">
        <v>1</v>
      </c>
      <c r="D14" s="111">
        <f>References!B5</f>
        <v>13</v>
      </c>
      <c r="E14" s="45">
        <f t="shared" si="1"/>
        <v>156</v>
      </c>
      <c r="F14" s="80">
        <f>References!$B$20</f>
        <v>37</v>
      </c>
      <c r="G14" s="32">
        <f t="shared" si="2"/>
        <v>5772</v>
      </c>
      <c r="H14" s="36">
        <f t="shared" si="3"/>
        <v>3439.9781946141893</v>
      </c>
      <c r="I14" s="49">
        <f>H14*References!G$73</f>
        <v>8.923182185491406</v>
      </c>
      <c r="J14" s="49">
        <f>I14/References!G$53</f>
        <v>9.2001053567289475</v>
      </c>
      <c r="K14" s="49">
        <f t="shared" si="8"/>
        <v>0.76667544639407892</v>
      </c>
      <c r="L14" s="33">
        <v>35.172260904551706</v>
      </c>
      <c r="M14" s="49">
        <f t="shared" si="0"/>
        <v>35.938936350945788</v>
      </c>
      <c r="N14" s="49">
        <f t="shared" si="5"/>
        <v>422.06713085462047</v>
      </c>
      <c r="O14" s="49">
        <f t="shared" si="6"/>
        <v>431.26723621134943</v>
      </c>
      <c r="P14" s="49">
        <f t="shared" si="7"/>
        <v>9.2001053567289546</v>
      </c>
      <c r="Q14" s="14"/>
      <c r="R14" s="14"/>
      <c r="S14" s="14"/>
    </row>
    <row r="15" spans="1:19" x14ac:dyDescent="0.25">
      <c r="B15" s="75" t="s">
        <v>197</v>
      </c>
      <c r="C15" s="91">
        <v>2</v>
      </c>
      <c r="D15" s="111">
        <f>References!B4</f>
        <v>17.333333333333332</v>
      </c>
      <c r="E15" s="45">
        <f t="shared" si="1"/>
        <v>416</v>
      </c>
      <c r="F15" s="80">
        <f>References!$B$20</f>
        <v>37</v>
      </c>
      <c r="G15" s="32">
        <f t="shared" si="2"/>
        <v>15392</v>
      </c>
      <c r="H15" s="36">
        <f t="shared" si="3"/>
        <v>9173.2751856378381</v>
      </c>
      <c r="I15" s="49">
        <f>H15*References!G$73</f>
        <v>23.795152494643752</v>
      </c>
      <c r="J15" s="49">
        <f>I15/References!G$53</f>
        <v>24.533614284610529</v>
      </c>
      <c r="K15" s="49">
        <f t="shared" si="8"/>
        <v>1.0222339285254387</v>
      </c>
      <c r="L15" s="33">
        <v>44.566347872735598</v>
      </c>
      <c r="M15" s="49">
        <f t="shared" si="0"/>
        <v>45.588581801261036</v>
      </c>
      <c r="N15" s="49">
        <f t="shared" si="5"/>
        <v>1069.5923489456543</v>
      </c>
      <c r="O15" s="49">
        <f t="shared" si="6"/>
        <v>1094.1259632302649</v>
      </c>
      <c r="P15" s="49">
        <f t="shared" si="7"/>
        <v>24.533614284610621</v>
      </c>
      <c r="Q15" s="14"/>
      <c r="R15" s="14"/>
      <c r="S15" s="14"/>
    </row>
    <row r="16" spans="1:19" x14ac:dyDescent="0.25">
      <c r="B16" s="75" t="s">
        <v>198</v>
      </c>
      <c r="C16" s="91">
        <v>7933</v>
      </c>
      <c r="D16" s="31">
        <f>References!$B$7</f>
        <v>4.333333333333333</v>
      </c>
      <c r="E16" s="45">
        <f t="shared" si="1"/>
        <v>412515.99999999994</v>
      </c>
      <c r="F16" s="79">
        <f>References!$B$21</f>
        <v>47</v>
      </c>
      <c r="G16" s="32">
        <f t="shared" si="2"/>
        <v>19388251.999999996</v>
      </c>
      <c r="H16" s="36">
        <f t="shared" si="3"/>
        <v>11554948.737298151</v>
      </c>
      <c r="I16" s="49">
        <f>H16*References!G$73</f>
        <v>29973.129739123022</v>
      </c>
      <c r="J16" s="49">
        <f>I16/References!G$53</f>
        <v>30903.319660916612</v>
      </c>
      <c r="K16" s="49">
        <f t="shared" si="8"/>
        <v>0.32462834216686215</v>
      </c>
      <c r="L16" s="35">
        <v>24.423569932557928</v>
      </c>
      <c r="M16" s="49">
        <f t="shared" si="0"/>
        <v>24.748198274724789</v>
      </c>
      <c r="N16" s="49">
        <f t="shared" si="5"/>
        <v>2325026.1632997845</v>
      </c>
      <c r="O16" s="49">
        <f t="shared" si="6"/>
        <v>2355929.482960701</v>
      </c>
      <c r="P16" s="49">
        <f t="shared" si="7"/>
        <v>30903.319660916459</v>
      </c>
      <c r="Q16" s="14"/>
      <c r="R16" s="14">
        <v>13.485391195660188</v>
      </c>
      <c r="S16" s="14">
        <f>M16/L16*R16</f>
        <v>13.664633632347668</v>
      </c>
    </row>
    <row r="17" spans="2:19" x14ac:dyDescent="0.25">
      <c r="B17" s="75" t="s">
        <v>199</v>
      </c>
      <c r="C17" s="91">
        <v>59</v>
      </c>
      <c r="D17" s="111">
        <f>References!B6</f>
        <v>8.6666666666666661</v>
      </c>
      <c r="E17" s="45">
        <f t="shared" si="1"/>
        <v>6136</v>
      </c>
      <c r="F17" s="79">
        <f>References!$B$21</f>
        <v>47</v>
      </c>
      <c r="G17" s="32">
        <f t="shared" si="2"/>
        <v>288392</v>
      </c>
      <c r="H17" s="36">
        <f t="shared" si="3"/>
        <v>171874.94655252516</v>
      </c>
      <c r="I17" s="49">
        <f>H17*References!G$73</f>
        <v>445.83755315977783</v>
      </c>
      <c r="J17" s="49">
        <f>I17/References!G$53</f>
        <v>459.673732508277</v>
      </c>
      <c r="K17" s="49">
        <f t="shared" si="8"/>
        <v>0.64925668433372463</v>
      </c>
      <c r="L17" s="35">
        <v>38.287139865115861</v>
      </c>
      <c r="M17" s="49">
        <f>K17+L17</f>
        <v>38.936396549449583</v>
      </c>
      <c r="N17" s="49">
        <f t="shared" si="5"/>
        <v>27107.295024502033</v>
      </c>
      <c r="O17" s="49">
        <f t="shared" si="6"/>
        <v>27566.968757010305</v>
      </c>
      <c r="P17" s="49">
        <f t="shared" si="7"/>
        <v>459.67373250827222</v>
      </c>
      <c r="Q17" s="14"/>
      <c r="R17" s="14"/>
      <c r="S17" s="14"/>
    </row>
    <row r="18" spans="2:19" x14ac:dyDescent="0.25">
      <c r="B18" s="75" t="s">
        <v>200</v>
      </c>
      <c r="C18" s="91">
        <v>4</v>
      </c>
      <c r="D18" s="111">
        <f>References!B5</f>
        <v>13</v>
      </c>
      <c r="E18" s="45">
        <f t="shared" si="1"/>
        <v>624</v>
      </c>
      <c r="F18" s="79">
        <f>References!$B$21</f>
        <v>47</v>
      </c>
      <c r="G18" s="32">
        <f t="shared" si="2"/>
        <v>29328</v>
      </c>
      <c r="H18" s="36">
        <f t="shared" si="3"/>
        <v>17478.808123985611</v>
      </c>
      <c r="I18" s="49">
        <f>H18*References!G$73</f>
        <v>45.339412185740123</v>
      </c>
      <c r="J18" s="49">
        <f>I18/References!G$53</f>
        <v>46.74648127202817</v>
      </c>
      <c r="K18" s="49">
        <f t="shared" si="8"/>
        <v>0.97388502650058695</v>
      </c>
      <c r="L18" s="35">
        <v>52.150709797673784</v>
      </c>
      <c r="M18" s="49">
        <f>K18+L18</f>
        <v>53.124594824174373</v>
      </c>
      <c r="N18" s="49">
        <f t="shared" si="5"/>
        <v>2503.2340702883416</v>
      </c>
      <c r="O18" s="49">
        <f t="shared" si="6"/>
        <v>2549.9805515603698</v>
      </c>
      <c r="P18" s="49">
        <f t="shared" si="7"/>
        <v>46.746481272028177</v>
      </c>
      <c r="Q18" s="14"/>
      <c r="R18" s="14"/>
      <c r="S18" s="14"/>
    </row>
    <row r="19" spans="2:19" x14ac:dyDescent="0.25">
      <c r="B19" s="75" t="s">
        <v>201</v>
      </c>
      <c r="C19" s="91">
        <v>2045</v>
      </c>
      <c r="D19" s="31">
        <f>References!$B$7</f>
        <v>4.333333333333333</v>
      </c>
      <c r="E19" s="45">
        <f t="shared" si="1"/>
        <v>106340</v>
      </c>
      <c r="F19" s="79">
        <f>References!$B$22</f>
        <v>68</v>
      </c>
      <c r="G19" s="32">
        <f t="shared" si="2"/>
        <v>7231120</v>
      </c>
      <c r="H19" s="36">
        <f t="shared" si="3"/>
        <v>4309579.88957702</v>
      </c>
      <c r="I19" s="49">
        <f>H19*References!G$73</f>
        <v>11178.898330760676</v>
      </c>
      <c r="J19" s="49">
        <f>I19/References!G$53</f>
        <v>11525.825683844392</v>
      </c>
      <c r="K19" s="49">
        <f t="shared" si="8"/>
        <v>0.46967504824141776</v>
      </c>
      <c r="L19" s="35">
        <v>32.84048415774339</v>
      </c>
      <c r="M19" s="49">
        <f>K19+L19</f>
        <v>33.31015920598481</v>
      </c>
      <c r="N19" s="49">
        <f t="shared" si="5"/>
        <v>805905.48123102286</v>
      </c>
      <c r="O19" s="49">
        <f t="shared" si="6"/>
        <v>817431.30691486737</v>
      </c>
      <c r="P19" s="49">
        <f t="shared" si="7"/>
        <v>11525.825683844509</v>
      </c>
      <c r="Q19" s="14"/>
      <c r="R19" s="14">
        <v>18.143694654135629</v>
      </c>
      <c r="S19" s="14">
        <f>M19/L19*R19</f>
        <v>18.403180495483962</v>
      </c>
    </row>
    <row r="20" spans="2:19" x14ac:dyDescent="0.25">
      <c r="B20" s="75" t="s">
        <v>202</v>
      </c>
      <c r="C20" s="91">
        <v>53</v>
      </c>
      <c r="D20" s="111">
        <f>References!B6</f>
        <v>8.6666666666666661</v>
      </c>
      <c r="E20" s="45">
        <f t="shared" si="1"/>
        <v>5512</v>
      </c>
      <c r="F20" s="79">
        <f>References!$B$22</f>
        <v>68</v>
      </c>
      <c r="G20" s="32">
        <f t="shared" si="2"/>
        <v>374816</v>
      </c>
      <c r="H20" s="36">
        <f t="shared" si="3"/>
        <v>223381.64708809979</v>
      </c>
      <c r="I20" s="49">
        <f>H20*References!G$73</f>
        <v>579.44411885605462</v>
      </c>
      <c r="J20" s="49">
        <f>I20/References!G$53</f>
        <v>597.42666136308344</v>
      </c>
      <c r="K20" s="49">
        <f t="shared" si="8"/>
        <v>0.93935009648283552</v>
      </c>
      <c r="L20" s="35">
        <v>51.530968315486781</v>
      </c>
      <c r="M20" s="49">
        <f>K20+L20</f>
        <v>52.470318411969615</v>
      </c>
      <c r="N20" s="49">
        <f t="shared" si="5"/>
        <v>32773.695848649593</v>
      </c>
      <c r="O20" s="49">
        <f t="shared" si="6"/>
        <v>33371.122510012676</v>
      </c>
      <c r="P20" s="49">
        <f t="shared" si="7"/>
        <v>597.42666136308253</v>
      </c>
      <c r="Q20" s="14"/>
      <c r="R20" s="14"/>
      <c r="S20" s="14"/>
    </row>
    <row r="21" spans="2:19" x14ac:dyDescent="0.25">
      <c r="B21" s="110" t="s">
        <v>48</v>
      </c>
      <c r="C21" s="91"/>
      <c r="D21" s="34">
        <f>References!B9</f>
        <v>1</v>
      </c>
      <c r="E21" s="45">
        <v>2942</v>
      </c>
      <c r="F21" s="79">
        <f>References!B14</f>
        <v>34</v>
      </c>
      <c r="G21" s="32">
        <f t="shared" si="2"/>
        <v>100028</v>
      </c>
      <c r="H21" s="36">
        <f t="shared" si="3"/>
        <v>59614.369170282072</v>
      </c>
      <c r="I21" s="49">
        <f>H21*References!G$73</f>
        <v>154.63757235799278</v>
      </c>
      <c r="J21" s="49">
        <f>I21/References!G$53</f>
        <v>159.43661445302897</v>
      </c>
      <c r="K21" s="49">
        <f t="shared" si="4"/>
        <v>5.4193274797086667E-2</v>
      </c>
      <c r="L21" s="35">
        <v>4.1008250951242369</v>
      </c>
      <c r="M21" s="49">
        <f>K21+L21</f>
        <v>4.1550183699213239</v>
      </c>
      <c r="N21" s="49">
        <f t="shared" ref="N21" si="9">L21*E21</f>
        <v>12064.627429855505</v>
      </c>
      <c r="O21" s="49">
        <f t="shared" ref="O21" si="10">M21*E21</f>
        <v>12224.064044308534</v>
      </c>
      <c r="P21" s="49">
        <f t="shared" si="7"/>
        <v>159.4366144530286</v>
      </c>
      <c r="Q21" s="14"/>
      <c r="R21" s="14"/>
      <c r="S21" s="14"/>
    </row>
    <row r="22" spans="2:19" x14ac:dyDescent="0.25">
      <c r="B22" s="29"/>
      <c r="C22" s="46"/>
      <c r="D22" s="34"/>
      <c r="E22" s="45"/>
      <c r="F22" s="30"/>
      <c r="G22" s="32">
        <f t="shared" ref="G22" si="11">F22*E22</f>
        <v>0</v>
      </c>
      <c r="H22" s="43"/>
      <c r="I22" s="53"/>
      <c r="J22" s="49"/>
      <c r="K22" s="49"/>
      <c r="L22" s="35"/>
      <c r="M22" s="49"/>
      <c r="N22" s="49"/>
      <c r="O22" s="49"/>
      <c r="P22" s="49"/>
    </row>
    <row r="23" spans="2:19" x14ac:dyDescent="0.25">
      <c r="B23" s="76" t="s">
        <v>204</v>
      </c>
      <c r="C23" s="93">
        <f>SUM(C2:C22)</f>
        <v>25116.000100000001</v>
      </c>
      <c r="D23" s="102"/>
      <c r="E23" s="103">
        <f>SUM(E2:E22)</f>
        <v>1376366.0311999999</v>
      </c>
      <c r="F23" s="104"/>
      <c r="G23" s="94">
        <f>SUM(G2:G22)</f>
        <v>56420205.060799994</v>
      </c>
      <c r="H23" s="105">
        <f>SUM(H2:H22)</f>
        <v>33625134.29397317</v>
      </c>
      <c r="I23" s="106"/>
      <c r="J23" s="107"/>
      <c r="K23" s="76"/>
      <c r="L23" s="108"/>
      <c r="M23" s="76"/>
      <c r="N23" s="100">
        <f>SUM(N2:N21)</f>
        <v>6140372.5841891486</v>
      </c>
      <c r="O23" s="107">
        <f>SUM(O2:O21)</f>
        <v>6230301.8688058527</v>
      </c>
      <c r="P23" s="107">
        <f>SUM(P2:P21)</f>
        <v>89929.284616703109</v>
      </c>
      <c r="Q23" s="130">
        <f>P23/N23</f>
        <v>1.464557457771571E-2</v>
      </c>
    </row>
    <row r="24" spans="2:19" ht="39" x14ac:dyDescent="0.25">
      <c r="B24" s="81" t="s">
        <v>207</v>
      </c>
      <c r="C24" s="82" t="s">
        <v>0</v>
      </c>
      <c r="D24" s="83" t="s">
        <v>1</v>
      </c>
      <c r="E24" s="84" t="s">
        <v>2</v>
      </c>
      <c r="F24" s="85" t="s">
        <v>86</v>
      </c>
      <c r="G24" s="86" t="s">
        <v>4</v>
      </c>
      <c r="H24" s="87" t="s">
        <v>5</v>
      </c>
      <c r="I24" s="88" t="s">
        <v>6</v>
      </c>
      <c r="J24" s="88" t="s">
        <v>7</v>
      </c>
      <c r="K24" s="87" t="s">
        <v>8</v>
      </c>
      <c r="L24" s="89" t="s">
        <v>9</v>
      </c>
      <c r="M24" s="87" t="s">
        <v>10</v>
      </c>
      <c r="N24" s="87" t="s">
        <v>11</v>
      </c>
      <c r="O24" s="87" t="s">
        <v>12</v>
      </c>
      <c r="P24" s="87" t="s">
        <v>205</v>
      </c>
    </row>
    <row r="25" spans="2:19" x14ac:dyDescent="0.25">
      <c r="B25" s="115" t="s">
        <v>118</v>
      </c>
      <c r="C25" s="116">
        <v>4</v>
      </c>
      <c r="D25" s="109">
        <f>References!B7</f>
        <v>4.333333333333333</v>
      </c>
      <c r="E25" s="117">
        <f>C25*D25*12</f>
        <v>208</v>
      </c>
      <c r="F25" s="78">
        <f>References!$B$26</f>
        <v>29</v>
      </c>
      <c r="G25" s="32">
        <f t="shared" ref="G25:G66" si="12">F25*E25</f>
        <v>6032</v>
      </c>
      <c r="H25" s="119">
        <f>G25*C$117</f>
        <v>3594.9321673445584</v>
      </c>
      <c r="I25" s="49">
        <f>H25*References!G$73</f>
        <v>9.3251273289820098</v>
      </c>
      <c r="J25" s="49">
        <f>I25/References!G$53</f>
        <v>9.6145245169419624</v>
      </c>
      <c r="K25" s="49">
        <f>J25/E25</f>
        <v>4.622367556222097E-2</v>
      </c>
      <c r="L25" s="35">
        <v>3.9001155223118489</v>
      </c>
      <c r="M25" s="49">
        <f t="shared" ref="M25:M36" si="13">K25+L25</f>
        <v>3.9463391978740701</v>
      </c>
      <c r="N25" s="49">
        <f>L25*E25</f>
        <v>811.22402864086462</v>
      </c>
      <c r="O25" s="49">
        <f>M25*E25</f>
        <v>820.83855315780659</v>
      </c>
      <c r="P25" s="49">
        <f>O25-N25</f>
        <v>9.6145245169419695</v>
      </c>
      <c r="Q25" s="14"/>
      <c r="R25" s="14">
        <v>23.317609059253449</v>
      </c>
      <c r="S25" s="14">
        <f>M25/L25*R25</f>
        <v>23.593966410689735</v>
      </c>
    </row>
    <row r="26" spans="2:19" x14ac:dyDescent="0.25">
      <c r="B26" s="73" t="s">
        <v>119</v>
      </c>
      <c r="C26" s="92">
        <v>12</v>
      </c>
      <c r="D26" s="109">
        <f>References!B6</f>
        <v>8.6666666666666661</v>
      </c>
      <c r="E26" s="45">
        <f t="shared" ref="E26:E37" si="14">C26*D26*12</f>
        <v>1248</v>
      </c>
      <c r="F26" s="78">
        <f>References!$B$26</f>
        <v>29</v>
      </c>
      <c r="G26" s="32">
        <f t="shared" si="12"/>
        <v>36192</v>
      </c>
      <c r="H26" s="119">
        <f t="shared" ref="H26:H89" si="15">G26*C$117</f>
        <v>21569.593004067348</v>
      </c>
      <c r="I26" s="49">
        <f>H26*References!G$73</f>
        <v>55.950763973892059</v>
      </c>
      <c r="J26" s="49">
        <f>I26/References!G$53</f>
        <v>57.687147101651782</v>
      </c>
      <c r="K26" s="49">
        <f t="shared" ref="K26:K89" si="16">J26/E26</f>
        <v>4.6223675562220977E-2</v>
      </c>
      <c r="L26" s="35">
        <v>3.9001155223118489</v>
      </c>
      <c r="M26" s="49">
        <f t="shared" si="13"/>
        <v>3.9463391978740701</v>
      </c>
      <c r="N26" s="49">
        <f>L26*E26</f>
        <v>4867.3441718451877</v>
      </c>
      <c r="O26" s="49">
        <f t="shared" ref="O26:O89" si="17">M26*E26</f>
        <v>4925.0313189468397</v>
      </c>
      <c r="P26" s="49">
        <f t="shared" ref="P26:P90" si="18">O26-N26</f>
        <v>57.687147101652045</v>
      </c>
      <c r="Q26" s="14"/>
      <c r="R26" s="14"/>
      <c r="S26" s="14"/>
    </row>
    <row r="27" spans="2:19" x14ac:dyDescent="0.25">
      <c r="B27" s="73" t="s">
        <v>120</v>
      </c>
      <c r="C27" s="92">
        <v>3</v>
      </c>
      <c r="D27" s="109">
        <f>References!B5</f>
        <v>13</v>
      </c>
      <c r="E27" s="45">
        <f t="shared" si="14"/>
        <v>468</v>
      </c>
      <c r="F27" s="78">
        <f>References!$B$26</f>
        <v>29</v>
      </c>
      <c r="G27" s="32">
        <f t="shared" si="12"/>
        <v>13572</v>
      </c>
      <c r="H27" s="119">
        <f t="shared" si="15"/>
        <v>8088.5973765252556</v>
      </c>
      <c r="I27" s="49">
        <f>H27*References!G$73</f>
        <v>20.981536490209521</v>
      </c>
      <c r="J27" s="49">
        <f>I27/References!G$53</f>
        <v>21.632680163119417</v>
      </c>
      <c r="K27" s="49">
        <f t="shared" si="16"/>
        <v>4.6223675562220977E-2</v>
      </c>
      <c r="L27" s="35">
        <v>3.9001155223118489</v>
      </c>
      <c r="M27" s="49">
        <f t="shared" si="13"/>
        <v>3.9463391978740701</v>
      </c>
      <c r="N27" s="49">
        <f t="shared" ref="N27:N90" si="19">L27*E27</f>
        <v>1825.2540644419453</v>
      </c>
      <c r="O27" s="49">
        <f t="shared" si="17"/>
        <v>1846.8867446050647</v>
      </c>
      <c r="P27" s="49">
        <f t="shared" si="18"/>
        <v>21.632680163119403</v>
      </c>
      <c r="Q27" s="14"/>
      <c r="R27" s="14"/>
      <c r="S27" s="14"/>
    </row>
    <row r="28" spans="2:19" x14ac:dyDescent="0.25">
      <c r="B28" s="73" t="s">
        <v>121</v>
      </c>
      <c r="C28" s="92">
        <v>8</v>
      </c>
      <c r="D28" s="109">
        <f>References!B4</f>
        <v>17.333333333333332</v>
      </c>
      <c r="E28" s="45">
        <f t="shared" si="14"/>
        <v>1664</v>
      </c>
      <c r="F28" s="78">
        <f>References!$B$26</f>
        <v>29</v>
      </c>
      <c r="G28" s="32">
        <f t="shared" si="12"/>
        <v>48256</v>
      </c>
      <c r="H28" s="119">
        <f t="shared" si="15"/>
        <v>28759.457338756467</v>
      </c>
      <c r="I28" s="49">
        <f>H28*References!G$73</f>
        <v>74.601018631856078</v>
      </c>
      <c r="J28" s="49">
        <f>I28/References!G$53</f>
        <v>76.916196135535699</v>
      </c>
      <c r="K28" s="49">
        <f t="shared" si="16"/>
        <v>4.622367556222097E-2</v>
      </c>
      <c r="L28" s="35">
        <v>3.9001155223118489</v>
      </c>
      <c r="M28" s="49">
        <f t="shared" si="13"/>
        <v>3.9463391978740701</v>
      </c>
      <c r="N28" s="49">
        <f t="shared" si="19"/>
        <v>6489.7922291269169</v>
      </c>
      <c r="O28" s="49">
        <f t="shared" si="17"/>
        <v>6566.7084252624527</v>
      </c>
      <c r="P28" s="49">
        <f t="shared" si="18"/>
        <v>76.916196135535756</v>
      </c>
      <c r="Q28" s="14"/>
      <c r="R28" s="14"/>
      <c r="S28" s="14"/>
    </row>
    <row r="29" spans="2:19" x14ac:dyDescent="0.25">
      <c r="B29" s="73" t="s">
        <v>122</v>
      </c>
      <c r="C29" s="92">
        <v>5</v>
      </c>
      <c r="D29" s="109">
        <f>References!B3</f>
        <v>21.666666666666668</v>
      </c>
      <c r="E29" s="45">
        <f t="shared" si="14"/>
        <v>1300</v>
      </c>
      <c r="F29" s="78">
        <f>References!$B$26</f>
        <v>29</v>
      </c>
      <c r="G29" s="32">
        <f t="shared" si="12"/>
        <v>37700</v>
      </c>
      <c r="H29" s="119">
        <f t="shared" si="15"/>
        <v>22468.32604590349</v>
      </c>
      <c r="I29" s="49">
        <f>H29*References!G$73</f>
        <v>58.282045806137567</v>
      </c>
      <c r="J29" s="49">
        <f>I29/References!G$53</f>
        <v>60.090778230887274</v>
      </c>
      <c r="K29" s="49">
        <f t="shared" si="16"/>
        <v>4.6223675562220977E-2</v>
      </c>
      <c r="L29" s="35">
        <v>3.9001155223118489</v>
      </c>
      <c r="M29" s="49">
        <f t="shared" si="13"/>
        <v>3.9463391978740701</v>
      </c>
      <c r="N29" s="49">
        <f t="shared" si="19"/>
        <v>5070.1501790054035</v>
      </c>
      <c r="O29" s="49">
        <f t="shared" si="17"/>
        <v>5130.2409572362913</v>
      </c>
      <c r="P29" s="49">
        <f t="shared" si="18"/>
        <v>60.090778230887736</v>
      </c>
      <c r="Q29" s="14"/>
      <c r="R29" s="14"/>
      <c r="S29" s="14"/>
    </row>
    <row r="30" spans="2:19" x14ac:dyDescent="0.25">
      <c r="B30" s="73" t="s">
        <v>123</v>
      </c>
      <c r="C30" s="92">
        <v>28</v>
      </c>
      <c r="D30" s="109">
        <f>References!B7</f>
        <v>4.333333333333333</v>
      </c>
      <c r="E30" s="45">
        <f>C30*D30*12*28</f>
        <v>40768</v>
      </c>
      <c r="F30" s="78">
        <f>References!$B$26</f>
        <v>29</v>
      </c>
      <c r="G30" s="32">
        <f t="shared" si="12"/>
        <v>1182272</v>
      </c>
      <c r="H30" s="119">
        <f t="shared" si="15"/>
        <v>704606.70479953347</v>
      </c>
      <c r="I30" s="49">
        <f>H30*References!G$73</f>
        <v>1827.7249564804742</v>
      </c>
      <c r="J30" s="49">
        <f>I30/References!G$53</f>
        <v>1884.4468053206251</v>
      </c>
      <c r="K30" s="49">
        <f t="shared" si="16"/>
        <v>4.6223675562220984E-2</v>
      </c>
      <c r="L30" s="35">
        <v>3.9001155223118489</v>
      </c>
      <c r="M30" s="49">
        <f t="shared" si="13"/>
        <v>3.9463391978740701</v>
      </c>
      <c r="N30" s="49">
        <f t="shared" si="19"/>
        <v>158999.90961360946</v>
      </c>
      <c r="O30" s="49">
        <f t="shared" si="17"/>
        <v>160884.35641893008</v>
      </c>
      <c r="P30" s="49">
        <f t="shared" si="18"/>
        <v>1884.4468053206219</v>
      </c>
      <c r="Q30" s="14"/>
      <c r="R30" s="14"/>
      <c r="S30" s="14"/>
    </row>
    <row r="31" spans="2:19" x14ac:dyDescent="0.25">
      <c r="B31" s="73" t="s">
        <v>124</v>
      </c>
      <c r="C31" s="92">
        <v>18</v>
      </c>
      <c r="D31" s="109">
        <f>References!B7</f>
        <v>4.333333333333333</v>
      </c>
      <c r="E31" s="45">
        <f t="shared" si="14"/>
        <v>936</v>
      </c>
      <c r="F31" s="79">
        <f>References!$B$20</f>
        <v>37</v>
      </c>
      <c r="G31" s="32">
        <f t="shared" si="12"/>
        <v>34632</v>
      </c>
      <c r="H31" s="119">
        <f t="shared" si="15"/>
        <v>20639.869167685138</v>
      </c>
      <c r="I31" s="49">
        <f>H31*References!G$73</f>
        <v>53.539093112948443</v>
      </c>
      <c r="J31" s="49">
        <f>I31/References!G$53</f>
        <v>55.200632140373692</v>
      </c>
      <c r="K31" s="49">
        <f t="shared" si="16"/>
        <v>5.8975034338006084E-2</v>
      </c>
      <c r="L31" s="35">
        <v>4.14325083881167</v>
      </c>
      <c r="M31" s="49">
        <f t="shared" si="13"/>
        <v>4.2022258731496764</v>
      </c>
      <c r="N31" s="49">
        <f t="shared" si="19"/>
        <v>3878.0827851277231</v>
      </c>
      <c r="O31" s="49">
        <f t="shared" si="17"/>
        <v>3933.2834172680973</v>
      </c>
      <c r="P31" s="49">
        <f t="shared" si="18"/>
        <v>55.200632140374182</v>
      </c>
      <c r="Q31" s="14"/>
      <c r="R31" s="14"/>
      <c r="S31" s="14"/>
    </row>
    <row r="32" spans="2:19" x14ac:dyDescent="0.25">
      <c r="B32" s="73" t="s">
        <v>125</v>
      </c>
      <c r="C32" s="92">
        <v>4</v>
      </c>
      <c r="D32" s="109">
        <f>References!B6</f>
        <v>8.6666666666666661</v>
      </c>
      <c r="E32" s="45">
        <f t="shared" si="14"/>
        <v>416</v>
      </c>
      <c r="F32" s="79">
        <f>References!$B$20</f>
        <v>37</v>
      </c>
      <c r="G32" s="32">
        <f t="shared" si="12"/>
        <v>15392</v>
      </c>
      <c r="H32" s="119">
        <f t="shared" si="15"/>
        <v>9173.2751856378381</v>
      </c>
      <c r="I32" s="49">
        <f>H32*References!G$73</f>
        <v>23.795152494643752</v>
      </c>
      <c r="J32" s="49">
        <f>I32/References!G$53</f>
        <v>24.533614284610529</v>
      </c>
      <c r="K32" s="49">
        <f t="shared" si="16"/>
        <v>5.8975034338006077E-2</v>
      </c>
      <c r="L32" s="35">
        <v>4.14325083881167</v>
      </c>
      <c r="M32" s="49">
        <f t="shared" si="13"/>
        <v>4.2022258731496764</v>
      </c>
      <c r="N32" s="49">
        <f t="shared" si="19"/>
        <v>1723.5923489456547</v>
      </c>
      <c r="O32" s="49">
        <f t="shared" si="17"/>
        <v>1748.1259632302654</v>
      </c>
      <c r="P32" s="49">
        <f t="shared" si="18"/>
        <v>24.533614284610621</v>
      </c>
      <c r="Q32" s="14"/>
      <c r="R32" s="14"/>
      <c r="S32" s="14"/>
    </row>
    <row r="33" spans="2:19" x14ac:dyDescent="0.25">
      <c r="B33" s="73" t="s">
        <v>126</v>
      </c>
      <c r="C33" s="92">
        <v>4</v>
      </c>
      <c r="D33" s="109">
        <f>References!B4</f>
        <v>17.333333333333332</v>
      </c>
      <c r="E33" s="45">
        <f t="shared" si="14"/>
        <v>832</v>
      </c>
      <c r="F33" s="79">
        <f>References!$B$20</f>
        <v>37</v>
      </c>
      <c r="G33" s="32">
        <f t="shared" si="12"/>
        <v>30784</v>
      </c>
      <c r="H33" s="119">
        <f t="shared" si="15"/>
        <v>18346.550371275676</v>
      </c>
      <c r="I33" s="49">
        <f>H33*References!G$73</f>
        <v>47.590304989287503</v>
      </c>
      <c r="J33" s="49">
        <f>I33/References!G$53</f>
        <v>49.067228569221058</v>
      </c>
      <c r="K33" s="49">
        <f t="shared" si="16"/>
        <v>5.8975034338006077E-2</v>
      </c>
      <c r="L33" s="35">
        <v>4.14325083881167</v>
      </c>
      <c r="M33" s="49">
        <f t="shared" si="13"/>
        <v>4.2022258731496764</v>
      </c>
      <c r="N33" s="49">
        <f t="shared" si="19"/>
        <v>3447.1846978913095</v>
      </c>
      <c r="O33" s="49">
        <f t="shared" si="17"/>
        <v>3496.2519264605307</v>
      </c>
      <c r="P33" s="49">
        <f t="shared" si="18"/>
        <v>49.067228569221243</v>
      </c>
      <c r="Q33" s="14"/>
      <c r="R33" s="14"/>
      <c r="S33" s="14"/>
    </row>
    <row r="34" spans="2:19" x14ac:dyDescent="0.25">
      <c r="B34" s="73" t="s">
        <v>127</v>
      </c>
      <c r="C34" s="92">
        <v>26</v>
      </c>
      <c r="D34" s="109">
        <f>References!B7</f>
        <v>4.333333333333333</v>
      </c>
      <c r="E34" s="45">
        <f t="shared" si="14"/>
        <v>1352</v>
      </c>
      <c r="F34" s="79">
        <f>References!$B$21</f>
        <v>47</v>
      </c>
      <c r="G34" s="32">
        <f t="shared" si="12"/>
        <v>63544</v>
      </c>
      <c r="H34" s="119">
        <f t="shared" si="15"/>
        <v>37870.75093530216</v>
      </c>
      <c r="I34" s="49">
        <f>H34*References!G$73</f>
        <v>98.235393069103594</v>
      </c>
      <c r="J34" s="49">
        <f>I34/References!G$53</f>
        <v>101.28404275606103</v>
      </c>
      <c r="K34" s="49">
        <f t="shared" si="16"/>
        <v>7.4914232807737444E-2</v>
      </c>
      <c r="L34" s="35">
        <v>7.2546699844364451</v>
      </c>
      <c r="M34" s="49">
        <f t="shared" si="13"/>
        <v>7.3295842172441823</v>
      </c>
      <c r="N34" s="49">
        <f t="shared" si="19"/>
        <v>9808.3138189580732</v>
      </c>
      <c r="O34" s="49">
        <f t="shared" si="17"/>
        <v>9909.5978617141336</v>
      </c>
      <c r="P34" s="49">
        <f t="shared" si="18"/>
        <v>101.28404275606044</v>
      </c>
      <c r="Q34" s="14"/>
      <c r="R34" s="14"/>
      <c r="S34" s="14"/>
    </row>
    <row r="35" spans="2:19" x14ac:dyDescent="0.25">
      <c r="B35" s="73" t="s">
        <v>128</v>
      </c>
      <c r="C35" s="92">
        <v>4</v>
      </c>
      <c r="D35" s="109">
        <f>References!B6</f>
        <v>8.6666666666666661</v>
      </c>
      <c r="E35" s="45">
        <f t="shared" si="14"/>
        <v>416</v>
      </c>
      <c r="F35" s="79">
        <f>References!$B$21</f>
        <v>47</v>
      </c>
      <c r="G35" s="32">
        <f t="shared" si="12"/>
        <v>19552</v>
      </c>
      <c r="H35" s="119">
        <f t="shared" si="15"/>
        <v>11652.538749323741</v>
      </c>
      <c r="I35" s="49">
        <f>H35*References!G$73</f>
        <v>30.226274790493413</v>
      </c>
      <c r="J35" s="49">
        <f>I35/References!G$53</f>
        <v>31.164320848018779</v>
      </c>
      <c r="K35" s="49">
        <f t="shared" si="16"/>
        <v>7.4914232807737444E-2</v>
      </c>
      <c r="L35" s="35">
        <v>7.2546699844364451</v>
      </c>
      <c r="M35" s="49">
        <f t="shared" si="13"/>
        <v>7.3295842172441823</v>
      </c>
      <c r="N35" s="49">
        <f t="shared" si="19"/>
        <v>3017.942713525561</v>
      </c>
      <c r="O35" s="49">
        <f t="shared" si="17"/>
        <v>3049.1070343735801</v>
      </c>
      <c r="P35" s="49">
        <f t="shared" si="18"/>
        <v>31.164320848019088</v>
      </c>
      <c r="Q35" s="14"/>
      <c r="R35" s="14"/>
      <c r="S35" s="14"/>
    </row>
    <row r="36" spans="2:19" x14ac:dyDescent="0.25">
      <c r="B36" t="s">
        <v>129</v>
      </c>
      <c r="C36" s="92">
        <v>20</v>
      </c>
      <c r="D36" s="109">
        <f>References!B7</f>
        <v>4.333333333333333</v>
      </c>
      <c r="E36" s="45">
        <f t="shared" si="14"/>
        <v>1040</v>
      </c>
      <c r="F36">
        <f>References!$B$22</f>
        <v>68</v>
      </c>
      <c r="G36" s="32">
        <f t="shared" si="12"/>
        <v>70720</v>
      </c>
      <c r="H36" s="119">
        <f t="shared" si="15"/>
        <v>42147.480582660341</v>
      </c>
      <c r="I36" s="49">
        <f>H36*References!G$73</f>
        <v>109.32907902944426</v>
      </c>
      <c r="J36" s="49">
        <f>I36/References!G$53</f>
        <v>112.72201157794026</v>
      </c>
      <c r="K36" s="49">
        <f t="shared" si="16"/>
        <v>0.10838654959417333</v>
      </c>
      <c r="L36" s="35">
        <v>10.461650190248474</v>
      </c>
      <c r="M36" s="49">
        <f t="shared" si="13"/>
        <v>10.570036739842648</v>
      </c>
      <c r="N36" s="49">
        <f t="shared" si="19"/>
        <v>10880.116197858413</v>
      </c>
      <c r="O36" s="49">
        <f t="shared" si="17"/>
        <v>10992.838209436353</v>
      </c>
      <c r="P36" s="49">
        <f t="shared" si="18"/>
        <v>112.72201157794007</v>
      </c>
      <c r="Q36" s="14"/>
      <c r="R36" s="14"/>
      <c r="S36" s="14"/>
    </row>
    <row r="37" spans="2:19" x14ac:dyDescent="0.25">
      <c r="B37" t="s">
        <v>130</v>
      </c>
      <c r="C37" s="92">
        <v>8</v>
      </c>
      <c r="D37" s="109">
        <f>References!B6</f>
        <v>8.6666666666666661</v>
      </c>
      <c r="E37" s="45">
        <f t="shared" si="14"/>
        <v>832</v>
      </c>
      <c r="F37">
        <f>References!$B$22</f>
        <v>68</v>
      </c>
      <c r="G37" s="32">
        <f t="shared" si="12"/>
        <v>56576</v>
      </c>
      <c r="H37" s="119">
        <f t="shared" si="15"/>
        <v>33717.98446612827</v>
      </c>
      <c r="I37" s="49">
        <f>H37*References!G$73</f>
        <v>87.463263223555401</v>
      </c>
      <c r="J37" s="49">
        <f>I37/References!G$53</f>
        <v>90.177609262352206</v>
      </c>
      <c r="K37" s="49">
        <f t="shared" si="16"/>
        <v>0.10838654959417332</v>
      </c>
      <c r="L37" s="35">
        <v>10.461650190248474</v>
      </c>
      <c r="M37" s="49">
        <f t="shared" ref="M37:M68" si="20">K37+L37</f>
        <v>10.570036739842648</v>
      </c>
      <c r="N37" s="49">
        <f t="shared" si="19"/>
        <v>8704.0929582867302</v>
      </c>
      <c r="O37" s="49">
        <f t="shared" si="17"/>
        <v>8794.2705675490834</v>
      </c>
      <c r="P37" s="49">
        <f t="shared" si="18"/>
        <v>90.177609262353144</v>
      </c>
      <c r="Q37" s="14"/>
      <c r="R37" s="14"/>
      <c r="S37" s="14"/>
    </row>
    <row r="38" spans="2:19" x14ac:dyDescent="0.25">
      <c r="B38" t="s">
        <v>131</v>
      </c>
      <c r="C38" s="92">
        <v>104</v>
      </c>
      <c r="D38" s="109">
        <f>References!B8</f>
        <v>2.1666666666666665</v>
      </c>
      <c r="E38" s="45">
        <f>C38*D38*12</f>
        <v>2704</v>
      </c>
      <c r="F38" s="79">
        <f>References!$B$27</f>
        <v>175</v>
      </c>
      <c r="G38" s="32">
        <f t="shared" si="12"/>
        <v>473200</v>
      </c>
      <c r="H38" s="119">
        <f t="shared" si="15"/>
        <v>282016.23036927136</v>
      </c>
      <c r="I38" s="49">
        <f>H38*References!G$73</f>
        <v>731.54016115289903</v>
      </c>
      <c r="J38" s="49">
        <f>I38/References!G$53</f>
        <v>754.24287158768846</v>
      </c>
      <c r="K38" s="49">
        <f t="shared" si="16"/>
        <v>0.278935973220299</v>
      </c>
      <c r="L38" s="35">
        <v>17.334835048433572</v>
      </c>
      <c r="M38" s="49">
        <f t="shared" si="20"/>
        <v>17.613771021653871</v>
      </c>
      <c r="N38" s="49">
        <f t="shared" si="19"/>
        <v>46873.393970964375</v>
      </c>
      <c r="O38" s="49">
        <f t="shared" si="17"/>
        <v>47627.63684255207</v>
      </c>
      <c r="P38" s="49">
        <f t="shared" si="18"/>
        <v>754.24287158769584</v>
      </c>
      <c r="Q38" s="14"/>
      <c r="R38" s="14"/>
      <c r="S38" s="14"/>
    </row>
    <row r="39" spans="2:19" x14ac:dyDescent="0.25">
      <c r="B39" t="s">
        <v>132</v>
      </c>
      <c r="C39" s="92">
        <v>101</v>
      </c>
      <c r="D39" s="109">
        <f>References!B7</f>
        <v>4.333333333333333</v>
      </c>
      <c r="E39" s="45">
        <f>C39*D39*12</f>
        <v>5252</v>
      </c>
      <c r="F39" s="79">
        <f>References!$B$27</f>
        <v>175</v>
      </c>
      <c r="G39" s="32">
        <f t="shared" si="12"/>
        <v>919100</v>
      </c>
      <c r="H39" s="119">
        <f t="shared" si="15"/>
        <v>547762.29360185401</v>
      </c>
      <c r="I39" s="49">
        <f>H39*References!G$73</f>
        <v>1420.8760822392846</v>
      </c>
      <c r="J39" s="49">
        <f>I39/References!G$53</f>
        <v>1464.9717313530102</v>
      </c>
      <c r="K39" s="49">
        <f t="shared" si="16"/>
        <v>0.27893597322029895</v>
      </c>
      <c r="L39" s="35">
        <v>17.334835048433572</v>
      </c>
      <c r="M39" s="49">
        <f t="shared" si="20"/>
        <v>17.613771021653871</v>
      </c>
      <c r="N39" s="49">
        <f t="shared" si="19"/>
        <v>91042.553674373121</v>
      </c>
      <c r="O39" s="49">
        <f t="shared" si="17"/>
        <v>92507.525405726134</v>
      </c>
      <c r="P39" s="49">
        <f t="shared" si="18"/>
        <v>1464.9717313530127</v>
      </c>
      <c r="Q39" s="14"/>
      <c r="R39" s="14"/>
      <c r="S39" s="14"/>
    </row>
    <row r="40" spans="2:19" x14ac:dyDescent="0.25">
      <c r="B40" s="74" t="s">
        <v>133</v>
      </c>
      <c r="C40" s="92">
        <v>4</v>
      </c>
      <c r="D40" s="109">
        <f>References!B6</f>
        <v>8.6666666666666661</v>
      </c>
      <c r="E40" s="45">
        <f>C40*D40*12</f>
        <v>416</v>
      </c>
      <c r="F40" s="79">
        <f>References!$B$27</f>
        <v>175</v>
      </c>
      <c r="G40" s="32">
        <f t="shared" si="12"/>
        <v>72800</v>
      </c>
      <c r="H40" s="119">
        <f t="shared" si="15"/>
        <v>43387.112364503286</v>
      </c>
      <c r="I40" s="49">
        <f>H40*References!G$73</f>
        <v>112.54464017736908</v>
      </c>
      <c r="J40" s="49">
        <f>I40/References!G$53</f>
        <v>116.03736485964437</v>
      </c>
      <c r="K40" s="49">
        <f t="shared" si="16"/>
        <v>0.27893597322029895</v>
      </c>
      <c r="L40" s="35">
        <v>17.334835048433572</v>
      </c>
      <c r="M40" s="49">
        <f t="shared" si="20"/>
        <v>17.613771021653871</v>
      </c>
      <c r="N40" s="49">
        <f t="shared" si="19"/>
        <v>7211.2913801483655</v>
      </c>
      <c r="O40" s="49">
        <f t="shared" si="17"/>
        <v>7327.3287450080106</v>
      </c>
      <c r="P40" s="49">
        <f t="shared" si="18"/>
        <v>116.03736485964509</v>
      </c>
      <c r="Q40" s="14"/>
      <c r="R40" s="14"/>
      <c r="S40" s="14"/>
    </row>
    <row r="41" spans="2:19" x14ac:dyDescent="0.25">
      <c r="B41" s="74" t="s">
        <v>134</v>
      </c>
      <c r="C41" s="92">
        <v>2</v>
      </c>
      <c r="D41" s="109">
        <f>References!B6</f>
        <v>8.6666666666666661</v>
      </c>
      <c r="E41" s="45">
        <f t="shared" ref="E41:E90" si="21">C41*D41*12</f>
        <v>208</v>
      </c>
      <c r="F41" s="79">
        <f>References!$B$27</f>
        <v>175</v>
      </c>
      <c r="G41" s="32">
        <f t="shared" si="12"/>
        <v>36400</v>
      </c>
      <c r="H41" s="119">
        <f t="shared" si="15"/>
        <v>21693.556182251643</v>
      </c>
      <c r="I41" s="49">
        <f>H41*References!G$73</f>
        <v>56.272320088684538</v>
      </c>
      <c r="J41" s="49">
        <f>I41/References!G$53</f>
        <v>58.018682429822185</v>
      </c>
      <c r="K41" s="49">
        <f t="shared" si="16"/>
        <v>0.27893597322029895</v>
      </c>
      <c r="L41" s="35">
        <v>17.334835048433572</v>
      </c>
      <c r="M41" s="49">
        <f t="shared" si="20"/>
        <v>17.613771021653871</v>
      </c>
      <c r="N41" s="49">
        <f t="shared" si="19"/>
        <v>3605.6456900741828</v>
      </c>
      <c r="O41" s="49">
        <f t="shared" si="17"/>
        <v>3663.6643725040053</v>
      </c>
      <c r="P41" s="49">
        <f t="shared" si="18"/>
        <v>58.018682429822547</v>
      </c>
      <c r="Q41" s="14"/>
      <c r="R41" s="14"/>
      <c r="S41" s="14"/>
    </row>
    <row r="42" spans="2:19" x14ac:dyDescent="0.25">
      <c r="B42" t="s">
        <v>135</v>
      </c>
      <c r="C42" s="92">
        <v>40</v>
      </c>
      <c r="D42" s="109">
        <f>References!B8</f>
        <v>2.1666666666666665</v>
      </c>
      <c r="E42" s="45">
        <f t="shared" si="21"/>
        <v>1040</v>
      </c>
      <c r="F42" s="79">
        <f>References!$B$28</f>
        <v>250</v>
      </c>
      <c r="G42" s="32">
        <f t="shared" si="12"/>
        <v>260000</v>
      </c>
      <c r="H42" s="119">
        <f t="shared" si="15"/>
        <v>154953.9727303689</v>
      </c>
      <c r="I42" s="49">
        <f>H42*References!G$73</f>
        <v>401.94514349060393</v>
      </c>
      <c r="J42" s="49">
        <f>I42/References!G$53</f>
        <v>414.41916021301569</v>
      </c>
      <c r="K42" s="49">
        <f t="shared" si="16"/>
        <v>0.39847996174328432</v>
      </c>
      <c r="L42" s="35">
        <v>24.875478640619388</v>
      </c>
      <c r="M42" s="49">
        <f t="shared" si="20"/>
        <v>25.273958602362672</v>
      </c>
      <c r="N42" s="49">
        <f t="shared" si="19"/>
        <v>25870.497786244163</v>
      </c>
      <c r="O42" s="49">
        <f t="shared" si="17"/>
        <v>26284.916946457179</v>
      </c>
      <c r="P42" s="49">
        <f t="shared" si="18"/>
        <v>414.41916021301586</v>
      </c>
      <c r="Q42" s="14"/>
      <c r="R42" s="14"/>
      <c r="S42" s="14"/>
    </row>
    <row r="43" spans="2:19" x14ac:dyDescent="0.25">
      <c r="B43" t="s">
        <v>136</v>
      </c>
      <c r="C43" s="92">
        <v>31</v>
      </c>
      <c r="D43" s="109">
        <f>References!B7</f>
        <v>4.333333333333333</v>
      </c>
      <c r="E43" s="45">
        <f t="shared" si="21"/>
        <v>1611.9999999999998</v>
      </c>
      <c r="F43" s="79">
        <f>References!$B$28</f>
        <v>250</v>
      </c>
      <c r="G43" s="32">
        <f t="shared" si="12"/>
        <v>402999.99999999994</v>
      </c>
      <c r="H43" s="119">
        <f t="shared" si="15"/>
        <v>240178.65773207173</v>
      </c>
      <c r="I43" s="49">
        <f>H43*References!G$73</f>
        <v>623.01497241043592</v>
      </c>
      <c r="J43" s="49">
        <f>I43/References!G$53</f>
        <v>642.34969833017419</v>
      </c>
      <c r="K43" s="49">
        <f t="shared" si="16"/>
        <v>0.39847996174328432</v>
      </c>
      <c r="L43" s="35">
        <v>24.875478640619388</v>
      </c>
      <c r="M43" s="49">
        <f t="shared" si="20"/>
        <v>25.273958602362672</v>
      </c>
      <c r="N43" s="49">
        <f t="shared" si="19"/>
        <v>40099.27156867845</v>
      </c>
      <c r="O43" s="49">
        <f t="shared" si="17"/>
        <v>40741.621267008624</v>
      </c>
      <c r="P43" s="49">
        <f t="shared" si="18"/>
        <v>642.34969833017385</v>
      </c>
      <c r="Q43" s="14"/>
      <c r="R43" s="14"/>
      <c r="S43" s="14"/>
    </row>
    <row r="44" spans="2:19" x14ac:dyDescent="0.25">
      <c r="B44" t="s">
        <v>137</v>
      </c>
      <c r="C44" s="92">
        <v>50</v>
      </c>
      <c r="D44" s="109">
        <f>References!B8</f>
        <v>2.1666666666666665</v>
      </c>
      <c r="E44" s="45">
        <f t="shared" si="21"/>
        <v>1300</v>
      </c>
      <c r="F44" s="79">
        <f>References!$B$29</f>
        <v>324</v>
      </c>
      <c r="G44" s="32">
        <f t="shared" si="12"/>
        <v>421200</v>
      </c>
      <c r="H44" s="119">
        <f t="shared" si="15"/>
        <v>251025.43582319759</v>
      </c>
      <c r="I44" s="49">
        <f>H44*References!G$73</f>
        <v>651.15113245477824</v>
      </c>
      <c r="J44" s="49">
        <f>I44/References!G$53</f>
        <v>671.35903954508535</v>
      </c>
      <c r="K44" s="49">
        <f t="shared" si="16"/>
        <v>0.51643003041929647</v>
      </c>
      <c r="L44" s="35">
        <v>31.16198031824273</v>
      </c>
      <c r="M44" s="49">
        <f t="shared" si="20"/>
        <v>31.678410348662027</v>
      </c>
      <c r="N44" s="49">
        <f t="shared" si="19"/>
        <v>40510.574413715549</v>
      </c>
      <c r="O44" s="49">
        <f t="shared" si="17"/>
        <v>41181.933453260637</v>
      </c>
      <c r="P44" s="49">
        <f t="shared" si="18"/>
        <v>671.35903954508831</v>
      </c>
      <c r="Q44" s="14"/>
      <c r="R44" s="14"/>
      <c r="S44" s="14"/>
    </row>
    <row r="45" spans="2:19" x14ac:dyDescent="0.25">
      <c r="B45" t="s">
        <v>138</v>
      </c>
      <c r="C45" s="92">
        <v>127</v>
      </c>
      <c r="D45" s="109">
        <f>References!B7</f>
        <v>4.333333333333333</v>
      </c>
      <c r="E45" s="45">
        <f t="shared" si="21"/>
        <v>6603.9999999999991</v>
      </c>
      <c r="F45" s="79">
        <f>References!$B$29</f>
        <v>324</v>
      </c>
      <c r="G45" s="32">
        <f t="shared" si="12"/>
        <v>2139695.9999999995</v>
      </c>
      <c r="H45" s="119">
        <f t="shared" si="15"/>
        <v>1275209.2139818436</v>
      </c>
      <c r="I45" s="49">
        <f>H45*References!G$73</f>
        <v>3307.8477528702733</v>
      </c>
      <c r="J45" s="49">
        <f>I45/References!G$53</f>
        <v>3410.5039208890335</v>
      </c>
      <c r="K45" s="49">
        <f t="shared" si="16"/>
        <v>0.51643003041929647</v>
      </c>
      <c r="L45" s="35">
        <v>31.16198031824273</v>
      </c>
      <c r="M45" s="49">
        <f t="shared" si="20"/>
        <v>31.678410348662027</v>
      </c>
      <c r="N45" s="49">
        <f t="shared" si="19"/>
        <v>205793.71802167495</v>
      </c>
      <c r="O45" s="49">
        <f t="shared" si="17"/>
        <v>209204.22194256401</v>
      </c>
      <c r="P45" s="49">
        <f t="shared" si="18"/>
        <v>3410.5039208890521</v>
      </c>
      <c r="Q45" s="14"/>
      <c r="R45" s="14"/>
      <c r="S45" s="14"/>
    </row>
    <row r="46" spans="2:19" x14ac:dyDescent="0.25">
      <c r="B46" t="s">
        <v>139</v>
      </c>
      <c r="C46" s="92">
        <v>6</v>
      </c>
      <c r="D46" s="109">
        <f>References!B6</f>
        <v>8.6666666666666661</v>
      </c>
      <c r="E46" s="45">
        <f>C46*D46*12</f>
        <v>624</v>
      </c>
      <c r="F46" s="79">
        <f>References!$B$29</f>
        <v>324</v>
      </c>
      <c r="G46" s="32">
        <f t="shared" si="12"/>
        <v>202176</v>
      </c>
      <c r="H46" s="119">
        <f t="shared" si="15"/>
        <v>120492.20919513486</v>
      </c>
      <c r="I46" s="49">
        <f>H46*References!G$73</f>
        <v>312.55254357829358</v>
      </c>
      <c r="J46" s="49">
        <f>I46/References!G$53</f>
        <v>322.252338981641</v>
      </c>
      <c r="K46" s="49">
        <f t="shared" si="16"/>
        <v>0.51643003041929647</v>
      </c>
      <c r="L46" s="35">
        <v>31.16198031824273</v>
      </c>
      <c r="M46" s="49">
        <f t="shared" si="20"/>
        <v>31.678410348662027</v>
      </c>
      <c r="N46" s="49">
        <f t="shared" si="19"/>
        <v>19445.075718583463</v>
      </c>
      <c r="O46" s="49">
        <f t="shared" si="17"/>
        <v>19767.328057565104</v>
      </c>
      <c r="P46" s="49">
        <f t="shared" si="18"/>
        <v>322.25233898164151</v>
      </c>
      <c r="Q46" s="14"/>
      <c r="R46" s="14"/>
      <c r="S46" s="14"/>
    </row>
    <row r="47" spans="2:19" x14ac:dyDescent="0.25">
      <c r="B47" t="s">
        <v>140</v>
      </c>
      <c r="C47" s="92">
        <v>3</v>
      </c>
      <c r="D47" s="109">
        <f>References!B5</f>
        <v>13</v>
      </c>
      <c r="E47" s="45">
        <f>C47*D47*12</f>
        <v>468</v>
      </c>
      <c r="F47" s="79">
        <f>References!$B$29</f>
        <v>324</v>
      </c>
      <c r="G47" s="32">
        <f t="shared" si="12"/>
        <v>151632</v>
      </c>
      <c r="H47" s="119">
        <f t="shared" si="15"/>
        <v>90369.156896351138</v>
      </c>
      <c r="I47" s="49">
        <f>H47*References!G$73</f>
        <v>234.41440768372019</v>
      </c>
      <c r="J47" s="49">
        <f>I47/References!G$53</f>
        <v>241.68925423623074</v>
      </c>
      <c r="K47" s="49">
        <f t="shared" si="16"/>
        <v>0.51643003041929647</v>
      </c>
      <c r="L47" s="35">
        <v>31.16198031824273</v>
      </c>
      <c r="M47" s="49">
        <f t="shared" si="20"/>
        <v>31.678410348662027</v>
      </c>
      <c r="N47" s="49">
        <f t="shared" si="19"/>
        <v>14583.806788937598</v>
      </c>
      <c r="O47" s="49">
        <f t="shared" si="17"/>
        <v>14825.496043173829</v>
      </c>
      <c r="P47" s="49">
        <f t="shared" si="18"/>
        <v>241.68925423623114</v>
      </c>
      <c r="Q47" s="14"/>
      <c r="R47" s="14"/>
      <c r="S47" s="14"/>
    </row>
    <row r="48" spans="2:19" x14ac:dyDescent="0.25">
      <c r="B48" t="s">
        <v>141</v>
      </c>
      <c r="C48" s="92">
        <v>5</v>
      </c>
      <c r="D48" s="109">
        <f>References!B6</f>
        <v>8.6666666666666661</v>
      </c>
      <c r="E48" s="45">
        <f>C48*D48*12</f>
        <v>520</v>
      </c>
      <c r="F48" s="79">
        <f>References!$B$29</f>
        <v>324</v>
      </c>
      <c r="G48" s="32">
        <f t="shared" si="12"/>
        <v>168480</v>
      </c>
      <c r="H48" s="119">
        <f t="shared" si="15"/>
        <v>100410.17432927903</v>
      </c>
      <c r="I48" s="49">
        <f>H48*References!G$73</f>
        <v>260.46045298191132</v>
      </c>
      <c r="J48" s="49">
        <f>I48/References!G$53</f>
        <v>268.54361581803414</v>
      </c>
      <c r="K48" s="49">
        <f t="shared" si="16"/>
        <v>0.51643003041929647</v>
      </c>
      <c r="L48" s="35">
        <v>31.16198031824273</v>
      </c>
      <c r="M48" s="49">
        <f t="shared" si="20"/>
        <v>31.678410348662027</v>
      </c>
      <c r="N48" s="49">
        <f t="shared" si="19"/>
        <v>16204.22976548622</v>
      </c>
      <c r="O48" s="49">
        <f t="shared" si="17"/>
        <v>16472.773381304254</v>
      </c>
      <c r="P48" s="49">
        <f t="shared" si="18"/>
        <v>268.5436158180346</v>
      </c>
      <c r="Q48" s="14"/>
      <c r="R48" s="14"/>
      <c r="S48" s="14"/>
    </row>
    <row r="49" spans="2:19" x14ac:dyDescent="0.25">
      <c r="B49" t="s">
        <v>142</v>
      </c>
      <c r="C49" s="92">
        <v>2</v>
      </c>
      <c r="D49" s="109">
        <f>References!B4</f>
        <v>17.333333333333332</v>
      </c>
      <c r="E49" s="45">
        <f>C49*D49*12</f>
        <v>416</v>
      </c>
      <c r="F49" s="79">
        <f>References!$B$29</f>
        <v>324</v>
      </c>
      <c r="G49" s="32">
        <f t="shared" si="12"/>
        <v>134784</v>
      </c>
      <c r="H49" s="119">
        <f t="shared" si="15"/>
        <v>80328.139463423227</v>
      </c>
      <c r="I49" s="49">
        <f>H49*References!G$73</f>
        <v>208.36836238552905</v>
      </c>
      <c r="J49" s="49">
        <f>I49/References!G$53</f>
        <v>214.83489265442731</v>
      </c>
      <c r="K49" s="49">
        <f t="shared" si="16"/>
        <v>0.51643003041929636</v>
      </c>
      <c r="L49" s="35">
        <v>31.16198031824273</v>
      </c>
      <c r="M49" s="49">
        <f t="shared" si="20"/>
        <v>31.678410348662027</v>
      </c>
      <c r="N49" s="49">
        <f t="shared" si="19"/>
        <v>12963.383812388976</v>
      </c>
      <c r="O49" s="49">
        <f t="shared" si="17"/>
        <v>13178.218705043404</v>
      </c>
      <c r="P49" s="49">
        <f t="shared" si="18"/>
        <v>214.83489265442768</v>
      </c>
      <c r="Q49" s="14"/>
      <c r="R49" s="14"/>
      <c r="S49" s="14"/>
    </row>
    <row r="50" spans="2:19" x14ac:dyDescent="0.25">
      <c r="B50" t="s">
        <v>143</v>
      </c>
      <c r="C50" s="92">
        <v>24</v>
      </c>
      <c r="D50" s="109">
        <f>References!B8</f>
        <v>2.1666666666666665</v>
      </c>
      <c r="E50" s="45">
        <f>C50*D50*24</f>
        <v>1248</v>
      </c>
      <c r="F50" s="79">
        <f>References!$B$30</f>
        <v>473</v>
      </c>
      <c r="G50" s="32">
        <f t="shared" si="12"/>
        <v>590304</v>
      </c>
      <c r="H50" s="119">
        <f t="shared" si="15"/>
        <v>351807.49968702951</v>
      </c>
      <c r="I50" s="49">
        <f>H50*References!G$73</f>
        <v>912.57625378106707</v>
      </c>
      <c r="J50" s="49">
        <f>I50/References!G$53</f>
        <v>940.89726134763077</v>
      </c>
      <c r="K50" s="49">
        <f t="shared" si="16"/>
        <v>0.75392408761829388</v>
      </c>
      <c r="L50" s="35">
        <v>43.279125588051883</v>
      </c>
      <c r="M50" s="49">
        <f t="shared" si="20"/>
        <v>44.033049675670178</v>
      </c>
      <c r="N50" s="49">
        <f t="shared" si="19"/>
        <v>54012.34873388875</v>
      </c>
      <c r="O50" s="49">
        <f t="shared" si="17"/>
        <v>54953.245995236379</v>
      </c>
      <c r="P50" s="49">
        <f t="shared" si="18"/>
        <v>940.89726134762896</v>
      </c>
      <c r="Q50" s="14"/>
      <c r="R50" s="14"/>
      <c r="S50" s="14"/>
    </row>
    <row r="51" spans="2:19" x14ac:dyDescent="0.25">
      <c r="B51" t="s">
        <v>144</v>
      </c>
      <c r="C51" s="92">
        <v>69</v>
      </c>
      <c r="D51" s="109">
        <f>References!B7</f>
        <v>4.333333333333333</v>
      </c>
      <c r="E51" s="45">
        <f t="shared" si="21"/>
        <v>3588</v>
      </c>
      <c r="F51" s="79">
        <f>References!$B$30</f>
        <v>473</v>
      </c>
      <c r="G51" s="32">
        <f t="shared" si="12"/>
        <v>1697124</v>
      </c>
      <c r="H51" s="119">
        <f t="shared" si="15"/>
        <v>1011446.5616002099</v>
      </c>
      <c r="I51" s="49">
        <f>H51*References!G$73</f>
        <v>2623.6567296205681</v>
      </c>
      <c r="J51" s="49">
        <f>I51/References!G$53</f>
        <v>2705.0796263744387</v>
      </c>
      <c r="K51" s="49">
        <f t="shared" si="16"/>
        <v>0.75392408761829399</v>
      </c>
      <c r="L51" s="35">
        <v>43.279125588051883</v>
      </c>
      <c r="M51" s="49">
        <f t="shared" si="20"/>
        <v>44.033049675670178</v>
      </c>
      <c r="N51" s="49">
        <f t="shared" si="19"/>
        <v>155285.50260993015</v>
      </c>
      <c r="O51" s="49">
        <f t="shared" si="17"/>
        <v>157990.58223630459</v>
      </c>
      <c r="P51" s="49">
        <f t="shared" si="18"/>
        <v>2705.0796263744414</v>
      </c>
      <c r="Q51" s="14"/>
      <c r="R51" s="14"/>
      <c r="S51" s="14"/>
    </row>
    <row r="52" spans="2:19" x14ac:dyDescent="0.25">
      <c r="B52" t="s">
        <v>145</v>
      </c>
      <c r="C52" s="92">
        <v>2</v>
      </c>
      <c r="D52" s="109">
        <f>References!B6</f>
        <v>8.6666666666666661</v>
      </c>
      <c r="E52" s="45">
        <f t="shared" si="21"/>
        <v>208</v>
      </c>
      <c r="F52" s="79">
        <f>References!$B$30</f>
        <v>473</v>
      </c>
      <c r="G52" s="32">
        <f t="shared" si="12"/>
        <v>98384</v>
      </c>
      <c r="H52" s="119">
        <f t="shared" si="15"/>
        <v>58634.583281171588</v>
      </c>
      <c r="I52" s="49">
        <f>H52*References!G$73</f>
        <v>152.0960422968445</v>
      </c>
      <c r="J52" s="49">
        <f>I52/References!G$53</f>
        <v>156.81621022460513</v>
      </c>
      <c r="K52" s="49">
        <f t="shared" si="16"/>
        <v>0.75392408761829388</v>
      </c>
      <c r="L52" s="35">
        <v>43.279125588051883</v>
      </c>
      <c r="M52" s="49">
        <f t="shared" si="20"/>
        <v>44.033049675670178</v>
      </c>
      <c r="N52" s="49">
        <f t="shared" si="19"/>
        <v>9002.058122314791</v>
      </c>
      <c r="O52" s="49">
        <f t="shared" si="17"/>
        <v>9158.8743325393971</v>
      </c>
      <c r="P52" s="49">
        <f t="shared" si="18"/>
        <v>156.81621022460604</v>
      </c>
      <c r="Q52" s="14"/>
      <c r="R52" s="14"/>
      <c r="S52" s="14"/>
    </row>
    <row r="53" spans="2:19" x14ac:dyDescent="0.25">
      <c r="B53" t="s">
        <v>146</v>
      </c>
      <c r="C53" s="92">
        <v>25</v>
      </c>
      <c r="D53" s="109">
        <f>References!B8</f>
        <v>2.1666666666666665</v>
      </c>
      <c r="E53" s="45">
        <f t="shared" si="21"/>
        <v>650</v>
      </c>
      <c r="F53" s="79">
        <f>References!$B$31</f>
        <v>613</v>
      </c>
      <c r="G53" s="32">
        <f t="shared" si="12"/>
        <v>398450</v>
      </c>
      <c r="H53" s="119">
        <f t="shared" si="15"/>
        <v>237466.96320929032</v>
      </c>
      <c r="I53" s="49">
        <f>H53*References!G$73</f>
        <v>615.98093239935042</v>
      </c>
      <c r="J53" s="49">
        <f>I53/References!G$53</f>
        <v>635.09736302644649</v>
      </c>
      <c r="K53" s="49">
        <f t="shared" si="16"/>
        <v>0.97707286619453304</v>
      </c>
      <c r="L53" s="35">
        <v>53.048993626798733</v>
      </c>
      <c r="M53" s="49">
        <f t="shared" si="20"/>
        <v>54.026066492993266</v>
      </c>
      <c r="N53" s="49">
        <f t="shared" si="19"/>
        <v>34481.845857419175</v>
      </c>
      <c r="O53" s="49">
        <f t="shared" si="17"/>
        <v>35116.943220445624</v>
      </c>
      <c r="P53" s="49">
        <f t="shared" si="18"/>
        <v>635.09736302644887</v>
      </c>
      <c r="Q53" s="14"/>
      <c r="R53" s="14"/>
      <c r="S53" s="14"/>
    </row>
    <row r="54" spans="2:19" x14ac:dyDescent="0.25">
      <c r="B54" t="s">
        <v>147</v>
      </c>
      <c r="C54" s="92">
        <v>89</v>
      </c>
      <c r="D54" s="109">
        <f>References!$B$7</f>
        <v>4.333333333333333</v>
      </c>
      <c r="E54" s="45">
        <f t="shared" si="21"/>
        <v>4628</v>
      </c>
      <c r="F54" s="79">
        <f>References!$B$31</f>
        <v>613</v>
      </c>
      <c r="G54" s="32">
        <f t="shared" si="12"/>
        <v>2836964</v>
      </c>
      <c r="H54" s="119">
        <f t="shared" si="15"/>
        <v>1690764.778050147</v>
      </c>
      <c r="I54" s="49">
        <f>H54*References!G$73</f>
        <v>4385.7842386833754</v>
      </c>
      <c r="J54" s="49">
        <f>I54/References!G$53</f>
        <v>4521.893224748299</v>
      </c>
      <c r="K54" s="49">
        <f t="shared" si="16"/>
        <v>0.97707286619453304</v>
      </c>
      <c r="L54" s="35">
        <v>53.048993626798733</v>
      </c>
      <c r="M54" s="49">
        <f t="shared" si="20"/>
        <v>54.026066492993266</v>
      </c>
      <c r="N54" s="49">
        <f t="shared" si="19"/>
        <v>245510.74250482453</v>
      </c>
      <c r="O54" s="49">
        <f t="shared" si="17"/>
        <v>250032.63572957282</v>
      </c>
      <c r="P54" s="49">
        <f t="shared" si="18"/>
        <v>4521.893224748288</v>
      </c>
      <c r="Q54" s="14"/>
      <c r="R54" s="14"/>
      <c r="S54" s="14"/>
    </row>
    <row r="55" spans="2:19" x14ac:dyDescent="0.25">
      <c r="B55" t="s">
        <v>148</v>
      </c>
      <c r="C55" s="92">
        <v>4</v>
      </c>
      <c r="D55" s="109">
        <f>References!B6</f>
        <v>8.6666666666666661</v>
      </c>
      <c r="E55" s="45">
        <f t="shared" si="21"/>
        <v>416</v>
      </c>
      <c r="F55" s="79">
        <f>References!$B$31</f>
        <v>613</v>
      </c>
      <c r="G55" s="32">
        <f t="shared" si="12"/>
        <v>255008</v>
      </c>
      <c r="H55" s="119">
        <f t="shared" si="15"/>
        <v>151978.8564539458</v>
      </c>
      <c r="I55" s="49">
        <f>H55*References!G$73</f>
        <v>394.22779673558426</v>
      </c>
      <c r="J55" s="49">
        <f>I55/References!G$53</f>
        <v>406.46231233692572</v>
      </c>
      <c r="K55" s="49">
        <f t="shared" si="16"/>
        <v>0.97707286619453293</v>
      </c>
      <c r="L55" s="35">
        <v>53.04899362679874</v>
      </c>
      <c r="M55" s="49">
        <f t="shared" si="20"/>
        <v>54.026066492993273</v>
      </c>
      <c r="N55" s="49">
        <f t="shared" si="19"/>
        <v>22068.381348748277</v>
      </c>
      <c r="O55" s="49">
        <f t="shared" si="17"/>
        <v>22474.8436610852</v>
      </c>
      <c r="P55" s="49">
        <f t="shared" si="18"/>
        <v>406.46231233692379</v>
      </c>
      <c r="Q55" s="14"/>
      <c r="R55" s="14"/>
      <c r="S55" s="14"/>
    </row>
    <row r="56" spans="2:19" x14ac:dyDescent="0.25">
      <c r="B56" t="s">
        <v>149</v>
      </c>
      <c r="C56" s="92">
        <v>8</v>
      </c>
      <c r="D56" s="109">
        <f>References!B6</f>
        <v>8.6666666666666661</v>
      </c>
      <c r="E56" s="45">
        <f t="shared" si="21"/>
        <v>832</v>
      </c>
      <c r="F56" s="79">
        <f>References!$B$31</f>
        <v>613</v>
      </c>
      <c r="G56" s="32">
        <f t="shared" si="12"/>
        <v>510016</v>
      </c>
      <c r="H56" s="119">
        <f t="shared" si="15"/>
        <v>303957.7129078916</v>
      </c>
      <c r="I56" s="49">
        <f>H56*References!G$73</f>
        <v>788.45559347116853</v>
      </c>
      <c r="J56" s="49">
        <f>I56/References!G$53</f>
        <v>812.92462467385144</v>
      </c>
      <c r="K56" s="49">
        <f t="shared" si="16"/>
        <v>0.97707286619453293</v>
      </c>
      <c r="L56" s="35">
        <v>53.04899362679874</v>
      </c>
      <c r="M56" s="49">
        <f t="shared" si="20"/>
        <v>54.026066492993273</v>
      </c>
      <c r="N56" s="49">
        <f t="shared" si="19"/>
        <v>44136.762697496553</v>
      </c>
      <c r="O56" s="49">
        <f t="shared" si="17"/>
        <v>44949.687322170401</v>
      </c>
      <c r="P56" s="49">
        <f t="shared" si="18"/>
        <v>812.92462467384757</v>
      </c>
      <c r="Q56" s="14"/>
      <c r="R56" s="14"/>
      <c r="S56" s="14"/>
    </row>
    <row r="57" spans="2:19" x14ac:dyDescent="0.25">
      <c r="B57" t="s">
        <v>150</v>
      </c>
      <c r="C57" s="92">
        <v>2</v>
      </c>
      <c r="D57" s="109">
        <f>References!B6</f>
        <v>8.6666666666666661</v>
      </c>
      <c r="E57" s="45">
        <f t="shared" si="21"/>
        <v>208</v>
      </c>
      <c r="F57" s="79">
        <f>References!$B$31</f>
        <v>613</v>
      </c>
      <c r="G57" s="32">
        <f t="shared" si="12"/>
        <v>127504</v>
      </c>
      <c r="H57" s="119">
        <f t="shared" si="15"/>
        <v>75989.428226972901</v>
      </c>
      <c r="I57" s="49">
        <f>H57*References!G$73</f>
        <v>197.11389836779213</v>
      </c>
      <c r="J57" s="49">
        <f>I57/References!G$53</f>
        <v>203.23115616846286</v>
      </c>
      <c r="K57" s="49">
        <f t="shared" si="16"/>
        <v>0.97707286619453293</v>
      </c>
      <c r="L57" s="35">
        <v>53.04899362679874</v>
      </c>
      <c r="M57" s="49">
        <f t="shared" si="20"/>
        <v>54.026066492993273</v>
      </c>
      <c r="N57" s="49">
        <f t="shared" si="19"/>
        <v>11034.190674374138</v>
      </c>
      <c r="O57" s="49">
        <f t="shared" si="17"/>
        <v>11237.4218305426</v>
      </c>
      <c r="P57" s="49">
        <f t="shared" si="18"/>
        <v>203.23115616846189</v>
      </c>
      <c r="Q57" s="14"/>
      <c r="R57" s="14"/>
      <c r="S57" s="14"/>
    </row>
    <row r="58" spans="2:19" x14ac:dyDescent="0.25">
      <c r="B58" t="s">
        <v>151</v>
      </c>
      <c r="C58" s="92">
        <v>1</v>
      </c>
      <c r="D58" s="109">
        <f>References!B5</f>
        <v>13</v>
      </c>
      <c r="E58" s="45">
        <f t="shared" si="21"/>
        <v>156</v>
      </c>
      <c r="F58" s="79">
        <f>References!$B$31</f>
        <v>613</v>
      </c>
      <c r="G58" s="32">
        <f t="shared" si="12"/>
        <v>95628</v>
      </c>
      <c r="H58" s="119">
        <f t="shared" si="15"/>
        <v>56992.071170229676</v>
      </c>
      <c r="I58" s="49">
        <f>H58*References!G$73</f>
        <v>147.83542377584411</v>
      </c>
      <c r="J58" s="49">
        <f>I58/References!G$53</f>
        <v>152.42336712634716</v>
      </c>
      <c r="K58" s="49">
        <f t="shared" si="16"/>
        <v>0.97707286619453304</v>
      </c>
      <c r="L58" s="35">
        <v>53.04899362679874</v>
      </c>
      <c r="M58" s="49">
        <f t="shared" si="20"/>
        <v>54.026066492993273</v>
      </c>
      <c r="N58" s="49">
        <f t="shared" si="19"/>
        <v>8275.6430057806028</v>
      </c>
      <c r="O58" s="49">
        <f t="shared" si="17"/>
        <v>8428.0663729069511</v>
      </c>
      <c r="P58" s="49">
        <f t="shared" si="18"/>
        <v>152.42336712634824</v>
      </c>
      <c r="Q58" s="14"/>
      <c r="R58" s="14"/>
      <c r="S58" s="14"/>
    </row>
    <row r="59" spans="2:19" x14ac:dyDescent="0.25">
      <c r="B59" t="s">
        <v>152</v>
      </c>
      <c r="C59" s="92">
        <v>18</v>
      </c>
      <c r="D59" s="109">
        <f>References!B8</f>
        <v>2.1666666666666665</v>
      </c>
      <c r="E59" s="45">
        <f>C59*D59*12</f>
        <v>468</v>
      </c>
      <c r="F59" s="79">
        <f>References!$B$32</f>
        <v>840</v>
      </c>
      <c r="G59" s="32">
        <f t="shared" si="12"/>
        <v>393120</v>
      </c>
      <c r="H59" s="119">
        <f t="shared" si="15"/>
        <v>234290.40676831777</v>
      </c>
      <c r="I59" s="49">
        <f>H59*References!G$73</f>
        <v>607.74105695779315</v>
      </c>
      <c r="J59" s="49">
        <f>I59/References!G$53</f>
        <v>626.60177024207974</v>
      </c>
      <c r="K59" s="49">
        <f t="shared" si="16"/>
        <v>1.3388926714574354</v>
      </c>
      <c r="L59" s="35">
        <v>72.169208232481139</v>
      </c>
      <c r="M59" s="49">
        <f t="shared" si="20"/>
        <v>73.508100903938569</v>
      </c>
      <c r="N59" s="49">
        <f t="shared" si="19"/>
        <v>33775.189452801176</v>
      </c>
      <c r="O59" s="49">
        <f t="shared" si="17"/>
        <v>34401.791223043248</v>
      </c>
      <c r="P59" s="49">
        <f t="shared" si="18"/>
        <v>626.60177024207223</v>
      </c>
      <c r="Q59" s="14"/>
      <c r="R59" s="14"/>
      <c r="S59" s="14"/>
    </row>
    <row r="60" spans="2:19" x14ac:dyDescent="0.25">
      <c r="B60" t="s">
        <v>153</v>
      </c>
      <c r="C60" s="92">
        <v>103</v>
      </c>
      <c r="D60" s="109">
        <f>References!B7</f>
        <v>4.333333333333333</v>
      </c>
      <c r="E60" s="45">
        <f>C60*D60*12</f>
        <v>5356</v>
      </c>
      <c r="F60" s="79">
        <f>References!$B$32</f>
        <v>840</v>
      </c>
      <c r="G60" s="32">
        <f t="shared" si="12"/>
        <v>4499040</v>
      </c>
      <c r="H60" s="119">
        <f t="shared" si="15"/>
        <v>2681323.5441263034</v>
      </c>
      <c r="I60" s="49">
        <f>H60*References!G$73</f>
        <v>6955.25876296141</v>
      </c>
      <c r="J60" s="49">
        <f>I60/References!G$53</f>
        <v>7171.1091483260234</v>
      </c>
      <c r="K60" s="49">
        <f t="shared" si="16"/>
        <v>1.3388926714574352</v>
      </c>
      <c r="L60" s="35">
        <v>72.169208232481139</v>
      </c>
      <c r="M60" s="49">
        <f t="shared" si="20"/>
        <v>73.508100903938569</v>
      </c>
      <c r="N60" s="49">
        <f t="shared" si="19"/>
        <v>386538.27929316898</v>
      </c>
      <c r="O60" s="49">
        <f t="shared" si="17"/>
        <v>393709.38844149496</v>
      </c>
      <c r="P60" s="49">
        <f t="shared" si="18"/>
        <v>7171.1091483259806</v>
      </c>
      <c r="Q60" s="14"/>
      <c r="R60" s="14"/>
      <c r="S60" s="14"/>
    </row>
    <row r="61" spans="2:19" x14ac:dyDescent="0.25">
      <c r="B61" t="s">
        <v>154</v>
      </c>
      <c r="C61" s="92">
        <v>10</v>
      </c>
      <c r="D61" s="109">
        <f>References!B6</f>
        <v>8.6666666666666661</v>
      </c>
      <c r="E61" s="45">
        <f t="shared" si="21"/>
        <v>1040</v>
      </c>
      <c r="F61" s="79">
        <f>References!$B$32</f>
        <v>840</v>
      </c>
      <c r="G61" s="32">
        <f t="shared" si="12"/>
        <v>873600</v>
      </c>
      <c r="H61" s="119">
        <f t="shared" si="15"/>
        <v>520645.34837403946</v>
      </c>
      <c r="I61" s="49">
        <f>H61*References!G$73</f>
        <v>1350.535682128429</v>
      </c>
      <c r="J61" s="49">
        <f>I61/References!G$53</f>
        <v>1392.4483783157325</v>
      </c>
      <c r="K61" s="49">
        <f t="shared" si="16"/>
        <v>1.3388926714574352</v>
      </c>
      <c r="L61" s="35">
        <v>72.169208232481139</v>
      </c>
      <c r="M61" s="49">
        <f t="shared" si="20"/>
        <v>73.508100903938569</v>
      </c>
      <c r="N61" s="49">
        <f t="shared" si="19"/>
        <v>75055.976561780379</v>
      </c>
      <c r="O61" s="49">
        <f t="shared" si="17"/>
        <v>76448.424940096113</v>
      </c>
      <c r="P61" s="49">
        <f t="shared" si="18"/>
        <v>1392.4483783157339</v>
      </c>
      <c r="Q61" s="14"/>
      <c r="R61" s="14"/>
      <c r="S61" s="14"/>
    </row>
    <row r="62" spans="2:19" x14ac:dyDescent="0.25">
      <c r="B62" t="s">
        <v>155</v>
      </c>
      <c r="C62" s="92">
        <v>15</v>
      </c>
      <c r="D62" s="109">
        <f>References!B5</f>
        <v>13</v>
      </c>
      <c r="E62" s="45">
        <f t="shared" si="21"/>
        <v>2340</v>
      </c>
      <c r="F62" s="79">
        <f>References!$B$32</f>
        <v>840</v>
      </c>
      <c r="G62" s="32">
        <f t="shared" si="12"/>
        <v>1965600</v>
      </c>
      <c r="H62" s="119">
        <f t="shared" si="15"/>
        <v>1171452.0338415888</v>
      </c>
      <c r="I62" s="49">
        <f>H62*References!G$73</f>
        <v>3038.7052847889654</v>
      </c>
      <c r="J62" s="49">
        <f>I62/References!G$53</f>
        <v>3133.0088512103985</v>
      </c>
      <c r="K62" s="49">
        <f t="shared" si="16"/>
        <v>1.3388926714574352</v>
      </c>
      <c r="L62" s="35">
        <v>72.169208232481139</v>
      </c>
      <c r="M62" s="49">
        <f t="shared" si="20"/>
        <v>73.508100903938569</v>
      </c>
      <c r="N62" s="49">
        <f t="shared" si="19"/>
        <v>168875.94726400587</v>
      </c>
      <c r="O62" s="49">
        <f t="shared" si="17"/>
        <v>172008.95611521625</v>
      </c>
      <c r="P62" s="49">
        <f t="shared" si="18"/>
        <v>3133.008851210383</v>
      </c>
      <c r="Q62" s="14"/>
      <c r="R62" s="14"/>
      <c r="S62" s="14"/>
    </row>
    <row r="63" spans="2:19" x14ac:dyDescent="0.25">
      <c r="B63" t="s">
        <v>156</v>
      </c>
      <c r="C63" s="92">
        <v>4</v>
      </c>
      <c r="D63" s="109">
        <f>References!B4</f>
        <v>17.333333333333332</v>
      </c>
      <c r="E63" s="45">
        <f t="shared" si="21"/>
        <v>832</v>
      </c>
      <c r="F63" s="79">
        <f>References!$B$32</f>
        <v>840</v>
      </c>
      <c r="G63" s="32">
        <f t="shared" si="12"/>
        <v>698880</v>
      </c>
      <c r="H63" s="119">
        <f t="shared" si="15"/>
        <v>416516.27869923157</v>
      </c>
      <c r="I63" s="49">
        <f>H63*References!G$73</f>
        <v>1080.4285457027433</v>
      </c>
      <c r="J63" s="49">
        <f>I63/References!G$53</f>
        <v>1113.9587026525862</v>
      </c>
      <c r="K63" s="49">
        <f t="shared" si="16"/>
        <v>1.3388926714574354</v>
      </c>
      <c r="L63" s="35">
        <v>72.169208232481139</v>
      </c>
      <c r="M63" s="49">
        <f t="shared" si="20"/>
        <v>73.508100903938569</v>
      </c>
      <c r="N63" s="49">
        <f t="shared" si="19"/>
        <v>60044.781249424312</v>
      </c>
      <c r="O63" s="49">
        <f t="shared" si="17"/>
        <v>61158.739952076889</v>
      </c>
      <c r="P63" s="49">
        <f t="shared" si="18"/>
        <v>1113.9587026525769</v>
      </c>
      <c r="Q63" s="14"/>
      <c r="R63" s="14"/>
      <c r="S63" s="14"/>
    </row>
    <row r="64" spans="2:19" x14ac:dyDescent="0.25">
      <c r="B64" t="s">
        <v>157</v>
      </c>
      <c r="C64" s="92">
        <v>10</v>
      </c>
      <c r="D64" s="109">
        <f>References!B3</f>
        <v>21.666666666666668</v>
      </c>
      <c r="E64" s="45">
        <f t="shared" si="21"/>
        <v>2600</v>
      </c>
      <c r="F64" s="79">
        <f>References!$B$32</f>
        <v>840</v>
      </c>
      <c r="G64" s="32">
        <f t="shared" si="12"/>
        <v>2184000</v>
      </c>
      <c r="H64" s="119">
        <f t="shared" si="15"/>
        <v>1301613.3709350987</v>
      </c>
      <c r="I64" s="49">
        <f>H64*References!G$73</f>
        <v>3376.3392053210728</v>
      </c>
      <c r="J64" s="49">
        <f>I64/References!G$53</f>
        <v>3481.1209457893319</v>
      </c>
      <c r="K64" s="49">
        <f t="shared" si="16"/>
        <v>1.3388926714574354</v>
      </c>
      <c r="L64" s="35">
        <v>72.169208232481139</v>
      </c>
      <c r="M64" s="49">
        <f t="shared" si="20"/>
        <v>73.508100903938569</v>
      </c>
      <c r="N64" s="49">
        <f t="shared" si="19"/>
        <v>187639.94140445098</v>
      </c>
      <c r="O64" s="49">
        <f t="shared" si="17"/>
        <v>191121.06235024027</v>
      </c>
      <c r="P64" s="49">
        <f t="shared" si="18"/>
        <v>3481.1209457892983</v>
      </c>
      <c r="Q64" s="14"/>
      <c r="R64" s="14"/>
      <c r="S64" s="14"/>
    </row>
    <row r="65" spans="2:29" x14ac:dyDescent="0.25">
      <c r="B65" t="s">
        <v>158</v>
      </c>
      <c r="C65" s="92">
        <v>26</v>
      </c>
      <c r="D65" s="109">
        <f>References!B6</f>
        <v>8.6666666666666661</v>
      </c>
      <c r="E65" s="45">
        <f t="shared" si="21"/>
        <v>2704</v>
      </c>
      <c r="F65" s="79">
        <f>References!$B$32</f>
        <v>840</v>
      </c>
      <c r="G65" s="32">
        <f t="shared" si="12"/>
        <v>2271360</v>
      </c>
      <c r="H65" s="119">
        <f t="shared" si="15"/>
        <v>1353677.9057725025</v>
      </c>
      <c r="I65" s="49">
        <f>H65*References!G$73</f>
        <v>3511.3927735339153</v>
      </c>
      <c r="J65" s="49">
        <f>I65/References!G$53</f>
        <v>3620.3657836209045</v>
      </c>
      <c r="K65" s="49">
        <f t="shared" si="16"/>
        <v>1.3388926714574352</v>
      </c>
      <c r="L65" s="35">
        <v>72.169208232481139</v>
      </c>
      <c r="M65" s="49">
        <f t="shared" si="20"/>
        <v>73.508100903938569</v>
      </c>
      <c r="N65" s="49">
        <f t="shared" si="19"/>
        <v>195145.539060629</v>
      </c>
      <c r="O65" s="49">
        <f t="shared" si="17"/>
        <v>198765.90484424989</v>
      </c>
      <c r="P65" s="49">
        <f t="shared" si="18"/>
        <v>3620.3657836208877</v>
      </c>
      <c r="Q65" s="14"/>
      <c r="R65" s="14"/>
      <c r="S65" s="14"/>
    </row>
    <row r="66" spans="2:29" x14ac:dyDescent="0.25">
      <c r="B66" t="s">
        <v>159</v>
      </c>
      <c r="C66" s="92">
        <v>6</v>
      </c>
      <c r="D66" s="109">
        <f>References!B4</f>
        <v>17.333333333333332</v>
      </c>
      <c r="E66" s="45">
        <f t="shared" si="21"/>
        <v>1248</v>
      </c>
      <c r="F66" s="79">
        <f>References!$B$32</f>
        <v>840</v>
      </c>
      <c r="G66" s="32">
        <f t="shared" si="12"/>
        <v>1048320</v>
      </c>
      <c r="H66" s="119">
        <f t="shared" si="15"/>
        <v>624774.41804884735</v>
      </c>
      <c r="I66" s="49">
        <f>H66*References!G$73</f>
        <v>1620.6428185541149</v>
      </c>
      <c r="J66" s="49">
        <f>I66/References!G$53</f>
        <v>1670.9380539788792</v>
      </c>
      <c r="K66" s="49">
        <f t="shared" si="16"/>
        <v>1.3388926714574352</v>
      </c>
      <c r="L66" s="35">
        <v>72.169208232481139</v>
      </c>
      <c r="M66" s="49">
        <f t="shared" si="20"/>
        <v>73.508100903938569</v>
      </c>
      <c r="N66" s="49">
        <f t="shared" si="19"/>
        <v>90067.17187413646</v>
      </c>
      <c r="O66" s="49">
        <f t="shared" si="17"/>
        <v>91738.109928115329</v>
      </c>
      <c r="P66" s="49">
        <f t="shared" si="18"/>
        <v>1670.938053978869</v>
      </c>
      <c r="Q66" s="14"/>
      <c r="R66" s="14"/>
      <c r="S66" s="14"/>
    </row>
    <row r="67" spans="2:29" x14ac:dyDescent="0.25">
      <c r="B67" t="s">
        <v>160</v>
      </c>
      <c r="C67" s="92">
        <v>5</v>
      </c>
      <c r="D67" s="109">
        <f>References!B5</f>
        <v>13</v>
      </c>
      <c r="E67" s="45">
        <f t="shared" si="21"/>
        <v>780</v>
      </c>
      <c r="F67" s="79">
        <f>References!$B$32</f>
        <v>840</v>
      </c>
      <c r="G67" s="32">
        <f t="shared" ref="G67:G90" si="22">F67*E67</f>
        <v>655200</v>
      </c>
      <c r="H67" s="119">
        <f t="shared" si="15"/>
        <v>390484.01128052961</v>
      </c>
      <c r="I67" s="49">
        <f>H67*References!G$73</f>
        <v>1012.9017615963219</v>
      </c>
      <c r="J67" s="49">
        <f>I67/References!G$53</f>
        <v>1044.3362837367995</v>
      </c>
      <c r="K67" s="49">
        <f t="shared" si="16"/>
        <v>1.3388926714574352</v>
      </c>
      <c r="L67" s="35">
        <v>72.169208232481139</v>
      </c>
      <c r="M67" s="49">
        <f t="shared" si="20"/>
        <v>73.508100903938569</v>
      </c>
      <c r="N67" s="49">
        <f t="shared" si="19"/>
        <v>56291.982421335291</v>
      </c>
      <c r="O67" s="49">
        <f t="shared" si="17"/>
        <v>57336.318705072081</v>
      </c>
      <c r="P67" s="49">
        <f t="shared" si="18"/>
        <v>1044.3362837367895</v>
      </c>
      <c r="Q67" s="14"/>
      <c r="R67" s="14"/>
      <c r="S67" s="14"/>
    </row>
    <row r="68" spans="2:29" x14ac:dyDescent="0.25">
      <c r="B68" t="s">
        <v>161</v>
      </c>
      <c r="C68" s="92">
        <v>4</v>
      </c>
      <c r="D68" s="109">
        <f>References!D4</f>
        <v>52</v>
      </c>
      <c r="E68" s="45">
        <f t="shared" si="21"/>
        <v>2496</v>
      </c>
      <c r="F68" s="79">
        <f>References!$B$32</f>
        <v>840</v>
      </c>
      <c r="G68" s="32">
        <f t="shared" si="22"/>
        <v>2096640</v>
      </c>
      <c r="H68" s="119">
        <f t="shared" si="15"/>
        <v>1249548.8360976947</v>
      </c>
      <c r="I68" s="49">
        <f>H68*References!G$73</f>
        <v>3241.2856371082298</v>
      </c>
      <c r="J68" s="49">
        <f>I68/References!G$53</f>
        <v>3341.8761079577584</v>
      </c>
      <c r="K68" s="49">
        <f t="shared" si="16"/>
        <v>1.3388926714574352</v>
      </c>
      <c r="L68" s="35">
        <v>72.169208232481139</v>
      </c>
      <c r="M68" s="49">
        <f t="shared" si="20"/>
        <v>73.508100903938569</v>
      </c>
      <c r="N68" s="49">
        <f t="shared" si="19"/>
        <v>180134.34374827292</v>
      </c>
      <c r="O68" s="49">
        <f t="shared" si="17"/>
        <v>183476.21985623066</v>
      </c>
      <c r="P68" s="49">
        <f t="shared" si="18"/>
        <v>3341.876107957738</v>
      </c>
      <c r="Q68" s="14"/>
      <c r="R68" s="14"/>
      <c r="S68" s="14"/>
    </row>
    <row r="69" spans="2:29" x14ac:dyDescent="0.25">
      <c r="B69" t="s">
        <v>162</v>
      </c>
      <c r="C69" s="92">
        <v>14</v>
      </c>
      <c r="D69" s="109">
        <f>References!B8</f>
        <v>2.1666666666666665</v>
      </c>
      <c r="E69" s="45">
        <f t="shared" si="21"/>
        <v>364</v>
      </c>
      <c r="F69" s="79">
        <f>References!$B$33</f>
        <v>980</v>
      </c>
      <c r="G69" s="32">
        <f t="shared" si="22"/>
        <v>356720</v>
      </c>
      <c r="H69" s="119">
        <f t="shared" si="15"/>
        <v>212596.85058606611</v>
      </c>
      <c r="I69" s="49">
        <f>H69*References!G$73</f>
        <v>551.46873686910851</v>
      </c>
      <c r="J69" s="49">
        <f>I69/References!G$53</f>
        <v>568.58308781225742</v>
      </c>
      <c r="K69" s="49">
        <f t="shared" si="16"/>
        <v>1.5620414500336741</v>
      </c>
      <c r="L69" s="35">
        <v>86.699076271228009</v>
      </c>
      <c r="M69" s="49">
        <f t="shared" ref="M69:M90" si="23">K69+L69</f>
        <v>88.261117721261684</v>
      </c>
      <c r="N69" s="49">
        <f t="shared" si="19"/>
        <v>31558.463762726995</v>
      </c>
      <c r="O69" s="49">
        <f t="shared" si="17"/>
        <v>32127.046850539253</v>
      </c>
      <c r="P69" s="49">
        <f t="shared" si="18"/>
        <v>568.58308781225787</v>
      </c>
      <c r="Q69" s="14"/>
      <c r="R69" s="14"/>
      <c r="S69" s="14"/>
    </row>
    <row r="70" spans="2:29" x14ac:dyDescent="0.25">
      <c r="B70" t="s">
        <v>163</v>
      </c>
      <c r="C70" s="92">
        <v>68</v>
      </c>
      <c r="D70" s="109">
        <f>References!B7</f>
        <v>4.333333333333333</v>
      </c>
      <c r="E70" s="45">
        <f t="shared" si="21"/>
        <v>3535.9999999999995</v>
      </c>
      <c r="F70" s="79">
        <f>References!$B$33</f>
        <v>980</v>
      </c>
      <c r="G70" s="32">
        <f t="shared" si="22"/>
        <v>3465279.9999999995</v>
      </c>
      <c r="H70" s="119">
        <f t="shared" si="15"/>
        <v>2065226.5485503562</v>
      </c>
      <c r="I70" s="49">
        <f>H70*References!G$73</f>
        <v>5357.1248724427678</v>
      </c>
      <c r="J70" s="49">
        <f>I70/References!G$53</f>
        <v>5523.3785673190723</v>
      </c>
      <c r="K70" s="49">
        <f t="shared" si="16"/>
        <v>1.5620414500336746</v>
      </c>
      <c r="L70" s="35">
        <v>86.699076271228009</v>
      </c>
      <c r="M70" s="49">
        <f t="shared" si="23"/>
        <v>88.261117721261684</v>
      </c>
      <c r="N70" s="49">
        <f t="shared" si="19"/>
        <v>306567.93369506218</v>
      </c>
      <c r="O70" s="49">
        <f t="shared" si="17"/>
        <v>312091.31226238125</v>
      </c>
      <c r="P70" s="49">
        <f t="shared" si="18"/>
        <v>5523.3785673190723</v>
      </c>
      <c r="Q70" s="14"/>
      <c r="R70" s="14"/>
      <c r="S70" s="14"/>
      <c r="AC70" t="s">
        <v>211</v>
      </c>
    </row>
    <row r="71" spans="2:29" x14ac:dyDescent="0.25">
      <c r="B71" t="s">
        <v>164</v>
      </c>
      <c r="C71" s="92">
        <v>8</v>
      </c>
      <c r="D71" s="109">
        <f>References!B6</f>
        <v>8.6666666666666661</v>
      </c>
      <c r="E71" s="45">
        <f t="shared" si="21"/>
        <v>832</v>
      </c>
      <c r="F71" s="79">
        <f>References!$B$33</f>
        <v>980</v>
      </c>
      <c r="G71" s="32">
        <f t="shared" si="22"/>
        <v>815360</v>
      </c>
      <c r="H71" s="119">
        <f t="shared" si="15"/>
        <v>485935.65848243685</v>
      </c>
      <c r="I71" s="49">
        <f>H71*References!G$73</f>
        <v>1260.4999699865339</v>
      </c>
      <c r="J71" s="49">
        <f>I71/References!G$53</f>
        <v>1299.6184864280171</v>
      </c>
      <c r="K71" s="49">
        <f t="shared" si="16"/>
        <v>1.5620414500336746</v>
      </c>
      <c r="L71" s="35">
        <v>86.699076271228009</v>
      </c>
      <c r="M71" s="49">
        <f t="shared" si="23"/>
        <v>88.261117721261684</v>
      </c>
      <c r="N71" s="49">
        <f t="shared" si="19"/>
        <v>72133.631457661701</v>
      </c>
      <c r="O71" s="49">
        <f t="shared" si="17"/>
        <v>73433.249944089723</v>
      </c>
      <c r="P71" s="49">
        <f t="shared" si="18"/>
        <v>1299.6184864280222</v>
      </c>
      <c r="Q71" s="14"/>
      <c r="R71" s="14"/>
      <c r="S71" s="14"/>
    </row>
    <row r="72" spans="2:29" x14ac:dyDescent="0.25">
      <c r="B72" t="s">
        <v>165</v>
      </c>
      <c r="C72" s="92">
        <v>9</v>
      </c>
      <c r="D72" s="109">
        <f>References!B5</f>
        <v>13</v>
      </c>
      <c r="E72" s="45">
        <f t="shared" si="21"/>
        <v>1404</v>
      </c>
      <c r="F72" s="79">
        <f>References!$B$33</f>
        <v>980</v>
      </c>
      <c r="G72" s="32">
        <f t="shared" si="22"/>
        <v>1375920</v>
      </c>
      <c r="H72" s="119">
        <f t="shared" si="15"/>
        <v>820016.42368911218</v>
      </c>
      <c r="I72" s="49">
        <f>H72*References!G$73</f>
        <v>2127.093699352276</v>
      </c>
      <c r="J72" s="49">
        <f>I72/References!G$53</f>
        <v>2193.1061958472792</v>
      </c>
      <c r="K72" s="49">
        <f t="shared" si="16"/>
        <v>1.5620414500336746</v>
      </c>
      <c r="L72" s="35">
        <v>86.699076271228009</v>
      </c>
      <c r="M72" s="49">
        <f t="shared" si="23"/>
        <v>88.261117721261684</v>
      </c>
      <c r="N72" s="49">
        <f t="shared" si="19"/>
        <v>121725.50308480412</v>
      </c>
      <c r="O72" s="49">
        <f t="shared" si="17"/>
        <v>123918.60928065141</v>
      </c>
      <c r="P72" s="49">
        <f t="shared" si="18"/>
        <v>2193.1061958472856</v>
      </c>
      <c r="Q72" s="14"/>
      <c r="R72" s="14"/>
      <c r="S72" s="14"/>
    </row>
    <row r="73" spans="2:29" x14ac:dyDescent="0.25">
      <c r="B73" t="s">
        <v>166</v>
      </c>
      <c r="C73" s="92">
        <v>5</v>
      </c>
      <c r="D73" s="109">
        <f>References!B3</f>
        <v>21.666666666666668</v>
      </c>
      <c r="E73" s="45">
        <f t="shared" si="21"/>
        <v>1300</v>
      </c>
      <c r="F73" s="79">
        <f>References!$B$33</f>
        <v>980</v>
      </c>
      <c r="G73" s="32">
        <f t="shared" si="22"/>
        <v>1274000</v>
      </c>
      <c r="H73" s="119">
        <f t="shared" si="15"/>
        <v>759274.46637880756</v>
      </c>
      <c r="I73" s="49">
        <f>H73*References!G$73</f>
        <v>1969.5312031039591</v>
      </c>
      <c r="J73" s="49">
        <f>I73/References!G$53</f>
        <v>2030.6538850437769</v>
      </c>
      <c r="K73" s="49">
        <f t="shared" si="16"/>
        <v>1.5620414500336746</v>
      </c>
      <c r="L73" s="35">
        <v>86.699076271228009</v>
      </c>
      <c r="M73" s="49">
        <f t="shared" si="23"/>
        <v>88.261117721261684</v>
      </c>
      <c r="N73" s="49">
        <f t="shared" si="19"/>
        <v>112708.79915259642</v>
      </c>
      <c r="O73" s="49">
        <f t="shared" si="17"/>
        <v>114739.45303764018</v>
      </c>
      <c r="P73" s="49">
        <f t="shared" si="18"/>
        <v>2030.6538850437646</v>
      </c>
      <c r="Q73" s="14"/>
      <c r="R73" s="14"/>
      <c r="S73" s="14"/>
    </row>
    <row r="74" spans="2:29" x14ac:dyDescent="0.25">
      <c r="B74" t="s">
        <v>167</v>
      </c>
      <c r="C74" s="92">
        <v>6</v>
      </c>
      <c r="D74" s="109">
        <f>References!D6</f>
        <v>26</v>
      </c>
      <c r="E74" s="45">
        <f t="shared" si="21"/>
        <v>1872</v>
      </c>
      <c r="F74" s="79">
        <f>References!$B$33</f>
        <v>980</v>
      </c>
      <c r="G74" s="32">
        <f t="shared" si="22"/>
        <v>1834560</v>
      </c>
      <c r="H74" s="119">
        <f t="shared" si="15"/>
        <v>1093355.2315854828</v>
      </c>
      <c r="I74" s="49">
        <f>H74*References!G$73</f>
        <v>2836.124932469701</v>
      </c>
      <c r="J74" s="49">
        <f>I74/References!G$53</f>
        <v>2924.1415944630385</v>
      </c>
      <c r="K74" s="49">
        <f t="shared" si="16"/>
        <v>1.5620414500336743</v>
      </c>
      <c r="L74" s="35">
        <v>86.699076271228009</v>
      </c>
      <c r="M74" s="49">
        <f t="shared" si="23"/>
        <v>88.261117721261684</v>
      </c>
      <c r="N74" s="49">
        <f t="shared" si="19"/>
        <v>162300.67077973884</v>
      </c>
      <c r="O74" s="49">
        <f t="shared" si="17"/>
        <v>165224.81237420187</v>
      </c>
      <c r="P74" s="49">
        <f t="shared" si="18"/>
        <v>2924.141594463028</v>
      </c>
      <c r="Q74" s="14"/>
      <c r="R74" s="14"/>
      <c r="S74" s="14"/>
    </row>
    <row r="75" spans="2:29" x14ac:dyDescent="0.25">
      <c r="B75" t="s">
        <v>168</v>
      </c>
      <c r="C75" s="92">
        <v>17</v>
      </c>
      <c r="D75" s="109">
        <f>References!B6</f>
        <v>8.6666666666666661</v>
      </c>
      <c r="E75" s="45">
        <f t="shared" si="21"/>
        <v>1767.9999999999998</v>
      </c>
      <c r="F75" s="79">
        <f>References!$B$33</f>
        <v>980</v>
      </c>
      <c r="G75" s="32">
        <f t="shared" si="22"/>
        <v>1732639.9999999998</v>
      </c>
      <c r="H75" s="119">
        <f t="shared" si="15"/>
        <v>1032613.2742751781</v>
      </c>
      <c r="I75" s="49">
        <f>H75*References!G$73</f>
        <v>2678.5624362213839</v>
      </c>
      <c r="J75" s="49">
        <f>I75/References!G$53</f>
        <v>2761.6892836595362</v>
      </c>
      <c r="K75" s="49">
        <f t="shared" si="16"/>
        <v>1.5620414500336746</v>
      </c>
      <c r="L75" s="35">
        <v>86.699076271228009</v>
      </c>
      <c r="M75" s="49">
        <f t="shared" si="23"/>
        <v>88.261117721261684</v>
      </c>
      <c r="N75" s="49">
        <f t="shared" si="19"/>
        <v>153283.96684753109</v>
      </c>
      <c r="O75" s="49">
        <f t="shared" si="17"/>
        <v>156045.65613119063</v>
      </c>
      <c r="P75" s="49">
        <f t="shared" si="18"/>
        <v>2761.6892836595362</v>
      </c>
      <c r="Q75" s="14"/>
      <c r="R75" s="14"/>
      <c r="S75" s="14"/>
    </row>
    <row r="76" spans="2:29" x14ac:dyDescent="0.25">
      <c r="B76" t="s">
        <v>169</v>
      </c>
      <c r="C76" s="92">
        <v>4</v>
      </c>
      <c r="D76" s="109">
        <f>References!B4</f>
        <v>17.333333333333332</v>
      </c>
      <c r="E76" s="45">
        <f t="shared" si="21"/>
        <v>832</v>
      </c>
      <c r="F76" s="79">
        <f>References!$B$33</f>
        <v>980</v>
      </c>
      <c r="G76" s="32">
        <f t="shared" si="22"/>
        <v>815360</v>
      </c>
      <c r="H76" s="119">
        <f t="shared" si="15"/>
        <v>485935.65848243685</v>
      </c>
      <c r="I76" s="49">
        <f>H76*References!G$73</f>
        <v>1260.4999699865339</v>
      </c>
      <c r="J76" s="49">
        <f>I76/References!G$53</f>
        <v>1299.6184864280171</v>
      </c>
      <c r="K76" s="49">
        <f t="shared" si="16"/>
        <v>1.5620414500336746</v>
      </c>
      <c r="L76" s="35">
        <v>86.699076271228009</v>
      </c>
      <c r="M76" s="49">
        <f t="shared" si="23"/>
        <v>88.261117721261684</v>
      </c>
      <c r="N76" s="49">
        <f t="shared" si="19"/>
        <v>72133.631457661701</v>
      </c>
      <c r="O76" s="49">
        <f t="shared" si="17"/>
        <v>73433.249944089723</v>
      </c>
      <c r="P76" s="49">
        <f t="shared" si="18"/>
        <v>1299.6184864280222</v>
      </c>
      <c r="Q76" s="14"/>
      <c r="R76" s="14"/>
      <c r="S76" s="14"/>
    </row>
    <row r="77" spans="2:29" x14ac:dyDescent="0.25">
      <c r="B77" t="s">
        <v>170</v>
      </c>
      <c r="C77" s="92">
        <v>7</v>
      </c>
      <c r="D77" s="109">
        <f>References!B5</f>
        <v>13</v>
      </c>
      <c r="E77" s="45">
        <f t="shared" si="21"/>
        <v>1092</v>
      </c>
      <c r="F77" s="79">
        <f>References!$B$33</f>
        <v>980</v>
      </c>
      <c r="G77" s="32">
        <f t="shared" si="22"/>
        <v>1070160</v>
      </c>
      <c r="H77" s="119">
        <f t="shared" si="15"/>
        <v>637790.5517581983</v>
      </c>
      <c r="I77" s="49">
        <f>H77*References!G$73</f>
        <v>1654.4062106073254</v>
      </c>
      <c r="J77" s="49">
        <f>I77/References!G$53</f>
        <v>1705.7492634367723</v>
      </c>
      <c r="K77" s="49">
        <f t="shared" si="16"/>
        <v>1.5620414500336741</v>
      </c>
      <c r="L77" s="35">
        <v>86.699076271228009</v>
      </c>
      <c r="M77" s="49">
        <f t="shared" si="23"/>
        <v>88.261117721261684</v>
      </c>
      <c r="N77" s="49">
        <f t="shared" si="19"/>
        <v>94675.391288180981</v>
      </c>
      <c r="O77" s="49">
        <f t="shared" si="17"/>
        <v>96381.140551617762</v>
      </c>
      <c r="P77" s="49">
        <f t="shared" si="18"/>
        <v>1705.7492634367809</v>
      </c>
      <c r="Q77" s="14"/>
      <c r="R77" s="14"/>
      <c r="S77" s="14"/>
    </row>
    <row r="78" spans="2:29" x14ac:dyDescent="0.25">
      <c r="B78" t="s">
        <v>171</v>
      </c>
      <c r="C78" s="92">
        <v>2</v>
      </c>
      <c r="D78" s="109">
        <f>References!D6</f>
        <v>26</v>
      </c>
      <c r="E78" s="45">
        <f t="shared" si="21"/>
        <v>624</v>
      </c>
      <c r="F78" s="79">
        <f>References!$B$33</f>
        <v>980</v>
      </c>
      <c r="G78" s="32">
        <f t="shared" si="22"/>
        <v>611520</v>
      </c>
      <c r="H78" s="119">
        <f t="shared" si="15"/>
        <v>364451.74386182765</v>
      </c>
      <c r="I78" s="49">
        <f>H78*References!G$73</f>
        <v>945.3749774899004</v>
      </c>
      <c r="J78" s="49">
        <f>I78/References!G$53</f>
        <v>974.71386482101286</v>
      </c>
      <c r="K78" s="49">
        <f t="shared" si="16"/>
        <v>1.5620414500336746</v>
      </c>
      <c r="L78" s="35">
        <v>86.699076271228009</v>
      </c>
      <c r="M78" s="49">
        <f t="shared" si="23"/>
        <v>88.261117721261684</v>
      </c>
      <c r="N78" s="49">
        <f t="shared" si="19"/>
        <v>54100.223593246279</v>
      </c>
      <c r="O78" s="49">
        <f t="shared" si="17"/>
        <v>55074.937458067288</v>
      </c>
      <c r="P78" s="49">
        <f t="shared" si="18"/>
        <v>974.71386482100934</v>
      </c>
      <c r="Q78" s="14"/>
      <c r="R78" s="14"/>
      <c r="S78" s="14"/>
    </row>
    <row r="79" spans="2:29" x14ac:dyDescent="0.25">
      <c r="B79" t="s">
        <v>172</v>
      </c>
      <c r="C79" s="92">
        <v>1</v>
      </c>
      <c r="D79" s="109">
        <f>References!B4</f>
        <v>17.333333333333332</v>
      </c>
      <c r="E79" s="45">
        <f t="shared" si="21"/>
        <v>208</v>
      </c>
      <c r="F79" s="79">
        <f>References!$B$33</f>
        <v>980</v>
      </c>
      <c r="G79" s="32">
        <f t="shared" si="22"/>
        <v>203840</v>
      </c>
      <c r="H79" s="119">
        <f t="shared" si="15"/>
        <v>121483.91462060921</v>
      </c>
      <c r="I79" s="49">
        <f>H79*References!G$73</f>
        <v>315.12499249663347</v>
      </c>
      <c r="J79" s="49">
        <f>I79/References!G$53</f>
        <v>324.90462160700429</v>
      </c>
      <c r="K79" s="49">
        <f t="shared" si="16"/>
        <v>1.5620414500336746</v>
      </c>
      <c r="L79" s="35">
        <v>86.699076271228009</v>
      </c>
      <c r="M79" s="49">
        <f t="shared" si="23"/>
        <v>88.261117721261684</v>
      </c>
      <c r="N79" s="49">
        <f t="shared" si="19"/>
        <v>18033.407864415425</v>
      </c>
      <c r="O79" s="49">
        <f t="shared" si="17"/>
        <v>18358.312486022431</v>
      </c>
      <c r="P79" s="49">
        <f t="shared" si="18"/>
        <v>324.90462160700554</v>
      </c>
      <c r="Q79" s="14"/>
      <c r="R79" s="14"/>
      <c r="S79" s="14"/>
    </row>
    <row r="80" spans="2:29" x14ac:dyDescent="0.25">
      <c r="B80" t="s">
        <v>173</v>
      </c>
      <c r="C80" s="92">
        <v>1</v>
      </c>
      <c r="D80" s="109">
        <f>References!B3</f>
        <v>21.666666666666668</v>
      </c>
      <c r="E80" s="45">
        <f t="shared" si="21"/>
        <v>260</v>
      </c>
      <c r="F80" s="79">
        <f>References!$B$33</f>
        <v>980</v>
      </c>
      <c r="G80" s="32">
        <f t="shared" si="22"/>
        <v>254800</v>
      </c>
      <c r="H80" s="119">
        <f t="shared" si="15"/>
        <v>151854.89327576151</v>
      </c>
      <c r="I80" s="49">
        <f>H80*References!G$73</f>
        <v>393.90624062079183</v>
      </c>
      <c r="J80" s="49">
        <f>I80/References!G$53</f>
        <v>406.13077700875539</v>
      </c>
      <c r="K80" s="49">
        <f t="shared" si="16"/>
        <v>1.5620414500336746</v>
      </c>
      <c r="L80" s="35">
        <v>86.699076271228009</v>
      </c>
      <c r="M80" s="49">
        <f t="shared" si="23"/>
        <v>88.261117721261684</v>
      </c>
      <c r="N80" s="49">
        <f t="shared" si="19"/>
        <v>22541.759830519281</v>
      </c>
      <c r="O80" s="49">
        <f t="shared" si="17"/>
        <v>22947.890607528039</v>
      </c>
      <c r="P80" s="49">
        <f t="shared" si="18"/>
        <v>406.13077700875874</v>
      </c>
      <c r="Q80" s="14"/>
      <c r="R80" s="14"/>
      <c r="S80" s="14"/>
    </row>
    <row r="81" spans="2:19" x14ac:dyDescent="0.25">
      <c r="B81" t="s">
        <v>174</v>
      </c>
      <c r="C81" s="92">
        <v>1</v>
      </c>
      <c r="D81" s="109">
        <f>References!B7</f>
        <v>4.333333333333333</v>
      </c>
      <c r="E81" s="45">
        <f t="shared" si="21"/>
        <v>52</v>
      </c>
      <c r="F81" s="79">
        <f>References!B36</f>
        <v>892</v>
      </c>
      <c r="G81" s="32">
        <f t="shared" si="22"/>
        <v>46384</v>
      </c>
      <c r="H81" s="119">
        <f t="shared" si="15"/>
        <v>27643.788735097809</v>
      </c>
      <c r="I81" s="49">
        <f>H81*References!G$73</f>
        <v>71.707013598723734</v>
      </c>
      <c r="J81" s="49">
        <f>I81/References!G$53</f>
        <v>73.932378182001997</v>
      </c>
      <c r="K81" s="49">
        <f t="shared" si="16"/>
        <v>1.4217765035000385</v>
      </c>
      <c r="L81" s="35">
        <v>89.514587789729973</v>
      </c>
      <c r="M81" s="49">
        <f t="shared" si="23"/>
        <v>90.936364293230014</v>
      </c>
      <c r="N81" s="49">
        <f t="shared" si="19"/>
        <v>4654.7585650659585</v>
      </c>
      <c r="O81" s="49">
        <f t="shared" si="17"/>
        <v>4728.6909432479606</v>
      </c>
      <c r="P81" s="49">
        <f t="shared" si="18"/>
        <v>73.93237818200214</v>
      </c>
      <c r="Q81" s="14"/>
      <c r="R81" s="14"/>
      <c r="S81" s="14"/>
    </row>
    <row r="82" spans="2:19" x14ac:dyDescent="0.25">
      <c r="B82" t="s">
        <v>175</v>
      </c>
      <c r="C82" s="92">
        <v>1</v>
      </c>
      <c r="D82" s="109">
        <f>References!B6</f>
        <v>8.6666666666666661</v>
      </c>
      <c r="E82" s="45">
        <f t="shared" si="21"/>
        <v>104</v>
      </c>
      <c r="F82" s="79">
        <f>References!B36</f>
        <v>892</v>
      </c>
      <c r="G82" s="32">
        <f t="shared" si="22"/>
        <v>92768</v>
      </c>
      <c r="H82" s="119">
        <f t="shared" si="15"/>
        <v>55287.577470195618</v>
      </c>
      <c r="I82" s="49">
        <f>H82*References!G$73</f>
        <v>143.41402719744747</v>
      </c>
      <c r="J82" s="49">
        <f>I82/References!G$53</f>
        <v>147.86475636400399</v>
      </c>
      <c r="K82" s="49">
        <f t="shared" si="16"/>
        <v>1.4217765035000385</v>
      </c>
      <c r="L82" s="35">
        <v>89.514587789729973</v>
      </c>
      <c r="M82" s="49">
        <f t="shared" si="23"/>
        <v>90.936364293230014</v>
      </c>
      <c r="N82" s="49">
        <f t="shared" si="19"/>
        <v>9309.5171301319169</v>
      </c>
      <c r="O82" s="49">
        <f t="shared" si="17"/>
        <v>9457.3818864959212</v>
      </c>
      <c r="P82" s="49">
        <f t="shared" si="18"/>
        <v>147.86475636400428</v>
      </c>
      <c r="Q82" s="14"/>
      <c r="R82" s="14"/>
      <c r="S82" s="14"/>
    </row>
    <row r="83" spans="2:19" x14ac:dyDescent="0.25">
      <c r="B83" t="s">
        <v>176</v>
      </c>
      <c r="C83" s="92">
        <v>4</v>
      </c>
      <c r="D83" s="109">
        <f>References!B7</f>
        <v>4.333333333333333</v>
      </c>
      <c r="E83" s="45">
        <f t="shared" si="21"/>
        <v>208</v>
      </c>
      <c r="F83" s="79">
        <f>References!B37</f>
        <v>1301</v>
      </c>
      <c r="G83" s="32">
        <f t="shared" si="22"/>
        <v>270608</v>
      </c>
      <c r="H83" s="119">
        <f t="shared" si="15"/>
        <v>161276.09481776794</v>
      </c>
      <c r="I83" s="49">
        <f>H83*References!G$73</f>
        <v>418.34450534502054</v>
      </c>
      <c r="J83" s="49">
        <f>I83/References!G$53</f>
        <v>431.32746194970673</v>
      </c>
      <c r="K83" s="49">
        <f t="shared" si="16"/>
        <v>2.0736897209120517</v>
      </c>
      <c r="L83" s="35">
        <v>129.5686308457833</v>
      </c>
      <c r="M83" s="49">
        <f t="shared" si="23"/>
        <v>131.64232056669536</v>
      </c>
      <c r="N83" s="49">
        <f t="shared" si="19"/>
        <v>26950.275215922928</v>
      </c>
      <c r="O83" s="49">
        <f t="shared" si="17"/>
        <v>27381.602677872634</v>
      </c>
      <c r="P83" s="49">
        <f t="shared" si="18"/>
        <v>431.32746194970605</v>
      </c>
      <c r="Q83" s="14"/>
      <c r="R83" s="14"/>
      <c r="S83" s="14"/>
    </row>
    <row r="84" spans="2:19" x14ac:dyDescent="0.25">
      <c r="B84" t="s">
        <v>177</v>
      </c>
      <c r="C84" s="92">
        <v>1</v>
      </c>
      <c r="D84" s="109">
        <f>References!B8</f>
        <v>2.1666666666666665</v>
      </c>
      <c r="E84" s="45">
        <f t="shared" si="21"/>
        <v>26</v>
      </c>
      <c r="F84" s="79">
        <f>References!$B$38</f>
        <v>1686</v>
      </c>
      <c r="G84" s="32">
        <f t="shared" si="22"/>
        <v>43836</v>
      </c>
      <c r="H84" s="119">
        <f t="shared" si="15"/>
        <v>26125.239802340195</v>
      </c>
      <c r="I84" s="49">
        <f>H84*References!G$73</f>
        <v>67.76795119251581</v>
      </c>
      <c r="J84" s="49">
        <f>I84/References!G$53</f>
        <v>69.871070411914431</v>
      </c>
      <c r="K84" s="49">
        <f t="shared" si="16"/>
        <v>2.6873488619967087</v>
      </c>
      <c r="L84" s="35">
        <v>167.59326795233719</v>
      </c>
      <c r="M84" s="49">
        <f t="shared" si="23"/>
        <v>170.28061681433388</v>
      </c>
      <c r="N84" s="49">
        <f t="shared" si="19"/>
        <v>4357.4249667607664</v>
      </c>
      <c r="O84" s="49">
        <f t="shared" si="17"/>
        <v>4427.2960371726813</v>
      </c>
      <c r="P84" s="49">
        <f t="shared" si="18"/>
        <v>69.871070411914843</v>
      </c>
      <c r="Q84" s="14"/>
      <c r="R84" s="14"/>
      <c r="S84" s="14"/>
    </row>
    <row r="85" spans="2:19" x14ac:dyDescent="0.25">
      <c r="B85" t="s">
        <v>178</v>
      </c>
      <c r="C85" s="92">
        <v>1</v>
      </c>
      <c r="D85" s="109">
        <f>References!B7</f>
        <v>4.333333333333333</v>
      </c>
      <c r="E85" s="45">
        <f t="shared" si="21"/>
        <v>52</v>
      </c>
      <c r="F85" s="79">
        <f>References!$B$38</f>
        <v>1686</v>
      </c>
      <c r="G85" s="32">
        <f t="shared" si="22"/>
        <v>87672</v>
      </c>
      <c r="H85" s="119">
        <f t="shared" si="15"/>
        <v>52250.479604680389</v>
      </c>
      <c r="I85" s="49">
        <f>H85*References!G$73</f>
        <v>135.53590238503162</v>
      </c>
      <c r="J85" s="49">
        <f>I85/References!G$53</f>
        <v>139.74214082382886</v>
      </c>
      <c r="K85" s="49">
        <f t="shared" si="16"/>
        <v>2.6873488619967087</v>
      </c>
      <c r="L85" s="35">
        <v>167.59326795233719</v>
      </c>
      <c r="M85" s="49">
        <f t="shared" si="23"/>
        <v>170.28061681433388</v>
      </c>
      <c r="N85" s="49">
        <f t="shared" si="19"/>
        <v>8714.8499335215329</v>
      </c>
      <c r="O85" s="49">
        <f t="shared" si="17"/>
        <v>8854.5920743453626</v>
      </c>
      <c r="P85" s="49">
        <f t="shared" si="18"/>
        <v>139.74214082382969</v>
      </c>
      <c r="Q85" s="14"/>
      <c r="R85" s="14"/>
      <c r="S85" s="14"/>
    </row>
    <row r="86" spans="2:19" x14ac:dyDescent="0.25">
      <c r="B86" t="s">
        <v>179</v>
      </c>
      <c r="C86" s="92">
        <v>1</v>
      </c>
      <c r="D86" s="109">
        <f>References!B6</f>
        <v>8.6666666666666661</v>
      </c>
      <c r="E86" s="45">
        <f t="shared" si="21"/>
        <v>104</v>
      </c>
      <c r="F86" s="79">
        <f>References!$B$38</f>
        <v>1686</v>
      </c>
      <c r="G86" s="32">
        <f t="shared" si="22"/>
        <v>175344</v>
      </c>
      <c r="H86" s="119">
        <f t="shared" si="15"/>
        <v>104500.95920936078</v>
      </c>
      <c r="I86" s="49">
        <f>H86*References!G$73</f>
        <v>271.07180477006324</v>
      </c>
      <c r="J86" s="49">
        <f>I86/References!G$53</f>
        <v>279.48428164765772</v>
      </c>
      <c r="K86" s="49">
        <f t="shared" si="16"/>
        <v>2.6873488619967087</v>
      </c>
      <c r="L86" s="35">
        <v>167.59326795233719</v>
      </c>
      <c r="M86" s="49">
        <f t="shared" si="23"/>
        <v>170.28061681433388</v>
      </c>
      <c r="N86" s="49">
        <f t="shared" si="19"/>
        <v>17429.699867043066</v>
      </c>
      <c r="O86" s="49">
        <f t="shared" si="17"/>
        <v>17709.184148690725</v>
      </c>
      <c r="P86" s="49">
        <f t="shared" si="18"/>
        <v>279.48428164765937</v>
      </c>
      <c r="Q86" s="14"/>
      <c r="R86" s="14"/>
      <c r="S86" s="14"/>
    </row>
    <row r="87" spans="2:19" x14ac:dyDescent="0.25">
      <c r="B87" t="s">
        <v>180</v>
      </c>
      <c r="C87" s="92">
        <v>1E-3</v>
      </c>
      <c r="D87" s="109">
        <f>References!B7</f>
        <v>4.333333333333333</v>
      </c>
      <c r="E87" s="45">
        <f t="shared" si="21"/>
        <v>5.1999999999999998E-2</v>
      </c>
      <c r="F87" s="79">
        <f>References!B39</f>
        <v>2046</v>
      </c>
      <c r="G87" s="32">
        <f t="shared" si="22"/>
        <v>106.392</v>
      </c>
      <c r="H87" s="119">
        <f t="shared" si="15"/>
        <v>63.40716564126695</v>
      </c>
      <c r="I87" s="49">
        <f>H87*References!G$73</f>
        <v>0.16447595271635512</v>
      </c>
      <c r="J87" s="49">
        <f>I87/References!G$53</f>
        <v>0.16958032035916601</v>
      </c>
      <c r="K87" s="49">
        <f t="shared" si="16"/>
        <v>3.2611600069070388</v>
      </c>
      <c r="L87" s="35">
        <v>201.81435719482906</v>
      </c>
      <c r="M87" s="49">
        <f t="shared" si="23"/>
        <v>205.07551720173609</v>
      </c>
      <c r="N87" s="49">
        <f t="shared" si="19"/>
        <v>10.494346574131111</v>
      </c>
      <c r="O87" s="49">
        <f t="shared" si="17"/>
        <v>10.663926894490276</v>
      </c>
      <c r="P87" s="49">
        <f t="shared" si="18"/>
        <v>0.16958032035916482</v>
      </c>
      <c r="Q87" s="14"/>
      <c r="R87" s="14"/>
      <c r="S87" s="14"/>
    </row>
    <row r="88" spans="2:19" x14ac:dyDescent="0.25">
      <c r="B88" t="s">
        <v>181</v>
      </c>
      <c r="C88" s="92">
        <v>1E-3</v>
      </c>
      <c r="D88" s="109">
        <f>References!B7</f>
        <v>4.333333333333333</v>
      </c>
      <c r="E88" s="45">
        <f t="shared" si="21"/>
        <v>5.1999999999999998E-2</v>
      </c>
      <c r="F88" s="79">
        <f>References!B40</f>
        <v>2310</v>
      </c>
      <c r="G88" s="32">
        <f t="shared" si="22"/>
        <v>120.11999999999999</v>
      </c>
      <c r="H88" s="119">
        <f t="shared" si="15"/>
        <v>71.588735401430426</v>
      </c>
      <c r="I88" s="49">
        <f>H88*References!G$73</f>
        <v>0.185698656292659</v>
      </c>
      <c r="J88" s="49">
        <f>I88/References!G$53</f>
        <v>0.19146165201841325</v>
      </c>
      <c r="K88" s="49">
        <f t="shared" si="16"/>
        <v>3.6819548465079475</v>
      </c>
      <c r="L88" s="35">
        <v>242.42782263932315</v>
      </c>
      <c r="M88" s="49">
        <f t="shared" si="23"/>
        <v>246.1097774858311</v>
      </c>
      <c r="N88" s="49">
        <f t="shared" si="19"/>
        <v>12.606246777244804</v>
      </c>
      <c r="O88" s="49">
        <f t="shared" si="17"/>
        <v>12.797708429263217</v>
      </c>
      <c r="P88" s="49">
        <f t="shared" si="18"/>
        <v>0.19146165201841292</v>
      </c>
      <c r="Q88" s="14"/>
      <c r="R88" s="14"/>
      <c r="S88" s="14"/>
    </row>
    <row r="89" spans="2:19" x14ac:dyDescent="0.25">
      <c r="B89" t="s">
        <v>182</v>
      </c>
      <c r="C89" s="92">
        <v>191</v>
      </c>
      <c r="D89" s="109">
        <f>References!$B$9</f>
        <v>1</v>
      </c>
      <c r="E89" s="45">
        <f t="shared" si="21"/>
        <v>2292</v>
      </c>
      <c r="F89" s="79">
        <f>References!B42</f>
        <v>125</v>
      </c>
      <c r="G89" s="32">
        <f t="shared" si="22"/>
        <v>286500</v>
      </c>
      <c r="H89" s="119">
        <f t="shared" si="15"/>
        <v>170747.35841250265</v>
      </c>
      <c r="I89" s="49">
        <f>H89*References!G$73</f>
        <v>442.91262926945393</v>
      </c>
      <c r="J89" s="49">
        <f>I89/References!G$53</f>
        <v>456.65803615780385</v>
      </c>
      <c r="K89" s="49">
        <f t="shared" si="16"/>
        <v>0.19923998087164216</v>
      </c>
      <c r="L89" s="35">
        <v>16.917739320309693</v>
      </c>
      <c r="M89" s="49">
        <f t="shared" si="23"/>
        <v>17.116979301181335</v>
      </c>
      <c r="N89" s="49">
        <f t="shared" si="19"/>
        <v>38775.458522149813</v>
      </c>
      <c r="O89" s="49">
        <f t="shared" si="17"/>
        <v>39232.116558307622</v>
      </c>
      <c r="P89" s="49">
        <f t="shared" si="18"/>
        <v>456.65803615780897</v>
      </c>
      <c r="Q89" s="14"/>
      <c r="R89" s="14">
        <v>23.212072641045108</v>
      </c>
      <c r="S89" s="14">
        <f>M89/L89*R89</f>
        <v>23.48544089796351</v>
      </c>
    </row>
    <row r="90" spans="2:19" x14ac:dyDescent="0.25">
      <c r="B90" t="s">
        <v>183</v>
      </c>
      <c r="C90" s="92">
        <v>27</v>
      </c>
      <c r="D90" s="109">
        <f>References!$B$9</f>
        <v>1</v>
      </c>
      <c r="E90" s="45">
        <f t="shared" si="21"/>
        <v>324</v>
      </c>
      <c r="F90" s="79">
        <f>References!B42</f>
        <v>125</v>
      </c>
      <c r="G90" s="32">
        <f t="shared" si="22"/>
        <v>40500</v>
      </c>
      <c r="H90" s="119">
        <f t="shared" ref="H90" si="24">G90*C$117</f>
        <v>24137.061136845925</v>
      </c>
      <c r="I90" s="49">
        <f>H90*References!G$73</f>
        <v>62.61068581295946</v>
      </c>
      <c r="J90" s="49">
        <f>I90/References!G$53</f>
        <v>64.553753802412061</v>
      </c>
      <c r="K90" s="49">
        <f t="shared" ref="K90" si="25">J90/E90</f>
        <v>0.19923998087164216</v>
      </c>
      <c r="L90" s="35">
        <v>16.917739320309693</v>
      </c>
      <c r="M90" s="49">
        <f t="shared" si="23"/>
        <v>17.116979301181335</v>
      </c>
      <c r="N90" s="49">
        <f t="shared" si="19"/>
        <v>5481.3475397803404</v>
      </c>
      <c r="O90" s="49">
        <f t="shared" ref="O90" si="26">M90*E90</f>
        <v>5545.9012935827523</v>
      </c>
      <c r="P90" s="49">
        <f t="shared" si="18"/>
        <v>64.553753802411848</v>
      </c>
      <c r="Q90" s="14"/>
      <c r="R90" s="14">
        <v>20.645501141592973</v>
      </c>
      <c r="S90" s="14">
        <f>M90/L90*R90</f>
        <v>20.888642921629643</v>
      </c>
    </row>
    <row r="91" spans="2:19" x14ac:dyDescent="0.25">
      <c r="B91" s="76" t="s">
        <v>204</v>
      </c>
      <c r="C91" s="93">
        <f>SUM(C25:C90)</f>
        <v>1413.002</v>
      </c>
      <c r="D91" s="96"/>
      <c r="E91" s="97">
        <f>SUM(E25:E90)</f>
        <v>121696.10399999999</v>
      </c>
      <c r="F91" s="98"/>
      <c r="G91" s="95">
        <f>SUM(G25:G90)</f>
        <v>45146832.511999995</v>
      </c>
      <c r="H91" s="120">
        <f>SUM(H25:H90)</f>
        <v>26906465.592026852</v>
      </c>
      <c r="I91" s="99"/>
      <c r="J91" s="99"/>
      <c r="K91" s="77"/>
      <c r="L91" s="101"/>
      <c r="M91" s="77"/>
      <c r="N91" s="100">
        <f>SUM(N25:N90)</f>
        <v>4098562.8854311868</v>
      </c>
      <c r="O91" s="100">
        <f>SUM(O25:O90)</f>
        <v>4170523.3178000371</v>
      </c>
      <c r="P91" s="100">
        <f>SUM(P25:P90)</f>
        <v>71960.432368848764</v>
      </c>
      <c r="Q91" s="130">
        <f>P91/N91</f>
        <v>1.75574791409546E-2</v>
      </c>
    </row>
    <row r="92" spans="2:19" x14ac:dyDescent="0.25">
      <c r="B92" s="76" t="s">
        <v>203</v>
      </c>
      <c r="C92" s="93">
        <f>C23+C91</f>
        <v>26529.002100000002</v>
      </c>
      <c r="D92" s="96"/>
      <c r="E92" s="97">
        <f>E23+E91</f>
        <v>1498062.1351999999</v>
      </c>
      <c r="F92" s="98"/>
      <c r="G92" s="95">
        <f>G23+G91</f>
        <v>101567037.57279998</v>
      </c>
      <c r="H92" s="120">
        <f>H23+H91</f>
        <v>60531599.886000022</v>
      </c>
      <c r="I92" s="99"/>
      <c r="J92" s="99"/>
      <c r="K92" s="77"/>
      <c r="L92" s="101"/>
      <c r="M92" s="77"/>
      <c r="N92" s="100">
        <f>N23+N91</f>
        <v>10238935.469620336</v>
      </c>
      <c r="O92" s="100">
        <f>O23+O91</f>
        <v>10400825.186605889</v>
      </c>
      <c r="P92" s="100">
        <f>P23+P91</f>
        <v>161889.71698555187</v>
      </c>
      <c r="Q92" s="130">
        <f>P92/N92</f>
        <v>1.581118637439316E-2</v>
      </c>
    </row>
    <row r="93" spans="2:19" ht="45.75" customHeight="1" x14ac:dyDescent="0.25">
      <c r="B93" s="38" t="s">
        <v>87</v>
      </c>
      <c r="C93" s="48" t="s">
        <v>84</v>
      </c>
      <c r="D93" s="37" t="s">
        <v>85</v>
      </c>
      <c r="E93" s="47" t="s">
        <v>2</v>
      </c>
      <c r="F93" s="39" t="s">
        <v>86</v>
      </c>
      <c r="G93" s="40" t="s">
        <v>4</v>
      </c>
      <c r="H93" s="40" t="s">
        <v>5</v>
      </c>
      <c r="I93" s="37" t="s">
        <v>6</v>
      </c>
      <c r="J93" s="37" t="s">
        <v>7</v>
      </c>
      <c r="K93" s="40" t="s">
        <v>8</v>
      </c>
      <c r="L93" s="51" t="s">
        <v>88</v>
      </c>
      <c r="M93" s="40" t="s">
        <v>10</v>
      </c>
      <c r="N93" s="40" t="s">
        <v>11</v>
      </c>
      <c r="O93" s="40" t="s">
        <v>12</v>
      </c>
      <c r="P93" s="40" t="s">
        <v>13</v>
      </c>
    </row>
    <row r="94" spans="2:19" x14ac:dyDescent="0.25">
      <c r="B94" t="s">
        <v>96</v>
      </c>
      <c r="D94" s="22">
        <v>1</v>
      </c>
      <c r="E94" s="21">
        <v>1</v>
      </c>
      <c r="F94" s="52">
        <f>References!B42</f>
        <v>125</v>
      </c>
      <c r="G94" s="52">
        <f>E94*F94</f>
        <v>125</v>
      </c>
      <c r="H94" s="52">
        <f>G94*C$117</f>
        <v>74.497102274215806</v>
      </c>
      <c r="I94" s="14">
        <f>H94*References!G$73</f>
        <v>0.19324285744740571</v>
      </c>
      <c r="J94" s="14">
        <f>I94/References!G$53</f>
        <v>0.19923998087164216</v>
      </c>
      <c r="K94" s="14">
        <f>J94/E94*D94</f>
        <v>0.19923998087164216</v>
      </c>
      <c r="L94" s="35">
        <v>59.287739320309697</v>
      </c>
      <c r="M94" s="14">
        <f>K94+L94</f>
        <v>59.486979301181343</v>
      </c>
      <c r="N94" s="14">
        <f>L94*C94*12</f>
        <v>0</v>
      </c>
      <c r="O94" s="14">
        <f>M94*C94*12</f>
        <v>0</v>
      </c>
      <c r="P94" s="14">
        <f>O94-N94</f>
        <v>0</v>
      </c>
      <c r="Q94" s="14"/>
    </row>
    <row r="95" spans="2:19" x14ac:dyDescent="0.25">
      <c r="B95" t="s">
        <v>97</v>
      </c>
      <c r="D95" s="22">
        <v>1</v>
      </c>
      <c r="E95" s="21">
        <v>1</v>
      </c>
      <c r="F95" s="52">
        <f>References!B20</f>
        <v>37</v>
      </c>
      <c r="G95" s="52">
        <f t="shared" ref="G95:G111" si="27">E95*F95</f>
        <v>37</v>
      </c>
      <c r="H95" s="52">
        <f t="shared" ref="H95:H111" si="28">G95*C$117</f>
        <v>22.05114227316788</v>
      </c>
      <c r="I95" s="14">
        <f>H95*References!G$73</f>
        <v>5.7199885804432089E-2</v>
      </c>
      <c r="J95" s="14">
        <f>I95/References!G$53</f>
        <v>5.897503433800607E-2</v>
      </c>
      <c r="K95" s="14">
        <f>J95/E95*D95</f>
        <v>5.897503433800607E-2</v>
      </c>
      <c r="L95" s="35">
        <v>14.043250838811669</v>
      </c>
      <c r="M95" s="14">
        <f t="shared" ref="M95:M111" si="29">K95+L95</f>
        <v>14.102225873149676</v>
      </c>
      <c r="N95" s="14">
        <f t="shared" ref="N95:N111" si="30">L95*C95*12</f>
        <v>0</v>
      </c>
      <c r="O95" s="14">
        <f t="shared" ref="O95:O111" si="31">M95*C95*12</f>
        <v>0</v>
      </c>
      <c r="P95" s="14">
        <f t="shared" ref="P95:P111" si="32">O95-N95</f>
        <v>0</v>
      </c>
      <c r="Q95" s="14"/>
    </row>
    <row r="96" spans="2:19" x14ac:dyDescent="0.25">
      <c r="B96" t="s">
        <v>98</v>
      </c>
      <c r="D96" s="22">
        <v>1</v>
      </c>
      <c r="E96" s="21">
        <v>1</v>
      </c>
      <c r="F96" s="52">
        <f>References!B21</f>
        <v>47</v>
      </c>
      <c r="G96" s="52">
        <f t="shared" si="27"/>
        <v>47</v>
      </c>
      <c r="H96" s="52">
        <f t="shared" si="28"/>
        <v>28.010910455105144</v>
      </c>
      <c r="I96" s="14">
        <f>H96*References!G$73</f>
        <v>7.2659314400224551E-2</v>
      </c>
      <c r="J96" s="14">
        <f>I96/References!G$53</f>
        <v>7.4914232807737444E-2</v>
      </c>
      <c r="K96" s="14">
        <f>J96/E94*D94</f>
        <v>7.4914232807737444E-2</v>
      </c>
      <c r="L96" s="35">
        <v>23.924669984436445</v>
      </c>
      <c r="M96" s="14">
        <f t="shared" si="29"/>
        <v>23.999584217244184</v>
      </c>
      <c r="N96" s="14">
        <f t="shared" si="30"/>
        <v>0</v>
      </c>
      <c r="O96" s="14">
        <f t="shared" si="31"/>
        <v>0</v>
      </c>
      <c r="P96" s="14">
        <f t="shared" si="32"/>
        <v>0</v>
      </c>
      <c r="Q96" s="14"/>
    </row>
    <row r="97" spans="2:27" x14ac:dyDescent="0.25">
      <c r="B97" t="s">
        <v>99</v>
      </c>
      <c r="D97" s="22">
        <v>1</v>
      </c>
      <c r="E97" s="21">
        <v>1</v>
      </c>
      <c r="F97" s="52">
        <f>References!B22</f>
        <v>68</v>
      </c>
      <c r="G97" s="52">
        <f t="shared" si="27"/>
        <v>68</v>
      </c>
      <c r="H97" s="52">
        <f t="shared" si="28"/>
        <v>40.526423637173401</v>
      </c>
      <c r="I97" s="14">
        <f>H97*References!G$73</f>
        <v>0.10512411445138871</v>
      </c>
      <c r="J97" s="14">
        <f>I97/References!G$53</f>
        <v>0.10838654959417333</v>
      </c>
      <c r="K97" s="14">
        <f t="shared" ref="K97:K111" si="33">J97/E95*D95</f>
        <v>0.10838654959417333</v>
      </c>
      <c r="L97" s="35">
        <v>35.011650190248467</v>
      </c>
      <c r="M97" s="14">
        <f t="shared" si="29"/>
        <v>35.120036739842639</v>
      </c>
      <c r="N97" s="14">
        <f t="shared" si="30"/>
        <v>0</v>
      </c>
      <c r="O97" s="14">
        <f t="shared" si="31"/>
        <v>0</v>
      </c>
      <c r="P97" s="14">
        <f t="shared" si="32"/>
        <v>0</v>
      </c>
      <c r="Q97" s="14"/>
    </row>
    <row r="98" spans="2:27" x14ac:dyDescent="0.25">
      <c r="B98" t="s">
        <v>100</v>
      </c>
      <c r="D98" s="22">
        <v>1</v>
      </c>
      <c r="E98" s="21">
        <v>1</v>
      </c>
      <c r="F98" s="52">
        <f>References!B27</f>
        <v>175</v>
      </c>
      <c r="G98" s="52">
        <f t="shared" si="27"/>
        <v>175</v>
      </c>
      <c r="H98" s="52">
        <f t="shared" si="28"/>
        <v>104.29594318390214</v>
      </c>
      <c r="I98" s="14">
        <f>H98*References!G$73</f>
        <v>0.270540000426368</v>
      </c>
      <c r="J98" s="14">
        <f>I98/References!G$53</f>
        <v>0.278935973220299</v>
      </c>
      <c r="K98" s="14">
        <f t="shared" si="33"/>
        <v>0.278935973220299</v>
      </c>
      <c r="L98" s="35">
        <v>5.1048350484335714</v>
      </c>
      <c r="M98" s="14">
        <f t="shared" si="29"/>
        <v>5.3837710216538701</v>
      </c>
      <c r="N98" s="14">
        <f t="shared" si="30"/>
        <v>0</v>
      </c>
      <c r="O98" s="14">
        <f t="shared" si="31"/>
        <v>0</v>
      </c>
      <c r="P98" s="14">
        <f t="shared" si="32"/>
        <v>0</v>
      </c>
      <c r="Q98" s="14"/>
    </row>
    <row r="99" spans="2:27" x14ac:dyDescent="0.25">
      <c r="B99" t="s">
        <v>101</v>
      </c>
      <c r="D99" s="22">
        <v>1</v>
      </c>
      <c r="E99" s="21">
        <v>1</v>
      </c>
      <c r="F99" s="52">
        <f>References!B28</f>
        <v>250</v>
      </c>
      <c r="G99" s="52">
        <f t="shared" si="27"/>
        <v>250</v>
      </c>
      <c r="H99" s="52">
        <f t="shared" si="28"/>
        <v>148.99420454843161</v>
      </c>
      <c r="I99" s="14">
        <f>H99*References!G$73</f>
        <v>0.38648571489481143</v>
      </c>
      <c r="J99" s="14">
        <f>I99/References!G$53</f>
        <v>0.39847996174328432</v>
      </c>
      <c r="K99" s="14">
        <f t="shared" si="33"/>
        <v>0.39847996174328432</v>
      </c>
      <c r="L99" s="35">
        <v>5.4654786406193887</v>
      </c>
      <c r="M99" s="14">
        <f t="shared" si="29"/>
        <v>5.8639586023626729</v>
      </c>
      <c r="N99" s="14">
        <f t="shared" si="30"/>
        <v>0</v>
      </c>
      <c r="O99" s="14">
        <f t="shared" si="31"/>
        <v>0</v>
      </c>
      <c r="P99" s="14">
        <f t="shared" si="32"/>
        <v>0</v>
      </c>
      <c r="Q99" s="14"/>
    </row>
    <row r="100" spans="2:27" x14ac:dyDescent="0.25">
      <c r="B100" t="s">
        <v>102</v>
      </c>
      <c r="D100" s="22">
        <v>1</v>
      </c>
      <c r="E100" s="21">
        <v>1</v>
      </c>
      <c r="F100" s="52">
        <f>References!B29</f>
        <v>324</v>
      </c>
      <c r="G100" s="52">
        <f t="shared" si="27"/>
        <v>324</v>
      </c>
      <c r="H100" s="52">
        <f t="shared" si="28"/>
        <v>193.09648909476738</v>
      </c>
      <c r="I100" s="14">
        <f>H100*References!G$73</f>
        <v>0.50088548650367559</v>
      </c>
      <c r="J100" s="14">
        <f>I100/References!G$53</f>
        <v>0.51643003041929647</v>
      </c>
      <c r="K100" s="14">
        <f t="shared" si="33"/>
        <v>0.51643003041929647</v>
      </c>
      <c r="L100" s="35">
        <v>5.8119803182427274</v>
      </c>
      <c r="M100" s="14">
        <f t="shared" si="29"/>
        <v>6.3284103486620236</v>
      </c>
      <c r="N100" s="14">
        <f t="shared" si="30"/>
        <v>0</v>
      </c>
      <c r="O100" s="14">
        <f t="shared" si="31"/>
        <v>0</v>
      </c>
      <c r="P100" s="14">
        <f t="shared" si="32"/>
        <v>0</v>
      </c>
      <c r="Q100" s="14"/>
    </row>
    <row r="101" spans="2:27" x14ac:dyDescent="0.25">
      <c r="B101" t="s">
        <v>103</v>
      </c>
      <c r="D101" s="22">
        <v>1</v>
      </c>
      <c r="E101" s="21">
        <v>1</v>
      </c>
      <c r="F101" s="52">
        <f>References!B30</f>
        <v>473</v>
      </c>
      <c r="G101" s="52">
        <f t="shared" si="27"/>
        <v>473</v>
      </c>
      <c r="H101" s="52">
        <f t="shared" si="28"/>
        <v>281.89703500563263</v>
      </c>
      <c r="I101" s="14">
        <f>H101*References!G$73</f>
        <v>0.73123097258098324</v>
      </c>
      <c r="J101" s="14">
        <f>I101/References!G$53</f>
        <v>0.75392408761829388</v>
      </c>
      <c r="K101" s="14">
        <f t="shared" si="33"/>
        <v>0.75392408761829388</v>
      </c>
      <c r="L101" s="35">
        <v>6.5291255880518833</v>
      </c>
      <c r="M101" s="14">
        <f t="shared" si="29"/>
        <v>7.2830496756701768</v>
      </c>
      <c r="N101" s="14">
        <f t="shared" si="30"/>
        <v>0</v>
      </c>
      <c r="O101" s="14">
        <f t="shared" si="31"/>
        <v>0</v>
      </c>
      <c r="P101" s="14">
        <f t="shared" si="32"/>
        <v>0</v>
      </c>
      <c r="Q101" s="14"/>
    </row>
    <row r="102" spans="2:27" x14ac:dyDescent="0.25">
      <c r="B102" t="s">
        <v>104</v>
      </c>
      <c r="D102" s="22">
        <v>1</v>
      </c>
      <c r="E102" s="21">
        <v>1</v>
      </c>
      <c r="F102" s="52">
        <f>References!B31</f>
        <v>613</v>
      </c>
      <c r="G102" s="52">
        <f t="shared" si="27"/>
        <v>613</v>
      </c>
      <c r="H102" s="52">
        <f t="shared" si="28"/>
        <v>365.33378955275435</v>
      </c>
      <c r="I102" s="14">
        <f>H102*References!G$73</f>
        <v>0.94766297292207768</v>
      </c>
      <c r="J102" s="14">
        <f>I102/References!G$53</f>
        <v>0.97707286619453315</v>
      </c>
      <c r="K102" s="14">
        <f t="shared" si="33"/>
        <v>0.97707286619453315</v>
      </c>
      <c r="L102" s="35">
        <v>7.0989936267987401</v>
      </c>
      <c r="M102" s="14">
        <f t="shared" si="29"/>
        <v>8.0760664929932737</v>
      </c>
      <c r="N102" s="14">
        <f t="shared" si="30"/>
        <v>0</v>
      </c>
      <c r="O102" s="14">
        <f t="shared" si="31"/>
        <v>0</v>
      </c>
      <c r="P102" s="14">
        <f t="shared" si="32"/>
        <v>0</v>
      </c>
      <c r="Q102" s="14"/>
    </row>
    <row r="103" spans="2:27" x14ac:dyDescent="0.25">
      <c r="B103" t="s">
        <v>105</v>
      </c>
      <c r="D103" s="22">
        <v>1</v>
      </c>
      <c r="E103" s="21">
        <v>1</v>
      </c>
      <c r="F103" s="52">
        <f>References!B32</f>
        <v>840</v>
      </c>
      <c r="G103" s="52">
        <f t="shared" si="27"/>
        <v>840</v>
      </c>
      <c r="H103" s="52">
        <f t="shared" si="28"/>
        <v>500.62052728273028</v>
      </c>
      <c r="I103" s="14">
        <f>H103*References!G$73</f>
        <v>1.2985920020465664</v>
      </c>
      <c r="J103" s="14">
        <f>I103/References!G$53</f>
        <v>1.3388926714574352</v>
      </c>
      <c r="K103" s="14">
        <f t="shared" si="33"/>
        <v>1.3388926714574352</v>
      </c>
      <c r="L103" s="35">
        <v>12.649208232481145</v>
      </c>
      <c r="M103" s="14">
        <f t="shared" si="29"/>
        <v>13.98810090393858</v>
      </c>
      <c r="N103" s="14">
        <f t="shared" si="30"/>
        <v>0</v>
      </c>
      <c r="O103" s="14">
        <f t="shared" si="31"/>
        <v>0</v>
      </c>
      <c r="P103" s="14">
        <f t="shared" si="32"/>
        <v>0</v>
      </c>
      <c r="Q103" s="14"/>
    </row>
    <row r="104" spans="2:27" x14ac:dyDescent="0.25">
      <c r="B104" t="s">
        <v>106</v>
      </c>
      <c r="D104" s="22">
        <v>1</v>
      </c>
      <c r="E104" s="21">
        <v>1</v>
      </c>
      <c r="F104" s="52">
        <f>References!B33</f>
        <v>980</v>
      </c>
      <c r="G104" s="52">
        <f t="shared" si="27"/>
        <v>980</v>
      </c>
      <c r="H104" s="52">
        <f t="shared" si="28"/>
        <v>584.05728182985195</v>
      </c>
      <c r="I104" s="14">
        <f>H104*References!G$73</f>
        <v>1.5150240023876607</v>
      </c>
      <c r="J104" s="14">
        <f>I104/References!G$53</f>
        <v>1.5620414500336743</v>
      </c>
      <c r="K104" s="14">
        <f t="shared" si="33"/>
        <v>1.5620414500336743</v>
      </c>
      <c r="L104" s="35">
        <v>13.589076271228002</v>
      </c>
      <c r="M104" s="14">
        <f t="shared" si="29"/>
        <v>15.151117721261677</v>
      </c>
      <c r="N104" s="14">
        <f t="shared" si="30"/>
        <v>0</v>
      </c>
      <c r="O104" s="14">
        <f t="shared" si="31"/>
        <v>0</v>
      </c>
      <c r="P104" s="14">
        <f t="shared" si="32"/>
        <v>0</v>
      </c>
      <c r="Q104" s="14"/>
    </row>
    <row r="105" spans="2:27" x14ac:dyDescent="0.25">
      <c r="B105" s="70" t="s">
        <v>107</v>
      </c>
      <c r="D105" s="22">
        <v>1</v>
      </c>
      <c r="E105" s="21">
        <v>1</v>
      </c>
      <c r="F105" s="52">
        <f>References!B27</f>
        <v>175</v>
      </c>
      <c r="G105" s="52">
        <f t="shared" si="27"/>
        <v>175</v>
      </c>
      <c r="H105" s="52">
        <f t="shared" si="28"/>
        <v>104.29594318390214</v>
      </c>
      <c r="I105" s="14">
        <f>H105*References!G$73</f>
        <v>0.270540000426368</v>
      </c>
      <c r="J105" s="14">
        <f>I105/References!G$53</f>
        <v>0.278935973220299</v>
      </c>
      <c r="K105" s="14">
        <f t="shared" si="33"/>
        <v>0.278935973220299</v>
      </c>
      <c r="L105" s="35">
        <v>31.414335109615013</v>
      </c>
      <c r="M105" s="14">
        <f t="shared" si="29"/>
        <v>31.693271082835313</v>
      </c>
      <c r="N105" s="14">
        <f t="shared" si="30"/>
        <v>0</v>
      </c>
      <c r="O105" s="14">
        <f t="shared" si="31"/>
        <v>0</v>
      </c>
      <c r="P105" s="14">
        <f t="shared" si="32"/>
        <v>0</v>
      </c>
      <c r="Q105" s="14"/>
    </row>
    <row r="106" spans="2:27" x14ac:dyDescent="0.25">
      <c r="B106" s="70" t="s">
        <v>108</v>
      </c>
      <c r="D106" s="22">
        <v>1</v>
      </c>
      <c r="E106" s="21">
        <v>1</v>
      </c>
      <c r="F106" s="52">
        <f>References!B28</f>
        <v>250</v>
      </c>
      <c r="G106" s="52">
        <f t="shared" si="27"/>
        <v>250</v>
      </c>
      <c r="H106" s="52">
        <f t="shared" si="28"/>
        <v>148.99420454843161</v>
      </c>
      <c r="I106" s="14">
        <f>H106*References!G$73</f>
        <v>0.38648571489481143</v>
      </c>
      <c r="J106" s="14">
        <f>I106/References!G$53</f>
        <v>0.39847996174328432</v>
      </c>
      <c r="K106" s="14">
        <f t="shared" si="33"/>
        <v>0.39847996174328432</v>
      </c>
      <c r="L106" s="35">
        <v>38.257621585164308</v>
      </c>
      <c r="M106" s="14">
        <f t="shared" si="29"/>
        <v>38.656101546907593</v>
      </c>
      <c r="N106" s="14">
        <f t="shared" si="30"/>
        <v>0</v>
      </c>
      <c r="O106" s="14">
        <f t="shared" si="31"/>
        <v>0</v>
      </c>
      <c r="P106" s="14">
        <f t="shared" si="32"/>
        <v>0</v>
      </c>
      <c r="Q106" s="14"/>
    </row>
    <row r="107" spans="2:27" x14ac:dyDescent="0.25">
      <c r="B107" s="70" t="s">
        <v>109</v>
      </c>
      <c r="D107" s="22">
        <v>1</v>
      </c>
      <c r="E107" s="21">
        <v>1</v>
      </c>
      <c r="F107" s="52">
        <f>References!B29</f>
        <v>324</v>
      </c>
      <c r="G107" s="52">
        <f t="shared" si="27"/>
        <v>324</v>
      </c>
      <c r="H107" s="52">
        <f t="shared" si="28"/>
        <v>193.09648909476738</v>
      </c>
      <c r="I107" s="14">
        <f>H107*References!G$73</f>
        <v>0.50088548650367559</v>
      </c>
      <c r="J107" s="14">
        <f>I107/References!G$53</f>
        <v>0.51643003041929647</v>
      </c>
      <c r="K107" s="14">
        <f t="shared" si="33"/>
        <v>0.51643003041929647</v>
      </c>
      <c r="L107" s="35">
        <v>44.607397574372939</v>
      </c>
      <c r="M107" s="14">
        <f t="shared" si="29"/>
        <v>45.123827604792233</v>
      </c>
      <c r="N107" s="14">
        <f t="shared" si="30"/>
        <v>0</v>
      </c>
      <c r="O107" s="14">
        <f t="shared" si="31"/>
        <v>0</v>
      </c>
      <c r="P107" s="14">
        <f t="shared" si="32"/>
        <v>0</v>
      </c>
      <c r="Q107" s="14"/>
    </row>
    <row r="108" spans="2:27" x14ac:dyDescent="0.25">
      <c r="B108" s="70" t="s">
        <v>110</v>
      </c>
      <c r="D108" s="22">
        <v>1</v>
      </c>
      <c r="E108" s="21">
        <v>1</v>
      </c>
      <c r="F108" s="52">
        <f>References!B30</f>
        <v>473</v>
      </c>
      <c r="G108" s="52">
        <f t="shared" si="27"/>
        <v>473</v>
      </c>
      <c r="H108" s="52">
        <f t="shared" si="28"/>
        <v>281.89703500563263</v>
      </c>
      <c r="I108" s="14">
        <f>H108*References!G$73</f>
        <v>0.73123097258098324</v>
      </c>
      <c r="J108" s="14">
        <f>I108/References!G$53</f>
        <v>0.75392408761829388</v>
      </c>
      <c r="K108" s="14">
        <f t="shared" si="33"/>
        <v>0.75392408761829388</v>
      </c>
      <c r="L108" s="35">
        <v>56.760460039130869</v>
      </c>
      <c r="M108" s="14">
        <f t="shared" si="29"/>
        <v>57.514384126749164</v>
      </c>
      <c r="N108" s="14">
        <f t="shared" si="30"/>
        <v>0</v>
      </c>
      <c r="O108" s="14">
        <f t="shared" si="31"/>
        <v>0</v>
      </c>
      <c r="P108" s="14">
        <f t="shared" si="32"/>
        <v>0</v>
      </c>
      <c r="Q108" s="14"/>
    </row>
    <row r="109" spans="2:27" x14ac:dyDescent="0.25">
      <c r="B109" s="70" t="s">
        <v>111</v>
      </c>
      <c r="D109" s="22">
        <v>1</v>
      </c>
      <c r="E109" s="21">
        <v>1</v>
      </c>
      <c r="F109" s="52">
        <f>References!B31</f>
        <v>613</v>
      </c>
      <c r="G109" s="52">
        <f t="shared" si="27"/>
        <v>613</v>
      </c>
      <c r="H109" s="52">
        <f t="shared" si="28"/>
        <v>365.33378955275435</v>
      </c>
      <c r="I109" s="14">
        <f>H109*References!G$73</f>
        <v>0.94766297292207768</v>
      </c>
      <c r="J109" s="14">
        <f>I109/References!G$53</f>
        <v>0.97707286619453315</v>
      </c>
      <c r="K109" s="14">
        <f t="shared" si="33"/>
        <v>0.97707286619453315</v>
      </c>
      <c r="L109" s="35">
        <v>66.521928126822885</v>
      </c>
      <c r="M109" s="14">
        <f t="shared" si="29"/>
        <v>67.499000993017418</v>
      </c>
      <c r="N109" s="14">
        <f t="shared" si="30"/>
        <v>0</v>
      </c>
      <c r="O109" s="14">
        <f t="shared" si="31"/>
        <v>0</v>
      </c>
      <c r="P109" s="14">
        <f t="shared" si="32"/>
        <v>0</v>
      </c>
      <c r="Q109" s="14"/>
    </row>
    <row r="110" spans="2:27" x14ac:dyDescent="0.25">
      <c r="B110" s="70" t="s">
        <v>112</v>
      </c>
      <c r="D110" s="22">
        <v>1</v>
      </c>
      <c r="E110" s="21">
        <v>1</v>
      </c>
      <c r="F110" s="52">
        <f>References!B32</f>
        <v>840</v>
      </c>
      <c r="G110" s="52">
        <f t="shared" si="27"/>
        <v>840</v>
      </c>
      <c r="H110" s="52">
        <f t="shared" si="28"/>
        <v>500.62052728273028</v>
      </c>
      <c r="I110" s="14">
        <f>H110*References!G$73</f>
        <v>1.2985920020465664</v>
      </c>
      <c r="J110" s="14">
        <f>I110/References!G$53</f>
        <v>1.3388926714574352</v>
      </c>
      <c r="K110" s="14">
        <f t="shared" si="33"/>
        <v>1.3388926714574352</v>
      </c>
      <c r="L110" s="35">
        <v>85.768808526152057</v>
      </c>
      <c r="M110" s="14">
        <f t="shared" si="29"/>
        <v>87.107701197609487</v>
      </c>
      <c r="N110" s="14">
        <f t="shared" si="30"/>
        <v>0</v>
      </c>
      <c r="O110" s="14">
        <f t="shared" si="31"/>
        <v>0</v>
      </c>
      <c r="P110" s="14">
        <f t="shared" si="32"/>
        <v>0</v>
      </c>
      <c r="Q110" s="14"/>
    </row>
    <row r="111" spans="2:27" x14ac:dyDescent="0.25">
      <c r="B111" s="70" t="s">
        <v>113</v>
      </c>
      <c r="D111" s="22">
        <v>1</v>
      </c>
      <c r="E111" s="21">
        <v>1</v>
      </c>
      <c r="F111" s="52">
        <f>References!B33</f>
        <v>980</v>
      </c>
      <c r="G111" s="52">
        <f t="shared" si="27"/>
        <v>980</v>
      </c>
      <c r="H111" s="52">
        <f t="shared" si="28"/>
        <v>584.05728182985195</v>
      </c>
      <c r="I111" s="14">
        <f>H111*References!G$73</f>
        <v>1.5150240023876607</v>
      </c>
      <c r="J111" s="14">
        <f>I111/References!G$53</f>
        <v>1.5620414500336743</v>
      </c>
      <c r="K111" s="14">
        <f t="shared" si="33"/>
        <v>1.5620414500336743</v>
      </c>
      <c r="L111" s="35">
        <v>100.40027661384407</v>
      </c>
      <c r="M111" s="14">
        <f t="shared" si="29"/>
        <v>101.96231806387775</v>
      </c>
      <c r="N111" s="14">
        <f t="shared" si="30"/>
        <v>0</v>
      </c>
      <c r="O111" s="14">
        <f t="shared" si="31"/>
        <v>0</v>
      </c>
      <c r="P111" s="14">
        <f t="shared" si="32"/>
        <v>0</v>
      </c>
      <c r="Q111" s="14"/>
    </row>
    <row r="112" spans="2:27" x14ac:dyDescent="0.25">
      <c r="B112" s="41" t="s">
        <v>89</v>
      </c>
      <c r="C112" s="44"/>
      <c r="D112" s="42"/>
      <c r="E112" s="44">
        <f>SUM(E94:E111)</f>
        <v>18</v>
      </c>
      <c r="F112" s="44">
        <f>SUM(F94:F111)</f>
        <v>7587</v>
      </c>
      <c r="G112" s="44">
        <f>SUM(G94:G111)</f>
        <v>7587</v>
      </c>
      <c r="H112" s="41"/>
      <c r="I112" s="41"/>
      <c r="J112" s="41"/>
      <c r="K112" s="41"/>
      <c r="L112" s="50"/>
      <c r="M112" s="41"/>
      <c r="N112" s="41"/>
      <c r="O112" s="41"/>
      <c r="P112" s="54">
        <f>SUM(P94:P111)</f>
        <v>0</v>
      </c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</row>
    <row r="113" spans="2:12" x14ac:dyDescent="0.25">
      <c r="B113" s="71" t="s">
        <v>117</v>
      </c>
      <c r="C113" s="114"/>
      <c r="L113" s="49"/>
    </row>
    <row r="114" spans="2:12" x14ac:dyDescent="0.25">
      <c r="B114" s="72" t="s">
        <v>114</v>
      </c>
      <c r="C114" s="114">
        <f>'[2]Staff Calcs'!$C$138</f>
        <v>30265.799942999998</v>
      </c>
      <c r="G114" s="22"/>
      <c r="L114" s="49"/>
    </row>
    <row r="115" spans="2:12" x14ac:dyDescent="0.25">
      <c r="B115" s="72" t="s">
        <v>115</v>
      </c>
      <c r="C115" s="112">
        <f>C114*2000</f>
        <v>60531599.886</v>
      </c>
      <c r="L115" s="49"/>
    </row>
    <row r="116" spans="2:12" x14ac:dyDescent="0.25">
      <c r="B116" s="72" t="s">
        <v>116</v>
      </c>
      <c r="C116" s="113">
        <f>G92</f>
        <v>101567037.57279998</v>
      </c>
      <c r="L116" s="49"/>
    </row>
    <row r="117" spans="2:12" x14ac:dyDescent="0.25">
      <c r="B117" s="72" t="s">
        <v>90</v>
      </c>
      <c r="C117" s="118">
        <f>C115/C116</f>
        <v>0.5959768181937265</v>
      </c>
      <c r="L117" s="49"/>
    </row>
    <row r="118" spans="2:12" x14ac:dyDescent="0.25">
      <c r="L118" s="49"/>
    </row>
    <row r="119" spans="2:12" x14ac:dyDescent="0.25">
      <c r="L119" s="49"/>
    </row>
    <row r="120" spans="2:12" x14ac:dyDescent="0.25">
      <c r="L120" s="49"/>
    </row>
    <row r="121" spans="2:12" x14ac:dyDescent="0.25">
      <c r="L121" s="49"/>
    </row>
    <row r="122" spans="2:12" x14ac:dyDescent="0.25">
      <c r="L122" s="49"/>
    </row>
    <row r="123" spans="2:12" x14ac:dyDescent="0.25">
      <c r="L123" s="49"/>
    </row>
    <row r="124" spans="2:12" x14ac:dyDescent="0.25">
      <c r="L124" s="49"/>
    </row>
    <row r="125" spans="2:12" x14ac:dyDescent="0.25">
      <c r="L125" s="49"/>
    </row>
    <row r="126" spans="2:12" x14ac:dyDescent="0.25">
      <c r="L126" s="49"/>
    </row>
    <row r="127" spans="2:12" x14ac:dyDescent="0.25">
      <c r="L127" s="49"/>
    </row>
    <row r="128" spans="2:12" x14ac:dyDescent="0.25">
      <c r="L128" s="49"/>
    </row>
    <row r="129" spans="12:12" x14ac:dyDescent="0.25">
      <c r="L129" s="49"/>
    </row>
    <row r="130" spans="12:12" x14ac:dyDescent="0.25">
      <c r="L130" s="49"/>
    </row>
    <row r="131" spans="12:12" x14ac:dyDescent="0.25">
      <c r="L131" s="49"/>
    </row>
    <row r="132" spans="12:12" x14ac:dyDescent="0.25">
      <c r="L132" s="49"/>
    </row>
    <row r="133" spans="12:12" x14ac:dyDescent="0.25">
      <c r="L133" s="49"/>
    </row>
    <row r="134" spans="12:12" x14ac:dyDescent="0.25">
      <c r="L134" s="49"/>
    </row>
    <row r="135" spans="12:12" x14ac:dyDescent="0.25">
      <c r="L135" s="49"/>
    </row>
    <row r="136" spans="12:12" x14ac:dyDescent="0.25">
      <c r="L136" s="49"/>
    </row>
    <row r="137" spans="12:12" x14ac:dyDescent="0.25">
      <c r="L137" s="49"/>
    </row>
    <row r="138" spans="12:12" x14ac:dyDescent="0.25">
      <c r="L138" s="49"/>
    </row>
    <row r="139" spans="12:12" x14ac:dyDescent="0.25">
      <c r="L139" s="49"/>
    </row>
    <row r="140" spans="12:12" x14ac:dyDescent="0.25">
      <c r="L140" s="49"/>
    </row>
    <row r="141" spans="12:12" x14ac:dyDescent="0.25">
      <c r="L141" s="49"/>
    </row>
    <row r="142" spans="12:12" x14ac:dyDescent="0.25">
      <c r="L142" s="49"/>
    </row>
    <row r="143" spans="12:12" x14ac:dyDescent="0.25">
      <c r="L143" s="49"/>
    </row>
    <row r="144" spans="12:12" x14ac:dyDescent="0.25">
      <c r="L144" s="49"/>
    </row>
    <row r="145" spans="12:12" x14ac:dyDescent="0.25">
      <c r="L145" s="49"/>
    </row>
    <row r="146" spans="12:12" x14ac:dyDescent="0.25">
      <c r="L146" s="49"/>
    </row>
    <row r="147" spans="12:12" x14ac:dyDescent="0.25">
      <c r="L147" s="49"/>
    </row>
    <row r="148" spans="12:12" x14ac:dyDescent="0.25">
      <c r="L148" s="49"/>
    </row>
    <row r="149" spans="12:12" x14ac:dyDescent="0.25">
      <c r="L149" s="49"/>
    </row>
    <row r="150" spans="12:12" x14ac:dyDescent="0.25">
      <c r="L150" s="49"/>
    </row>
    <row r="151" spans="12:12" x14ac:dyDescent="0.25">
      <c r="L151" s="49"/>
    </row>
    <row r="152" spans="12:12" x14ac:dyDescent="0.25">
      <c r="L152" s="49"/>
    </row>
    <row r="153" spans="12:12" x14ac:dyDescent="0.25">
      <c r="L153" s="49"/>
    </row>
    <row r="154" spans="12:12" x14ac:dyDescent="0.25">
      <c r="L154" s="49"/>
    </row>
    <row r="155" spans="12:12" x14ac:dyDescent="0.25">
      <c r="L155" s="49"/>
    </row>
    <row r="156" spans="12:12" x14ac:dyDescent="0.25">
      <c r="L156" s="49"/>
    </row>
    <row r="157" spans="12:12" x14ac:dyDescent="0.25">
      <c r="L157" s="49"/>
    </row>
    <row r="158" spans="12:12" x14ac:dyDescent="0.25">
      <c r="L158" s="49"/>
    </row>
    <row r="159" spans="12:12" x14ac:dyDescent="0.25">
      <c r="L159" s="49"/>
    </row>
    <row r="160" spans="12:12" x14ac:dyDescent="0.25">
      <c r="L160" s="49"/>
    </row>
    <row r="161" spans="12:12" x14ac:dyDescent="0.25">
      <c r="L161" s="49"/>
    </row>
    <row r="162" spans="12:12" x14ac:dyDescent="0.25">
      <c r="L162" s="49"/>
    </row>
    <row r="163" spans="12:12" x14ac:dyDescent="0.25">
      <c r="L163" s="49"/>
    </row>
    <row r="164" spans="12:12" x14ac:dyDescent="0.25">
      <c r="L164" s="49"/>
    </row>
    <row r="165" spans="12:12" x14ac:dyDescent="0.25">
      <c r="L165" s="49"/>
    </row>
    <row r="166" spans="12:12" x14ac:dyDescent="0.25">
      <c r="L166" s="49"/>
    </row>
    <row r="167" spans="12:12" x14ac:dyDescent="0.25">
      <c r="L167" s="49"/>
    </row>
    <row r="168" spans="12:12" x14ac:dyDescent="0.25">
      <c r="L168" s="49"/>
    </row>
    <row r="169" spans="12:12" x14ac:dyDescent="0.25">
      <c r="L169" s="49"/>
    </row>
    <row r="170" spans="12:12" x14ac:dyDescent="0.25">
      <c r="L170" s="49"/>
    </row>
    <row r="171" spans="12:12" x14ac:dyDescent="0.25">
      <c r="L171" s="49"/>
    </row>
    <row r="172" spans="12:12" x14ac:dyDescent="0.25">
      <c r="L172" s="49"/>
    </row>
    <row r="173" spans="12:12" x14ac:dyDescent="0.25">
      <c r="L173" s="49"/>
    </row>
    <row r="174" spans="12:12" x14ac:dyDescent="0.25">
      <c r="L174" s="49"/>
    </row>
    <row r="175" spans="12:12" x14ac:dyDescent="0.25">
      <c r="L175" s="49"/>
    </row>
    <row r="176" spans="12:12" x14ac:dyDescent="0.25">
      <c r="L176" s="49"/>
    </row>
    <row r="177" spans="12:12" x14ac:dyDescent="0.25">
      <c r="L177" s="49"/>
    </row>
    <row r="178" spans="12:12" x14ac:dyDescent="0.25">
      <c r="L178" s="49"/>
    </row>
    <row r="179" spans="12:12" x14ac:dyDescent="0.25">
      <c r="L179" s="49"/>
    </row>
    <row r="180" spans="12:12" x14ac:dyDescent="0.25">
      <c r="L180" s="49"/>
    </row>
    <row r="181" spans="12:12" x14ac:dyDescent="0.25">
      <c r="L181" s="49"/>
    </row>
    <row r="182" spans="12:12" x14ac:dyDescent="0.25">
      <c r="L182" s="49"/>
    </row>
    <row r="183" spans="12:12" x14ac:dyDescent="0.25">
      <c r="L183" s="49"/>
    </row>
    <row r="184" spans="12:12" x14ac:dyDescent="0.25">
      <c r="L184" s="49"/>
    </row>
    <row r="185" spans="12:12" x14ac:dyDescent="0.25">
      <c r="L185" s="49"/>
    </row>
    <row r="186" spans="12:12" x14ac:dyDescent="0.25">
      <c r="L186" s="49"/>
    </row>
    <row r="187" spans="12:12" x14ac:dyDescent="0.25">
      <c r="L187" s="49"/>
    </row>
    <row r="188" spans="12:12" x14ac:dyDescent="0.25">
      <c r="L188" s="49"/>
    </row>
    <row r="189" spans="12:12" x14ac:dyDescent="0.25">
      <c r="L189" s="49"/>
    </row>
    <row r="190" spans="12:12" x14ac:dyDescent="0.25">
      <c r="L190" s="49"/>
    </row>
    <row r="191" spans="12:12" x14ac:dyDescent="0.25">
      <c r="L191" s="49"/>
    </row>
    <row r="192" spans="12:12" x14ac:dyDescent="0.25">
      <c r="L192" s="49"/>
    </row>
    <row r="193" spans="12:12" x14ac:dyDescent="0.25">
      <c r="L193" s="49"/>
    </row>
    <row r="194" spans="12:12" x14ac:dyDescent="0.25">
      <c r="L194" s="49"/>
    </row>
    <row r="195" spans="12:12" x14ac:dyDescent="0.25">
      <c r="L195" s="49"/>
    </row>
    <row r="196" spans="12:12" x14ac:dyDescent="0.25">
      <c r="L196" s="49"/>
    </row>
    <row r="197" spans="12:12" x14ac:dyDescent="0.25">
      <c r="L197" s="49"/>
    </row>
    <row r="198" spans="12:12" x14ac:dyDescent="0.25">
      <c r="L198" s="49"/>
    </row>
    <row r="199" spans="12:12" x14ac:dyDescent="0.25">
      <c r="L199" s="49"/>
    </row>
    <row r="200" spans="12:12" x14ac:dyDescent="0.25">
      <c r="L200" s="49"/>
    </row>
    <row r="201" spans="12:12" x14ac:dyDescent="0.25">
      <c r="L201" s="49"/>
    </row>
    <row r="202" spans="12:12" x14ac:dyDescent="0.25">
      <c r="L202" s="49"/>
    </row>
    <row r="203" spans="12:12" x14ac:dyDescent="0.25">
      <c r="L203" s="49"/>
    </row>
    <row r="204" spans="12:12" x14ac:dyDescent="0.25">
      <c r="L204" s="49"/>
    </row>
    <row r="205" spans="12:12" x14ac:dyDescent="0.25">
      <c r="L205" s="49"/>
    </row>
    <row r="206" spans="12:12" x14ac:dyDescent="0.25">
      <c r="L206" s="49"/>
    </row>
    <row r="207" spans="12:12" x14ac:dyDescent="0.25">
      <c r="L207" s="49"/>
    </row>
    <row r="208" spans="12:12" x14ac:dyDescent="0.25">
      <c r="L208" s="49"/>
    </row>
    <row r="209" spans="12:12" x14ac:dyDescent="0.25">
      <c r="L209" s="49"/>
    </row>
    <row r="210" spans="12:12" x14ac:dyDescent="0.25">
      <c r="L210" s="49"/>
    </row>
    <row r="211" spans="12:12" x14ac:dyDescent="0.25">
      <c r="L211" s="49"/>
    </row>
    <row r="212" spans="12:12" x14ac:dyDescent="0.25">
      <c r="L212" s="49"/>
    </row>
    <row r="213" spans="12:12" x14ac:dyDescent="0.25">
      <c r="L213" s="49"/>
    </row>
    <row r="214" spans="12:12" x14ac:dyDescent="0.25">
      <c r="L214" s="49"/>
    </row>
    <row r="215" spans="12:12" x14ac:dyDescent="0.25">
      <c r="L215" s="49"/>
    </row>
    <row r="216" spans="12:12" x14ac:dyDescent="0.25">
      <c r="L216" s="49"/>
    </row>
    <row r="217" spans="12:12" x14ac:dyDescent="0.25">
      <c r="L217" s="49"/>
    </row>
    <row r="218" spans="12:12" x14ac:dyDescent="0.25">
      <c r="L218" s="49"/>
    </row>
    <row r="219" spans="12:12" x14ac:dyDescent="0.25">
      <c r="L219" s="49"/>
    </row>
    <row r="220" spans="12:12" x14ac:dyDescent="0.25">
      <c r="L220" s="49"/>
    </row>
    <row r="221" spans="12:12" x14ac:dyDescent="0.25">
      <c r="L221" s="49"/>
    </row>
    <row r="222" spans="12:12" x14ac:dyDescent="0.25">
      <c r="L222" s="49"/>
    </row>
    <row r="223" spans="12:12" x14ac:dyDescent="0.25">
      <c r="L223" s="49"/>
    </row>
    <row r="224" spans="12:12" x14ac:dyDescent="0.25">
      <c r="L224" s="49"/>
    </row>
    <row r="225" spans="12:12" x14ac:dyDescent="0.25">
      <c r="L225" s="49"/>
    </row>
    <row r="226" spans="12:12" x14ac:dyDescent="0.25">
      <c r="L226" s="49"/>
    </row>
  </sheetData>
  <mergeCells count="1">
    <mergeCell ref="A2:A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D4B2A8A7C59DC45A310AF444FBE9634" ma:contentTypeVersion="15" ma:contentTypeDescription="" ma:contentTypeScope="" ma:versionID="8562cfbea10966c522ec735219abd1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2024-11-15T08:00:00+00:00</OpenedDate>
    <SignificantOrder xmlns="dc463f71-b30c-4ab2-9473-d307f9d35888">false</SignificantOrder>
    <Date1 xmlns="dc463f71-b30c-4ab2-9473-d307f9d35888">2024-11-25T08:00:00+00:00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EEDE9C-F1A4-4A87-9CEC-F72F3D0E21BE}"/>
</file>

<file path=customXml/itemProps2.xml><?xml version="1.0" encoding="utf-8"?>
<ds:datastoreItem xmlns:ds="http://schemas.openxmlformats.org/officeDocument/2006/customXml" ds:itemID="{332A974F-06ED-4EEC-8C79-0DD0266AC651}"/>
</file>

<file path=customXml/itemProps3.xml><?xml version="1.0" encoding="utf-8"?>
<ds:datastoreItem xmlns:ds="http://schemas.openxmlformats.org/officeDocument/2006/customXml" ds:itemID="{825CBA9E-E869-4DAC-84AE-BD1C8AA72E31}"/>
</file>

<file path=customXml/itemProps4.xml><?xml version="1.0" encoding="utf-8"?>
<ds:datastoreItem xmlns:ds="http://schemas.openxmlformats.org/officeDocument/2006/customXml" ds:itemID="{149EB758-9169-4DAD-907A-04FBE1CCF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 Price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Booth, Avery (UTC)</cp:lastModifiedBy>
  <dcterms:created xsi:type="dcterms:W3CDTF">2021-11-12T22:53:39Z</dcterms:created>
  <dcterms:modified xsi:type="dcterms:W3CDTF">2024-11-25T21:01:06Z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0x0101006E56B4D1795A2E4DB2F0B01679ED314A000D4B2A8A7C59DC45A310AF444FBE9634</vt:lpwstr>
  </property>
</Properties>
</file>