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4\FSC CRD G-51 10.01.2024\"/>
    </mc:Choice>
  </mc:AlternateContent>
  <xr:revisionPtr revIDLastSave="0" documentId="13_ncr:1_{74D1DAA8-AC6B-4DAD-A2CF-A04977988226}" xr6:coauthVersionLast="47" xr6:coauthVersionMax="47" xr10:uidLastSave="{00000000-0000-0000-0000-000000000000}"/>
  <workbookProtection workbookAlgorithmName="SHA-512" workbookHashValue="dXqxH45KYvmEmziXVguMOaPn8C8n52WDTeLe1By7lgbV3Q2NYL071PPxZ8wq+Mz+RcjW9cEBhUWOhMt0QRnvNA==" workbookSaltValue="fbq4tzxGoLNIGspnd8XpKA=="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<sst xmlns="http://schemas.openxmlformats.org/spreadsheetml/2006/main" count="609" uniqueCount="293">
  <si>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</si>
  <si>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</si>
  <si>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</si>
  <si>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</si>
  <si>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</si>
  <si>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</si>
  <si>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</si>
  <si>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</si>
  <si>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</si>
  <si>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</si>
  <si>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</si>
  <si>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</si>
  <si>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</si>
  <si>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</si>
  <si>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</si>
  <si>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</si>
  <si>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</si>
  <si>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</si>
  <si>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</si>
  <si>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</si>
  <si>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</si>
  <si>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</si>
  <si>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</si>
  <si>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</si>
  <si>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</si>
  <si>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</si>
  <si>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</si>
  <si>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</si>
  <si>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</si>
  <si>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</si>
  <si>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</si>
  <si>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</si>
  <si>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</si>
  <si>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</si>
  <si>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</si>
  <si>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</si>
  <si>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</si>
  <si>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</si>
  <si>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</si>
  <si>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</si>
  <si>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</si>
  <si>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</si>
  <si>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</si>
  <si>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</si>
  <si>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</si>
  <si>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</si>
  <si>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</si>
  <si>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</si>
  <si>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</si>
  <si>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</si>
  <si>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</si>
  <si>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</si>
  <si>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</si>
  <si>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</si>
  <si>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</si>
  <si>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</si>
  <si>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</si>
  <si>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</si>
  <si>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</si>
  <si>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</si>
  <si>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</si>
  <si>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</si>
  <si>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</si>
  <si>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</si>
  <si>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</si>
  <si>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</si>
  <si>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</si>
  <si>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</si>
  <si>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</si>
  <si>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</si>
  <si>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</si>
  <si>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</si>
  <si>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</si>
  <si>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</si>
  <si>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</si>
  <si>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</si>
  <si>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</si>
  <si>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</si>
  <si>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</si>
  <si>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</si>
  <si>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</si>
  <si>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</si>
  <si>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</si>
  <si>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</si>
  <si>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</si>
  <si>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</si>
  <si>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</si>
  <si>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</si>
  <si>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</si>
  <si>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</si>
  <si>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</si>
  <si>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</si>
  <si>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</si>
  <si>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</si>
  <si>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</si>
  <si>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</si>
  <si>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</si>
  <si>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</si>
  <si>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</si>
  <si>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</si>
  <si>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</si>
  <si>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</si>
  <si>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</si>
  <si>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</si>
  <si>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</si>
  <si>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</si>
  <si>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</si>
  <si>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</si>
  <si>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</si>
  <si>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</si>
  <si>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</si>
  <si>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</si>
  <si>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</si>
  <si>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</si>
  <si>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</si>
  <si>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</si>
  <si>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</si>
  <si>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</si>
  <si>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</si>
  <si>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</si>
  <si>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</si>
  <si>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</si>
  <si>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</si>
  <si>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</si>
  <si>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</si>
  <si>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</si>
  <si>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</si>
  <si>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</si>
  <si>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</si>
  <si>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</si>
  <si>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</si>
  <si>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</si>
  <si>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</si>
  <si>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</si>
  <si>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</si>
  <si>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</si>
  <si>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</si>
  <si>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</si>
  <si>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</si>
  <si>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</si>
  <si>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</si>
  <si>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</si>
  <si>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</si>
  <si>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</si>
  <si>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</si>
  <si>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</si>
  <si>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</si>
  <si>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</si>
  <si>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</si>
  <si>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</si>
  <si>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</si>
  <si>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</si>
  <si>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</si>
  <si>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</si>
  <si>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</si>
  <si>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</si>
  <si>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</si>
  <si>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</si>
  <si>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</si>
  <si>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</si>
  <si>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</si>
  <si>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</si>
  <si>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</si>
  <si>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</si>
  <si>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</si>
  <si>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</si>
  <si>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</si>
  <si>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</si>
  <si>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</si>
  <si>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</si>
  <si>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</si>
  <si>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</si>
  <si>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</si>
  <si>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</si>
  <si>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</si>
  <si>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</si>
  <si>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</si>
  <si>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</si>
  <si>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</si>
  <si>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</si>
  <si>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</si>
  <si>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</si>
  <si>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</si>
  <si>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</si>
  <si>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</si>
  <si>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</si>
  <si>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</si>
  <si>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</si>
  <si>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</si>
  <si>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</si>
  <si>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</si>
  <si>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</si>
  <si>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</si>
  <si>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</si>
  <si>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</si>
  <si>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</si>
  <si>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</si>
  <si>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</si>
  <si>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</si>
  <si>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</si>
  <si>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</si>
  <si>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</si>
  <si>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</si>
  <si>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</si>
  <si>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</si>
  <si>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</si>
  <si>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</si>
  <si>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</si>
  <si>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</si>
  <si>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</si>
  <si>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</si>
  <si>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</si>
  <si>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</si>
  <si>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</si>
  <si>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</si>
  <si>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</si>
  <si>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</si>
  <si>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</si>
  <si>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</si>
  <si>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</si>
  <si>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</si>
  <si>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</si>
  <si>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</si>
  <si>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</si>
  <si>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</si>
  <si>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</si>
  <si>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</si>
  <si>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</si>
  <si>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</si>
  <si>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</si>
  <si>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</si>
  <si>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</si>
  <si>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</si>
  <si>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</si>
  <si>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</si>
  <si>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</si>
  <si>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</si>
  <si>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</si>
  <si>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</si>
  <si>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</si>
  <si>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</si>
  <si>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</si>
  <si>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</si>
  <si>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</si>
  <si>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</si>
  <si>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</si>
  <si>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</si>
  <si>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</si>
  <si>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</si>
  <si>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</si>
  <si>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</si>
  <si>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</si>
  <si>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</si>
  <si>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</si>
  <si>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</si>
  <si>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</si>
  <si>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</si>
  <si>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</si>
  <si>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</si>
  <si>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</si>
  <si>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</si>
  <si>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</si>
  <si>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</si>
  <si>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</si>
  <si>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</si>
  <si>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</si>
  <si>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</si>
  <si>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</si>
  <si>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</si>
  <si>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</si>
  <si>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</si>
  <si>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</si>
  <si>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</si>
  <si>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</si>
  <si>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</si>
  <si>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</si>
  <si>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</si>
  <si>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</si>
  <si>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</si>
  <si>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</si>
  <si>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</si>
  <si>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</si>
  <si>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</si>
  <si>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</si>
  <si>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</si>
  <si>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</si>
  <si>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</si>
  <si>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</si>
  <si>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</si>
  <si>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</si>
  <si>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</si>
  <si>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Kent-Meridian Disposal Company formerly Fiorito Enterprises, G-60</t>
  </si>
  <si>
    <t>2023 Annual Report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</si>
</sst>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F20" sqref="F20"/>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6" t="s">
        <v>0</v>
      </c>
      <c r="B1" s="226"/>
      <c r="C1" s="226"/>
      <c r="D1" s="226"/>
      <c r="E1" s="226"/>
      <c r="F1" s="226"/>
    </row>
    <row r="2" spans="1:6" ht="26.25" customHeight="1" x14ac:dyDescent="0.2">
      <c r="A2" s="239" t="s">
        <v>1</v>
      </c>
      <c r="B2" s="240"/>
      <c r="C2" s="58" t="s">
        <v>2</v>
      </c>
      <c r="D2" s="236" t="s">
        <v>168</v>
      </c>
      <c r="E2" s="236"/>
      <c r="F2" s="236"/>
    </row>
    <row r="3" spans="1:6" ht="5.25" customHeight="1" x14ac:dyDescent="0.2">
      <c r="A3" s="241"/>
      <c r="B3" s="242"/>
      <c r="C3" s="59"/>
      <c r="D3" s="59"/>
      <c r="F3" s="59"/>
    </row>
    <row r="4" spans="1:6" x14ac:dyDescent="0.2">
      <c r="A4" s="241"/>
      <c r="B4" s="242"/>
      <c r="C4" s="60" t="s">
        <v>4</v>
      </c>
      <c r="D4" s="238">
        <v>45566</v>
      </c>
      <c r="E4" s="238"/>
      <c r="F4" s="238"/>
    </row>
    <row r="5" spans="1:6" ht="5.25" customHeight="1" x14ac:dyDescent="0.2">
      <c r="A5" s="241"/>
      <c r="B5" s="242"/>
      <c r="C5" s="59"/>
      <c r="D5" s="59"/>
      <c r="F5" s="59"/>
    </row>
    <row r="6" spans="1:6" x14ac:dyDescent="0.2">
      <c r="A6" s="241"/>
      <c r="B6" s="242"/>
      <c r="C6" s="60" t="s">
        <v>5</v>
      </c>
      <c r="D6" s="249">
        <v>111551</v>
      </c>
      <c r="E6" s="249"/>
      <c r="F6" s="249"/>
    </row>
    <row r="7" spans="1:6" x14ac:dyDescent="0.2">
      <c r="A7" s="243"/>
      <c r="B7" s="243"/>
      <c r="C7" s="243"/>
      <c r="D7" s="243"/>
      <c r="E7" s="243"/>
      <c r="F7" s="243"/>
    </row>
    <row r="8" spans="1:6" ht="28.5" customHeight="1" x14ac:dyDescent="0.2">
      <c r="A8" s="239" t="s">
        <v>6</v>
      </c>
      <c r="B8" s="240"/>
      <c r="C8" s="61" t="s">
        <v>7</v>
      </c>
      <c r="D8" s="251">
        <f>IF(AND(D2&gt;"", D4&gt;0, D6&gt;0), F45, 0)</f>
        <v>6.9846000000000023E-3</v>
      </c>
      <c r="E8" s="251"/>
      <c r="F8" s="251"/>
    </row>
    <row r="9" spans="1:6" ht="5.25" customHeight="1" x14ac:dyDescent="0.2">
      <c r="A9" s="241"/>
      <c r="B9" s="242"/>
      <c r="C9" s="62"/>
      <c r="D9" s="62"/>
      <c r="E9" s="62"/>
      <c r="F9" s="62"/>
    </row>
    <row r="10" spans="1:6" ht="29.25" customHeight="1" x14ac:dyDescent="0.2">
      <c r="A10" s="241"/>
      <c r="B10" s="242"/>
      <c r="C10" s="61" t="s">
        <v>8</v>
      </c>
      <c r="D10" s="237">
        <f>IF(AND(D2&gt;"", D4&gt;0, D6&gt;0), IF(F45&lt;F61, F45,F61), 0)</f>
        <v>1.374216767218587E-3</v>
      </c>
      <c r="E10" s="237"/>
      <c r="F10" s="237"/>
    </row>
    <row r="11" spans="1:6" ht="5.25" customHeight="1" x14ac:dyDescent="0.2">
      <c r="A11" s="241"/>
      <c r="B11" s="242"/>
      <c r="C11" s="62"/>
      <c r="D11" s="62"/>
      <c r="E11" s="62"/>
      <c r="F11" s="62"/>
    </row>
    <row r="12" spans="1:6" ht="39" customHeight="1" x14ac:dyDescent="0.2">
      <c r="A12" s="241"/>
      <c r="B12" s="242"/>
      <c r="C12" s="250"/>
      <c r="D12" s="250"/>
      <c r="E12" s="250"/>
      <c r="F12" s="250"/>
    </row>
    <row r="13" spans="1:6" x14ac:dyDescent="0.2">
      <c r="A13" s="63"/>
      <c r="B13" s="64"/>
      <c r="C13" s="64"/>
      <c r="D13" s="65"/>
      <c r="E13" s="63"/>
      <c r="F13" s="63"/>
    </row>
    <row r="14" spans="1:6" ht="25.5" x14ac:dyDescent="0.2">
      <c r="A14" s="66" t="s">
        <v>9</v>
      </c>
      <c r="B14" s="59"/>
      <c r="C14" s="60"/>
      <c r="D14" s="59"/>
      <c r="F14" s="59"/>
    </row>
    <row r="15" spans="1:6" x14ac:dyDescent="0.2">
      <c r="A15" s="59">
        <v>1</v>
      </c>
      <c r="B15" s="227" t="s">
        <v>10</v>
      </c>
      <c r="C15" s="228"/>
      <c r="D15" s="228"/>
      <c r="E15" s="228"/>
      <c r="F15" s="229"/>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30" t="s">
        <v>18</v>
      </c>
      <c r="C24" s="231"/>
      <c r="D24" s="231"/>
      <c r="E24" s="231"/>
      <c r="F24" s="232"/>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30" t="s">
        <v>27</v>
      </c>
      <c r="C31" s="231"/>
      <c r="D31" s="231"/>
      <c r="E31" s="231"/>
      <c r="F31" s="23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3.762</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0.92500000000000027</v>
      </c>
    </row>
    <row r="35" spans="1:6" x14ac:dyDescent="0.2">
      <c r="A35" s="59">
        <v>21</v>
      </c>
      <c r="C35" s="69" t="s">
        <v>33</v>
      </c>
      <c r="E35" s="59" t="s">
        <v>21</v>
      </c>
      <c r="F35" s="77">
        <f>+F33</f>
        <v>2.8369999999999997</v>
      </c>
    </row>
    <row r="36" spans="1:6" x14ac:dyDescent="0.2">
      <c r="A36" s="59">
        <v>22</v>
      </c>
      <c r="C36" s="57" t="s">
        <v>34</v>
      </c>
      <c r="E36" s="59" t="s">
        <v>23</v>
      </c>
      <c r="F36" s="71">
        <f>F34/F35</f>
        <v>0.32604864293267549</v>
      </c>
    </row>
    <row r="37" spans="1:6" x14ac:dyDescent="0.2">
      <c r="A37" s="59">
        <v>23</v>
      </c>
      <c r="C37" s="57" t="s">
        <v>24</v>
      </c>
      <c r="E37" s="59" t="s">
        <v>25</v>
      </c>
      <c r="F37" s="72">
        <v>100</v>
      </c>
    </row>
    <row r="38" spans="1:6" x14ac:dyDescent="0.2">
      <c r="A38" s="59">
        <v>24</v>
      </c>
      <c r="C38" s="57" t="s">
        <v>35</v>
      </c>
      <c r="E38" s="59" t="s">
        <v>23</v>
      </c>
      <c r="F38" s="73">
        <f>ROUND(F36,4)</f>
        <v>0.32600000000000001</v>
      </c>
    </row>
    <row r="39" spans="1:6" x14ac:dyDescent="0.2">
      <c r="A39" s="59">
        <v>25</v>
      </c>
    </row>
    <row r="40" spans="1:6" ht="56.25" customHeight="1" x14ac:dyDescent="0.2">
      <c r="A40" s="78">
        <v>26</v>
      </c>
      <c r="B40" s="233" t="s">
        <v>36</v>
      </c>
      <c r="C40" s="234"/>
      <c r="D40" s="234"/>
      <c r="E40" s="234"/>
      <c r="F40" s="235"/>
    </row>
    <row r="41" spans="1:6" x14ac:dyDescent="0.2">
      <c r="A41" s="59">
        <v>27</v>
      </c>
      <c r="C41" s="69" t="s">
        <v>37</v>
      </c>
      <c r="F41" s="79">
        <f>F29</f>
        <v>5.21E-2</v>
      </c>
    </row>
    <row r="42" spans="1:6" x14ac:dyDescent="0.2">
      <c r="A42" s="59">
        <v>28</v>
      </c>
      <c r="C42" s="69" t="s">
        <v>38</v>
      </c>
      <c r="E42" s="59" t="s">
        <v>25</v>
      </c>
      <c r="F42" s="80">
        <f>F38</f>
        <v>0.32600000000000001</v>
      </c>
    </row>
    <row r="43" spans="1:6" x14ac:dyDescent="0.2">
      <c r="A43" s="59">
        <v>29</v>
      </c>
      <c r="B43" s="57" t="s">
        <v>39</v>
      </c>
      <c r="C43" s="57" t="s">
        <v>40</v>
      </c>
      <c r="E43" s="59" t="s">
        <v>23</v>
      </c>
      <c r="F43" s="79">
        <f>F42*F41</f>
        <v>1.6984600000000002E-2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6.9846000000000023E-3</v>
      </c>
    </row>
    <row r="46" spans="1:6" ht="13.5" thickTop="1" x14ac:dyDescent="0.2">
      <c r="A46" s="59">
        <v>32</v>
      </c>
      <c r="C46" s="69"/>
    </row>
    <row r="47" spans="1:6" ht="64.5" customHeight="1" x14ac:dyDescent="0.2">
      <c r="A47" s="78">
        <v>33</v>
      </c>
      <c r="B47" s="246" t="s">
        <v>43</v>
      </c>
      <c r="C47" s="247"/>
      <c r="D47" s="247"/>
      <c r="E47" s="247"/>
      <c r="F47" s="248"/>
    </row>
    <row r="48" spans="1:6" x14ac:dyDescent="0.2">
      <c r="A48" s="59">
        <v>34</v>
      </c>
      <c r="C48" s="57" t="s">
        <v>44</v>
      </c>
      <c r="F48" s="79">
        <f>F45</f>
        <v>6.9846000000000023E-3</v>
      </c>
    </row>
    <row r="49" spans="1:7" x14ac:dyDescent="0.2">
      <c r="A49" s="59">
        <v>35</v>
      </c>
      <c r="C49" s="57" t="s">
        <v>45</v>
      </c>
      <c r="E49" s="59" t="s">
        <v>25</v>
      </c>
      <c r="F49" s="70">
        <f>F16</f>
        <v>100951</v>
      </c>
    </row>
    <row r="50" spans="1:7" x14ac:dyDescent="0.2">
      <c r="A50" s="59">
        <v>36</v>
      </c>
      <c r="C50" s="57" t="s">
        <v>46</v>
      </c>
      <c r="E50" s="59" t="s">
        <v>23</v>
      </c>
      <c r="F50" s="67">
        <f>F49*F48</f>
        <v>705.10235460000024</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111551</v>
      </c>
    </row>
    <row r="54" spans="1:7" x14ac:dyDescent="0.2">
      <c r="A54" s="59">
        <v>40</v>
      </c>
      <c r="C54" s="57" t="s">
        <v>49</v>
      </c>
      <c r="E54" s="59" t="s">
        <v>23</v>
      </c>
      <c r="F54" s="67">
        <f>F53*F52</f>
        <v>5811.8071</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705.10235460000024</v>
      </c>
    </row>
    <row r="58" spans="1:7" x14ac:dyDescent="0.2">
      <c r="A58" s="59">
        <v>44</v>
      </c>
      <c r="C58" s="57" t="s">
        <v>53</v>
      </c>
      <c r="E58" s="59" t="s">
        <v>31</v>
      </c>
      <c r="F58" s="70">
        <f>F54</f>
        <v>5811.8071</v>
      </c>
    </row>
    <row r="59" spans="1:7" x14ac:dyDescent="0.2">
      <c r="A59" s="59">
        <v>45</v>
      </c>
      <c r="C59" s="57" t="s">
        <v>54</v>
      </c>
      <c r="E59" s="59" t="s">
        <v>23</v>
      </c>
      <c r="F59" s="67">
        <f>F56+F57-F58</f>
        <v>153.29525460000059</v>
      </c>
    </row>
    <row r="60" spans="1:7" x14ac:dyDescent="0.2">
      <c r="A60" s="59">
        <v>46</v>
      </c>
      <c r="C60" s="57" t="s">
        <v>55</v>
      </c>
      <c r="E60" s="59" t="s">
        <v>21</v>
      </c>
      <c r="F60" s="83">
        <f>F53</f>
        <v>111551</v>
      </c>
    </row>
    <row r="61" spans="1:7" ht="13.5" thickBot="1" x14ac:dyDescent="0.25">
      <c r="A61" s="59">
        <v>47</v>
      </c>
      <c r="C61" s="84" t="s">
        <v>56</v>
      </c>
      <c r="E61" s="59" t="s">
        <v>23</v>
      </c>
      <c r="F61" s="82">
        <f>IF(AND(D2&gt;"", D4&gt;0, D6&gt;0), IF(F60=0, 0, F59/F60), 0)</f>
        <v>1.374216767218587E-3</v>
      </c>
    </row>
    <row r="62" spans="1:7" ht="13.5" thickTop="1" x14ac:dyDescent="0.2"/>
    <row r="63" spans="1:7" x14ac:dyDescent="0.2">
      <c r="A63" s="244">
        <f ca="1">NOW()</f>
        <v>45547.426940972226</v>
      </c>
      <c r="B63" s="244"/>
      <c r="C63" s="244"/>
      <c r="D63" s="245" t="s">
        <v>57</v>
      </c>
      <c r="E63" s="245"/>
      <c r="F63" s="245"/>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2" t="s">
        <v>59</v>
      </c>
      <c r="D4" s="252"/>
      <c r="E4" s="252"/>
      <c r="F4" s="252"/>
      <c r="G4" s="252"/>
      <c r="J4" s="37" t="s">
        <v>58</v>
      </c>
      <c r="L4" s="252" t="s">
        <v>60</v>
      </c>
      <c r="M4" s="252"/>
      <c r="N4" s="252"/>
      <c r="O4" s="252"/>
      <c r="P4" s="252"/>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x14ac:dyDescent="0.2">
      <c r="A237" s="43">
        <v>45505</v>
      </c>
      <c r="C237" s="44">
        <f>+IF('Weekly OPIS Averages'!D249&gt;0,'Weekly OPIS Averages'!D249,"NA")</f>
        <v>4.0389999999999997</v>
      </c>
      <c r="E237" s="44">
        <f>+IF('Weekly OPIS Averages'!F249&gt;0,'Weekly OPIS Averages'!F249,"NA")</f>
        <v>3.9994999999999998</v>
      </c>
      <c r="G237" s="44">
        <f>+IF('Weekly OPIS Averages'!H249&gt;0,'Weekly OPIS Averages'!H249,"NA")</f>
        <v>4.0363333333333333</v>
      </c>
      <c r="J237" s="43">
        <v>45505</v>
      </c>
      <c r="L237" s="44">
        <f>+IF('Weekly OPIS Averages'!O249&gt;0,'Weekly OPIS Averages'!O249,"NA")</f>
        <v>4.0389999999999997</v>
      </c>
      <c r="N237" s="44">
        <f>+IF('Weekly OPIS Averages'!Q249&gt;0,'Weekly OPIS Averages'!Q249,"NA")</f>
        <v>3.9994999999999998</v>
      </c>
      <c r="P237" s="44">
        <f>+IF('Weekly OPIS Averages'!S249&gt;0,'Weekly OPIS Averages'!S249,"NA")</f>
        <v>4.0363333333333333</v>
      </c>
    </row>
    <row r="238" spans="1:16" x14ac:dyDescent="0.2">
      <c r="A238" s="43">
        <v>45536</v>
      </c>
      <c r="C238" s="44">
        <f>+IF('Weekly OPIS Averages'!D250&gt;0,'Weekly OPIS Averages'!D250,"NA")</f>
        <v>3.9510000000000001</v>
      </c>
      <c r="E238" s="44">
        <f>+IF('Weekly OPIS Averages'!F250&gt;0,'Weekly OPIS Averages'!F250,"NA")</f>
        <v>3.9950000000000001</v>
      </c>
      <c r="G238" s="44">
        <f>+IF('Weekly OPIS Averages'!H250&gt;0,'Weekly OPIS Averages'!H250,"NA")</f>
        <v>3.9833333333333329</v>
      </c>
      <c r="J238" s="43">
        <v>45536</v>
      </c>
      <c r="L238" s="44">
        <f>+IF('Weekly OPIS Averages'!O250&gt;0,'Weekly OPIS Averages'!O250,"NA")</f>
        <v>3.9510000000000001</v>
      </c>
      <c r="N238" s="44">
        <f>+IF('Weekly OPIS Averages'!Q250&gt;0,'Weekly OPIS Averages'!Q250,"NA")</f>
        <v>3.9950000000000001</v>
      </c>
      <c r="P238" s="44">
        <f>+IF('Weekly OPIS Averages'!S250&gt;0,'Weekly OPIS Averages'!S250,"NA")</f>
        <v>3.9833333333333329</v>
      </c>
    </row>
    <row r="239" spans="1:16" x14ac:dyDescent="0.2">
      <c r="A239" s="43">
        <v>45566</v>
      </c>
      <c r="C239" s="44">
        <f>+IF('Weekly OPIS Averages'!D251&gt;0,'Weekly OPIS Averages'!D251,"NA")</f>
        <v>3.762</v>
      </c>
      <c r="E239" s="44">
        <f>+IF('Weekly OPIS Averages'!F251&gt;0,'Weekly OPIS Averages'!F251,"NA")</f>
        <v>3.8565</v>
      </c>
      <c r="G239" s="44">
        <f>+IF('Weekly OPIS Averages'!H251&gt;0,'Weekly OPIS Averages'!H251,"NA")</f>
        <v>3.9173333333333336</v>
      </c>
      <c r="J239" s="43">
        <v>45566</v>
      </c>
      <c r="L239" s="44">
        <f>+IF('Weekly OPIS Averages'!O251&gt;0,'Weekly OPIS Averages'!O251,"NA")</f>
        <v>3.762</v>
      </c>
      <c r="N239" s="44">
        <f>+IF('Weekly OPIS Averages'!Q251&gt;0,'Weekly OPIS Averages'!Q251,"NA")</f>
        <v>3.8565</v>
      </c>
      <c r="P239" s="44">
        <f>+IF('Weekly OPIS Averages'!S251&gt;0,'Weekly OPIS Averages'!S251,"NA")</f>
        <v>3.9173333333333336</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51" sqref="D251"/>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8">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
      <c r="B248" s="49">
        <v>45443</v>
      </c>
      <c r="D248" s="204">
        <v>3.96</v>
      </c>
      <c r="F248" s="128">
        <f t="shared" si="35"/>
        <v>4.0350000000000001</v>
      </c>
      <c r="G248" s="128"/>
      <c r="H248" s="128">
        <f t="shared" si="36"/>
        <v>4.0823333333333336</v>
      </c>
      <c r="I248" s="128"/>
      <c r="J248" s="128">
        <f t="shared" si="37"/>
        <v>4.3855833333333338</v>
      </c>
      <c r="K248" s="124"/>
      <c r="L248" s="125"/>
      <c r="M248" s="218">
        <v>45443</v>
      </c>
      <c r="N248" s="124"/>
      <c r="O248" s="126">
        <f t="shared" si="34"/>
        <v>3.96</v>
      </c>
      <c r="P248" s="124"/>
      <c r="Q248" s="124">
        <f t="shared" si="38"/>
        <v>4.0350000000000001</v>
      </c>
      <c r="R248" s="124"/>
      <c r="S248" s="124">
        <f t="shared" si="39"/>
        <v>4.0823333333333336</v>
      </c>
      <c r="T248" s="124"/>
      <c r="U248" s="124">
        <f t="shared" si="40"/>
        <v>4.3855833333333338</v>
      </c>
      <c r="V248" s="124"/>
    </row>
    <row r="249" spans="2:22" x14ac:dyDescent="0.2">
      <c r="B249" s="49">
        <v>45473</v>
      </c>
      <c r="D249" s="204">
        <v>4.0389999999999997</v>
      </c>
      <c r="F249" s="128">
        <f t="shared" si="35"/>
        <v>3.9994999999999998</v>
      </c>
      <c r="G249" s="128"/>
      <c r="H249" s="128">
        <f t="shared" si="36"/>
        <v>4.0363333333333333</v>
      </c>
      <c r="I249" s="128"/>
      <c r="J249" s="128">
        <f t="shared" si="37"/>
        <v>4.3797500000000005</v>
      </c>
      <c r="K249" s="124"/>
      <c r="L249" s="125"/>
      <c r="M249" s="218">
        <v>45473</v>
      </c>
      <c r="N249" s="124"/>
      <c r="O249" s="126">
        <f t="shared" si="34"/>
        <v>4.0389999999999997</v>
      </c>
      <c r="P249" s="124"/>
      <c r="Q249" s="124">
        <f t="shared" si="38"/>
        <v>3.9994999999999998</v>
      </c>
      <c r="R249" s="124"/>
      <c r="S249" s="124">
        <f t="shared" si="39"/>
        <v>4.0363333333333333</v>
      </c>
      <c r="T249" s="124"/>
      <c r="U249" s="124">
        <f t="shared" si="40"/>
        <v>4.3797500000000005</v>
      </c>
      <c r="V249" s="124"/>
    </row>
    <row r="250" spans="2:22" x14ac:dyDescent="0.2">
      <c r="B250" s="49">
        <v>45504</v>
      </c>
      <c r="D250" s="204">
        <v>3.9510000000000001</v>
      </c>
      <c r="F250" s="128">
        <f t="shared" si="35"/>
        <v>3.9950000000000001</v>
      </c>
      <c r="G250" s="128"/>
      <c r="H250" s="128">
        <f t="shared" si="36"/>
        <v>3.9833333333333329</v>
      </c>
      <c r="I250" s="128"/>
      <c r="J250" s="128">
        <f t="shared" si="37"/>
        <v>4.3422500000000008</v>
      </c>
      <c r="K250" s="124"/>
      <c r="L250" s="125"/>
      <c r="M250" s="218">
        <v>45504</v>
      </c>
      <c r="N250" s="124"/>
      <c r="O250" s="126">
        <f t="shared" si="34"/>
        <v>3.9510000000000001</v>
      </c>
      <c r="P250" s="124"/>
      <c r="Q250" s="124">
        <f t="shared" si="38"/>
        <v>3.9950000000000001</v>
      </c>
      <c r="R250" s="124"/>
      <c r="S250" s="124">
        <f t="shared" si="39"/>
        <v>3.9833333333333329</v>
      </c>
      <c r="T250" s="124"/>
      <c r="U250" s="124">
        <f t="shared" si="40"/>
        <v>4.3422500000000008</v>
      </c>
      <c r="V250" s="124"/>
    </row>
    <row r="251" spans="2:22" x14ac:dyDescent="0.2">
      <c r="B251" s="49">
        <v>45535</v>
      </c>
      <c r="D251" s="204">
        <v>3.762</v>
      </c>
      <c r="F251" s="128">
        <f t="shared" si="35"/>
        <v>3.8565</v>
      </c>
      <c r="G251" s="128"/>
      <c r="H251" s="128">
        <f t="shared" si="36"/>
        <v>3.9173333333333336</v>
      </c>
      <c r="I251" s="128"/>
      <c r="J251" s="128">
        <f t="shared" si="37"/>
        <v>4.2367500000000007</v>
      </c>
      <c r="K251" s="124"/>
      <c r="L251" s="125"/>
      <c r="M251" s="218">
        <v>45535</v>
      </c>
      <c r="N251" s="124"/>
      <c r="O251" s="126">
        <f t="shared" si="34"/>
        <v>3.762</v>
      </c>
      <c r="P251" s="124"/>
      <c r="Q251" s="124">
        <f t="shared" si="38"/>
        <v>3.8565</v>
      </c>
      <c r="R251" s="124"/>
      <c r="S251" s="124">
        <f t="shared" si="39"/>
        <v>3.9173333333333336</v>
      </c>
      <c r="T251" s="124"/>
      <c r="U251" s="124">
        <f t="shared" si="40"/>
        <v>4.2367500000000007</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2" t="s">
        <v>70</v>
      </c>
      <c r="D3" s="252"/>
      <c r="E3" s="252"/>
      <c r="F3" s="252"/>
      <c r="G3" s="2"/>
      <c r="H3" s="2"/>
      <c r="I3" s="2"/>
      <c r="J3" s="2"/>
      <c r="K3" s="2"/>
      <c r="L3" s="2"/>
      <c r="N3" s="252" t="s">
        <v>71</v>
      </c>
      <c r="O3" s="252"/>
      <c r="P3" s="252"/>
      <c r="Q3" s="252"/>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4" t="s">
        <v>81</v>
      </c>
      <c r="AA1" s="254"/>
      <c r="AB1" s="254"/>
      <c r="AC1" s="254"/>
      <c r="AD1" s="254"/>
    </row>
    <row r="2" spans="2:33" x14ac:dyDescent="0.2">
      <c r="B2" s="5" t="s">
        <v>82</v>
      </c>
      <c r="Z2" s="217"/>
      <c r="AA2" s="217"/>
      <c r="AB2" s="217"/>
      <c r="AC2" s="217"/>
      <c r="AD2" s="217"/>
    </row>
    <row r="3" spans="2:33" x14ac:dyDescent="0.2">
      <c r="B3" s="5" t="s">
        <v>81</v>
      </c>
      <c r="Z3" s="254" t="s">
        <v>83</v>
      </c>
      <c r="AA3" s="254"/>
      <c r="AB3" s="254"/>
      <c r="AC3" s="254"/>
      <c r="AD3" s="254"/>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5" t="s">
        <v>85</v>
      </c>
      <c r="E10" s="255"/>
      <c r="F10" s="255"/>
      <c r="G10" s="256" t="s">
        <v>86</v>
      </c>
      <c r="H10" s="255"/>
      <c r="I10" s="255"/>
      <c r="K10" s="11"/>
      <c r="L10" s="11"/>
      <c r="M10" s="257" t="s">
        <v>87</v>
      </c>
      <c r="N10" s="257"/>
      <c r="O10" s="257"/>
      <c r="P10" s="257"/>
      <c r="Q10" s="257"/>
      <c r="R10" s="258"/>
      <c r="S10" s="261" t="s">
        <v>88</v>
      </c>
      <c r="T10" s="262"/>
      <c r="U10" s="262"/>
      <c r="V10" s="262"/>
      <c r="W10" s="262"/>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9" t="s">
        <v>92</v>
      </c>
      <c r="M12" s="259"/>
      <c r="N12" s="259"/>
      <c r="P12" s="259" t="s">
        <v>93</v>
      </c>
      <c r="Q12" s="259"/>
      <c r="R12" s="260"/>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3" t="s">
        <v>94</v>
      </c>
      <c r="AB14" s="253"/>
      <c r="AC14" s="253"/>
      <c r="AE14" s="253" t="s">
        <v>95</v>
      </c>
      <c r="AF14" s="253"/>
      <c r="AG14" s="253"/>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3" t="s">
        <v>106</v>
      </c>
      <c r="AB52" s="253"/>
      <c r="AC52" s="253"/>
      <c r="AE52" s="253" t="s">
        <v>107</v>
      </c>
      <c r="AF52" s="253"/>
      <c r="AG52" s="253"/>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3" t="s">
        <v>109</v>
      </c>
      <c r="AB104" s="253"/>
      <c r="AC104" s="253"/>
      <c r="AE104" s="253" t="s">
        <v>110</v>
      </c>
      <c r="AF104" s="253"/>
      <c r="AG104" s="253"/>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3" t="s">
        <v>111</v>
      </c>
      <c r="AB160" s="253"/>
      <c r="AC160" s="253"/>
      <c r="AE160" s="253" t="s">
        <v>112</v>
      </c>
      <c r="AF160" s="253"/>
      <c r="AG160" s="253"/>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3" t="s">
        <v>113</v>
      </c>
      <c r="AB212" s="253"/>
      <c r="AC212" s="253"/>
      <c r="AE212" s="253" t="s">
        <v>114</v>
      </c>
      <c r="AF212" s="253"/>
      <c r="AG212" s="253"/>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3" t="s">
        <v>115</v>
      </c>
      <c r="AB264" s="253"/>
      <c r="AC264" s="253"/>
      <c r="AE264" s="253" t="s">
        <v>116</v>
      </c>
      <c r="AF264" s="253"/>
      <c r="AG264" s="253"/>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3" t="s">
        <v>117</v>
      </c>
      <c r="AB316" s="253"/>
      <c r="AC316" s="253"/>
      <c r="AE316" s="253" t="s">
        <v>118</v>
      </c>
      <c r="AF316" s="253"/>
      <c r="AG316" s="253"/>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3" t="s">
        <v>128</v>
      </c>
      <c r="AB368" s="253"/>
      <c r="AC368" s="253"/>
      <c r="AE368" s="253" t="s">
        <v>129</v>
      </c>
      <c r="AF368" s="253"/>
      <c r="AG368" s="253"/>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3" t="s">
        <v>131</v>
      </c>
      <c r="AB420" s="253"/>
      <c r="AC420" s="253"/>
      <c r="AE420" s="253" t="s">
        <v>132</v>
      </c>
      <c r="AF420" s="253"/>
      <c r="AG420" s="253"/>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3" t="s">
        <v>133</v>
      </c>
      <c r="AB472" s="253"/>
      <c r="AC472" s="253"/>
      <c r="AE472" s="253" t="s">
        <v>134</v>
      </c>
      <c r="AF472" s="253"/>
      <c r="AG472" s="253"/>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24" activePane="bottomRight" state="frozen"/>
      <selection pane="topRight" activeCell="D9" sqref="D9"/>
      <selection pane="bottomLeft" activeCell="D9" sqref="D9"/>
      <selection pane="bottomRight" activeCell="H34" sqref="H34"/>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292</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291</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5">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119869</v>
      </c>
      <c r="E43" s="160">
        <v>45230</v>
      </c>
      <c r="F43" s="160">
        <v>45323</v>
      </c>
      <c r="G43" s="195">
        <v>2418009</v>
      </c>
      <c r="H43" s="159" t="s">
        <v>150</v>
      </c>
      <c r="I43" s="152" t="s">
        <v>151</v>
      </c>
      <c r="J43" s="154">
        <f>+IF(I43="West",(+VLOOKUP(E43,'Weekly OPIS Averages'!$B$15:$J$323,9,FALSE)),(+VLOOKUP(E43,'Weekly OPIS Averages'!$M$15:$U$323,9,FALSE)))</f>
        <v>4.7191666666666663</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472223728.5</v>
      </c>
      <c r="D76" s="140"/>
      <c r="E76" s="141"/>
      <c r="F76" s="142"/>
      <c r="G76" s="143"/>
      <c r="H76" s="143"/>
      <c r="K76" s="140">
        <f>SUM(K3:K73)</f>
        <v>471223935.5</v>
      </c>
      <c r="L76" s="171">
        <f>SUM(L3:L73)</f>
        <v>999793</v>
      </c>
      <c r="M76" s="135">
        <f t="shared" si="2"/>
        <v>472223728.5</v>
      </c>
    </row>
    <row r="77" spans="1:17" x14ac:dyDescent="0.2">
      <c r="B77" s="139"/>
      <c r="C77" s="263" t="s">
        <v>284</v>
      </c>
      <c r="D77" s="264"/>
      <c r="E77" s="170"/>
      <c r="F77" s="142"/>
      <c r="G77" s="143"/>
      <c r="H77" s="143"/>
      <c r="K77" s="165"/>
      <c r="M77" s="135"/>
    </row>
    <row r="78" spans="1:17" x14ac:dyDescent="0.2">
      <c r="B78" s="139"/>
      <c r="C78" s="265" t="s">
        <v>285</v>
      </c>
      <c r="D78" s="266"/>
      <c r="E78" s="170"/>
      <c r="F78" s="142"/>
      <c r="G78" s="143"/>
      <c r="H78" s="143"/>
      <c r="K78" s="165"/>
      <c r="M78" s="135"/>
    </row>
    <row r="79" spans="1:17" x14ac:dyDescent="0.2">
      <c r="B79" s="139"/>
      <c r="C79" s="267" t="s">
        <v>286</v>
      </c>
      <c r="D79" s="268"/>
      <c r="E79" s="170"/>
      <c r="F79" s="142"/>
      <c r="G79" s="143"/>
      <c r="H79" s="143"/>
      <c r="K79" s="165"/>
      <c r="L79" s="171">
        <f>+M76-K76</f>
        <v>999793</v>
      </c>
      <c r="M79" s="135">
        <f t="shared" si="2"/>
        <v>999793</v>
      </c>
    </row>
    <row r="80" spans="1:17" ht="15.75" thickBot="1" x14ac:dyDescent="0.25">
      <c r="B80" s="139"/>
      <c r="C80" s="269" t="s">
        <v>287</v>
      </c>
      <c r="D80" s="270"/>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0EEB3B9CC1A0438AB701EDCE0A2D06" ma:contentTypeVersion="7" ma:contentTypeDescription="" ma:contentTypeScope="" ma:versionID="beef4c4f94738e95b91547c8ae43578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2024-09-12T07:00:00+00:00</OpenedDate>
    <SignificantOrder xmlns="dc463f71-b30c-4ab2-9473-d307f9d35888">false</SignificantOrder>
    <Date1 xmlns="dc463f71-b30c-4ab2-9473-d307f9d35888">2024-09-12T07:00:00+00:00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240713</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95EFD01A-DFC8-41CD-9F0E-82091CC8D118}"/>
</file>

<file path=customXml/itemProps4.xml><?xml version="1.0" encoding="utf-8"?>
<ds:datastoreItem xmlns:ds="http://schemas.openxmlformats.org/officeDocument/2006/customXml" ds:itemID="{DFEE841F-B2E0-4D17-84D3-4BE4A164549E}"/>
</file>

<file path=customXml/itemProps5.xml><?xml version="1.0" encoding="utf-8"?>
<ds:datastoreItem xmlns:ds="http://schemas.openxmlformats.org/officeDocument/2006/customXml" ds:itemID="{54043E6D-FC21-435E-BED2-CABBABA546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2024-09-12T17:15:00Z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0x0101006E56B4D1795A2E4DB2F0B01679ED314A00860EEB3B9CC1A0438AB701EDCE0A2D06</vt:lpwstr>
  </property>
  <property fmtid="{D5CDD505-2E9C-101B-9397-08002B2CF9AE}" pid="3" name="Category">
    <vt:lpwstr>;#Solid Waste Carriers;#</vt:lpwstr>
  </property>
  <property fmtid="{D5CDD505-2E9C-101B-9397-08002B2CF9AE}" pid="4" name="Document Type">
    <vt:lpwstr>Other Fillable Form</vt:lpwstr>
  </property>
</Properties>
</file>