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olumbia 2025\Fuel Surcharge G-51\2024\FSC CRD G-51 07.01.2024\"/>
    </mc:Choice>
  </mc:AlternateContent>
  <xr:revisionPtr revIDLastSave="0" documentId="13_ncr:1_{9B369754-F8D4-4380-8836-C58602F9CBF6}" xr6:coauthVersionLast="47" xr6:coauthVersionMax="47" xr10:uidLastSave="{00000000-0000-0000-0000-000000000000}"/>
  <workbookProtection workbookAlgorithmName="SHA-512" workbookHashValue="ebFuqypzWYcrWVkuMYqSBSoAHoFQBQX62H0cTTfHeDaIvq50bUf0iNLlLGWXQZyclO4E7QQuXAPnZj7PmOwIXQ==" workbookSaltValue="YReHkB013r+TWXaWBx9NIQ=="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tc={D22A8C90-5A91-4179-99AB-C5DFA9AD2A1B}</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D39" authorId="2" shapeId="0" xr:uid="{D22A8C90-5A91-4179-99AB-C5DFA9AD2A1B}">
      <text>
        <t>[Threaded comment]
Your version of Excel allows you to read this threaded comment; however, any edits to it will get removed if the file is opened in a newer version of Excel. Learn more: https://go.microsoft.com/fwlink/?linkid=870924
Comment:
    Jeanine reported 21,813 from 2024 grc</t>
      </text>
    </comment>
    <comment ref="A46" authorId="3"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4"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5"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6"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7"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8"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<sst xmlns="http://schemas.openxmlformats.org/spreadsheetml/2006/main" count="609" uniqueCount="293">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</sst>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2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2" fontId="23" fillId="19" borderId="18" xfId="5" applyNumberFormat="1" applyFont="1" applyFill="1" applyBorder="1" applyAlignment="1" applyProtection="1">
      <alignment vertic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D39" dT="2024-05-01T14:37:23.24" personId="{24E6BDF7-E4F2-429E-A03E-2CAFF6201FC6}" id="{D22A8C90-5A91-4179-99AB-C5DFA9AD2A1B}">
    <text>Jeanine reported 21,813 from 2024 grc</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D19" sqref="D19"/>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6" t="s">
        <v>0</v>
      </c>
      <c r="B1" s="226"/>
      <c r="C1" s="226"/>
      <c r="D1" s="226"/>
      <c r="E1" s="226"/>
      <c r="F1" s="226"/>
    </row>
    <row r="2" spans="1:6" ht="26.25" customHeight="1" x14ac:dyDescent="0.2">
      <c r="A2" s="239" t="s">
        <v>1</v>
      </c>
      <c r="B2" s="240"/>
      <c r="C2" s="58" t="s">
        <v>2</v>
      </c>
      <c r="D2" s="236" t="s">
        <v>168</v>
      </c>
      <c r="E2" s="236"/>
      <c r="F2" s="236"/>
    </row>
    <row r="3" spans="1:6" ht="5.25" customHeight="1" x14ac:dyDescent="0.2">
      <c r="A3" s="241"/>
      <c r="B3" s="242"/>
      <c r="C3" s="59"/>
      <c r="D3" s="59"/>
      <c r="F3" s="59"/>
    </row>
    <row r="4" spans="1:6" x14ac:dyDescent="0.2">
      <c r="A4" s="241"/>
      <c r="B4" s="242"/>
      <c r="C4" s="60" t="s">
        <v>4</v>
      </c>
      <c r="D4" s="238">
        <v>45474</v>
      </c>
      <c r="E4" s="238"/>
      <c r="F4" s="238"/>
    </row>
    <row r="5" spans="1:6" ht="5.25" customHeight="1" x14ac:dyDescent="0.2">
      <c r="A5" s="241"/>
      <c r="B5" s="242"/>
      <c r="C5" s="59"/>
      <c r="D5" s="59"/>
      <c r="F5" s="59"/>
    </row>
    <row r="6" spans="1:6" x14ac:dyDescent="0.2">
      <c r="A6" s="241"/>
      <c r="B6" s="242"/>
      <c r="C6" s="60" t="s">
        <v>5</v>
      </c>
      <c r="D6" s="249">
        <v>111551</v>
      </c>
      <c r="E6" s="249"/>
      <c r="F6" s="249"/>
    </row>
    <row r="7" spans="1:6" x14ac:dyDescent="0.2">
      <c r="A7" s="243"/>
      <c r="B7" s="243"/>
      <c r="C7" s="243"/>
      <c r="D7" s="243"/>
      <c r="E7" s="243"/>
      <c r="F7" s="243"/>
    </row>
    <row r="8" spans="1:6" ht="28.5" customHeight="1" x14ac:dyDescent="0.2">
      <c r="A8" s="239" t="s">
        <v>6</v>
      </c>
      <c r="B8" s="240"/>
      <c r="C8" s="61" t="s">
        <v>7</v>
      </c>
      <c r="D8" s="251">
        <f>IF(AND(D2&gt;"", D4&gt;0, D6&gt;0), F45, 0)</f>
        <v>1.0621179999999999E-2</v>
      </c>
      <c r="E8" s="251"/>
      <c r="F8" s="251"/>
    </row>
    <row r="9" spans="1:6" ht="5.25" customHeight="1" x14ac:dyDescent="0.2">
      <c r="A9" s="241"/>
      <c r="B9" s="242"/>
      <c r="C9" s="62"/>
      <c r="D9" s="62"/>
      <c r="E9" s="62"/>
      <c r="F9" s="62"/>
    </row>
    <row r="10" spans="1:6" ht="29.25" customHeight="1" x14ac:dyDescent="0.2">
      <c r="A10" s="241"/>
      <c r="B10" s="242"/>
      <c r="C10" s="61" t="s">
        <v>8</v>
      </c>
      <c r="D10" s="237">
        <f>IF(AND(D2&gt;"", D4&gt;0, D6&gt;0), IF(F45&lt;F61, F45,F61), 0)</f>
        <v>4.6652351138044479E-3</v>
      </c>
      <c r="E10" s="237"/>
      <c r="F10" s="237"/>
    </row>
    <row r="11" spans="1:6" ht="5.25" customHeight="1" x14ac:dyDescent="0.2">
      <c r="A11" s="241"/>
      <c r="B11" s="242"/>
      <c r="C11" s="62"/>
      <c r="D11" s="62"/>
      <c r="E11" s="62"/>
      <c r="F11" s="62"/>
    </row>
    <row r="12" spans="1:6" ht="39" customHeight="1" x14ac:dyDescent="0.2">
      <c r="A12" s="241"/>
      <c r="B12" s="242"/>
      <c r="C12" s="250"/>
      <c r="D12" s="250"/>
      <c r="E12" s="250"/>
      <c r="F12" s="250"/>
    </row>
    <row r="13" spans="1:6" x14ac:dyDescent="0.2">
      <c r="A13" s="63"/>
      <c r="B13" s="64"/>
      <c r="C13" s="64"/>
      <c r="D13" s="65"/>
      <c r="E13" s="63"/>
      <c r="F13" s="63"/>
    </row>
    <row r="14" spans="1:6" ht="25.5" x14ac:dyDescent="0.2">
      <c r="A14" s="66" t="s">
        <v>9</v>
      </c>
      <c r="B14" s="59"/>
      <c r="C14" s="60"/>
      <c r="D14" s="59"/>
      <c r="F14" s="59"/>
    </row>
    <row r="15" spans="1:6" x14ac:dyDescent="0.2">
      <c r="A15" s="59">
        <v>1</v>
      </c>
      <c r="B15" s="227" t="s">
        <v>10</v>
      </c>
      <c r="C15" s="228"/>
      <c r="D15" s="228"/>
      <c r="E15" s="228"/>
      <c r="F15" s="229"/>
    </row>
    <row r="16" spans="1:6" x14ac:dyDescent="0.2">
      <c r="A16" s="59">
        <v>2</v>
      </c>
      <c r="C16" s="57" t="s">
        <v>11</v>
      </c>
      <c r="F16" s="67">
        <f>IF(D2="","",VLOOKUP(D2,CompanyInfo,3, FALSE))</f>
        <v>100951</v>
      </c>
    </row>
    <row r="17" spans="1:8" x14ac:dyDescent="0.2">
      <c r="A17" s="59">
        <v>3</v>
      </c>
      <c r="C17" s="57" t="s">
        <v>12</v>
      </c>
      <c r="F17" s="67">
        <f>IF(D2="","",VLOOKUP(D2,CompanyInfo,4, FALSE))</f>
        <v>5260</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East</v>
      </c>
    </row>
    <row r="22" spans="1:8" x14ac:dyDescent="0.2">
      <c r="A22" s="59">
        <v>8</v>
      </c>
      <c r="B22" s="59"/>
      <c r="C22" s="60" t="s">
        <v>17</v>
      </c>
      <c r="D22" s="59"/>
      <c r="F22" s="67">
        <f>IF(D2="","",VLOOKUP(D2,CompanyInfo,7,FALSE ))</f>
        <v>0</v>
      </c>
    </row>
    <row r="23" spans="1:8" x14ac:dyDescent="0.2">
      <c r="A23" s="59">
        <v>9</v>
      </c>
      <c r="B23" s="59"/>
      <c r="C23" s="60"/>
      <c r="D23" s="59"/>
      <c r="F23" s="59"/>
    </row>
    <row r="24" spans="1:8" x14ac:dyDescent="0.2">
      <c r="A24" s="59">
        <v>10</v>
      </c>
      <c r="B24" s="230" t="s">
        <v>18</v>
      </c>
      <c r="C24" s="231"/>
      <c r="D24" s="231"/>
      <c r="E24" s="231"/>
      <c r="F24" s="232"/>
    </row>
    <row r="25" spans="1:8" x14ac:dyDescent="0.2">
      <c r="A25" s="59">
        <v>11</v>
      </c>
      <c r="C25" s="60" t="s">
        <v>19</v>
      </c>
      <c r="F25" s="67">
        <f>+F17</f>
        <v>5260</v>
      </c>
    </row>
    <row r="26" spans="1:8" x14ac:dyDescent="0.2">
      <c r="A26" s="59">
        <v>12</v>
      </c>
      <c r="C26" s="69" t="s">
        <v>20</v>
      </c>
      <c r="E26" s="59" t="s">
        <v>21</v>
      </c>
      <c r="F26" s="70">
        <f>+F16</f>
        <v>100951</v>
      </c>
    </row>
    <row r="27" spans="1:8" x14ac:dyDescent="0.2">
      <c r="A27" s="59">
        <v>13</v>
      </c>
      <c r="C27" s="57" t="s">
        <v>22</v>
      </c>
      <c r="E27" s="59" t="s">
        <v>23</v>
      </c>
      <c r="F27" s="71">
        <f>F17/F16</f>
        <v>5.2104486334954583E-2</v>
      </c>
    </row>
    <row r="28" spans="1:8" x14ac:dyDescent="0.2">
      <c r="A28" s="59">
        <v>14</v>
      </c>
      <c r="C28" s="57" t="s">
        <v>24</v>
      </c>
      <c r="E28" s="59" t="s">
        <v>25</v>
      </c>
      <c r="F28" s="72">
        <v>100</v>
      </c>
    </row>
    <row r="29" spans="1:8" x14ac:dyDescent="0.2">
      <c r="A29" s="59">
        <v>15</v>
      </c>
      <c r="C29" s="57" t="s">
        <v>26</v>
      </c>
      <c r="E29" s="59" t="s">
        <v>23</v>
      </c>
      <c r="F29" s="73">
        <f>ROUND(F27,4)</f>
        <v>5.21E-2</v>
      </c>
    </row>
    <row r="30" spans="1:8" x14ac:dyDescent="0.2">
      <c r="A30" s="59">
        <v>16</v>
      </c>
    </row>
    <row r="31" spans="1:8" x14ac:dyDescent="0.2">
      <c r="A31" s="59">
        <v>17</v>
      </c>
      <c r="B31" s="230" t="s">
        <v>27</v>
      </c>
      <c r="C31" s="231"/>
      <c r="D31" s="231"/>
      <c r="E31" s="231"/>
      <c r="F31" s="232"/>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3.96</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1.1230000000000002</v>
      </c>
    </row>
    <row r="35" spans="1:6" x14ac:dyDescent="0.2">
      <c r="A35" s="59">
        <v>21</v>
      </c>
      <c r="C35" s="69" t="s">
        <v>33</v>
      </c>
      <c r="E35" s="59" t="s">
        <v>21</v>
      </c>
      <c r="F35" s="77">
        <f>+F33</f>
        <v>2.8369999999999997</v>
      </c>
    </row>
    <row r="36" spans="1:6" x14ac:dyDescent="0.2">
      <c r="A36" s="59">
        <v>22</v>
      </c>
      <c r="C36" s="57" t="s">
        <v>34</v>
      </c>
      <c r="E36" s="59" t="s">
        <v>23</v>
      </c>
      <c r="F36" s="71">
        <f>F34/F35</f>
        <v>0.39584067677123735</v>
      </c>
    </row>
    <row r="37" spans="1:6" x14ac:dyDescent="0.2">
      <c r="A37" s="59">
        <v>23</v>
      </c>
      <c r="C37" s="57" t="s">
        <v>24</v>
      </c>
      <c r="E37" s="59" t="s">
        <v>25</v>
      </c>
      <c r="F37" s="72">
        <v>100</v>
      </c>
    </row>
    <row r="38" spans="1:6" x14ac:dyDescent="0.2">
      <c r="A38" s="59">
        <v>24</v>
      </c>
      <c r="C38" s="57" t="s">
        <v>35</v>
      </c>
      <c r="E38" s="59" t="s">
        <v>23</v>
      </c>
      <c r="F38" s="73">
        <f>ROUND(F36,4)</f>
        <v>0.39579999999999999</v>
      </c>
    </row>
    <row r="39" spans="1:6" x14ac:dyDescent="0.2">
      <c r="A39" s="59">
        <v>25</v>
      </c>
    </row>
    <row r="40" spans="1:6" ht="56.25" customHeight="1" x14ac:dyDescent="0.2">
      <c r="A40" s="78">
        <v>26</v>
      </c>
      <c r="B40" s="233" t="s">
        <v>36</v>
      </c>
      <c r="C40" s="234"/>
      <c r="D40" s="234"/>
      <c r="E40" s="234"/>
      <c r="F40" s="235"/>
    </row>
    <row r="41" spans="1:6" x14ac:dyDescent="0.2">
      <c r="A41" s="59">
        <v>27</v>
      </c>
      <c r="C41" s="69" t="s">
        <v>37</v>
      </c>
      <c r="F41" s="79">
        <f>F29</f>
        <v>5.21E-2</v>
      </c>
    </row>
    <row r="42" spans="1:6" x14ac:dyDescent="0.2">
      <c r="A42" s="59">
        <v>28</v>
      </c>
      <c r="C42" s="69" t="s">
        <v>38</v>
      </c>
      <c r="E42" s="59" t="s">
        <v>25</v>
      </c>
      <c r="F42" s="80">
        <f>F38</f>
        <v>0.39579999999999999</v>
      </c>
    </row>
    <row r="43" spans="1:6" x14ac:dyDescent="0.2">
      <c r="A43" s="59">
        <v>29</v>
      </c>
      <c r="B43" s="57" t="s">
        <v>39</v>
      </c>
      <c r="C43" s="57" t="s">
        <v>40</v>
      </c>
      <c r="E43" s="59" t="s">
        <v>23</v>
      </c>
      <c r="F43" s="79">
        <f>F42*F41</f>
        <v>2.0621179999999999E-2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1.0621179999999999E-2</v>
      </c>
    </row>
    <row r="46" spans="1:6" ht="13.5" thickTop="1" x14ac:dyDescent="0.2">
      <c r="A46" s="59">
        <v>32</v>
      </c>
      <c r="C46" s="69"/>
    </row>
    <row r="47" spans="1:6" ht="64.5" customHeight="1" x14ac:dyDescent="0.2">
      <c r="A47" s="78">
        <v>33</v>
      </c>
      <c r="B47" s="246" t="s">
        <v>43</v>
      </c>
      <c r="C47" s="247"/>
      <c r="D47" s="247"/>
      <c r="E47" s="247"/>
      <c r="F47" s="248"/>
    </row>
    <row r="48" spans="1:6" x14ac:dyDescent="0.2">
      <c r="A48" s="59">
        <v>34</v>
      </c>
      <c r="C48" s="57" t="s">
        <v>44</v>
      </c>
      <c r="F48" s="79">
        <f>F45</f>
        <v>1.0621179999999999E-2</v>
      </c>
    </row>
    <row r="49" spans="1:7" x14ac:dyDescent="0.2">
      <c r="A49" s="59">
        <v>35</v>
      </c>
      <c r="C49" s="57" t="s">
        <v>45</v>
      </c>
      <c r="E49" s="59" t="s">
        <v>25</v>
      </c>
      <c r="F49" s="70">
        <f>F16</f>
        <v>100951</v>
      </c>
    </row>
    <row r="50" spans="1:7" x14ac:dyDescent="0.2">
      <c r="A50" s="59">
        <v>36</v>
      </c>
      <c r="C50" s="57" t="s">
        <v>46</v>
      </c>
      <c r="E50" s="59" t="s">
        <v>23</v>
      </c>
      <c r="F50" s="67">
        <f>F49*F48</f>
        <v>1072.2187421799999</v>
      </c>
    </row>
    <row r="51" spans="1:7" x14ac:dyDescent="0.2">
      <c r="A51" s="59">
        <v>37</v>
      </c>
    </row>
    <row r="52" spans="1:7" x14ac:dyDescent="0.2">
      <c r="A52" s="59">
        <v>38</v>
      </c>
      <c r="C52" s="57" t="s">
        <v>47</v>
      </c>
      <c r="F52" s="79">
        <f>F29</f>
        <v>5.21E-2</v>
      </c>
    </row>
    <row r="53" spans="1:7" x14ac:dyDescent="0.2">
      <c r="A53" s="59">
        <v>39</v>
      </c>
      <c r="C53" s="57" t="s">
        <v>48</v>
      </c>
      <c r="E53" s="59" t="s">
        <v>25</v>
      </c>
      <c r="F53" s="70">
        <f>IF(D6&gt;F22, D6, F22)</f>
        <v>111551</v>
      </c>
    </row>
    <row r="54" spans="1:7" x14ac:dyDescent="0.2">
      <c r="A54" s="59">
        <v>40</v>
      </c>
      <c r="C54" s="57" t="s">
        <v>49</v>
      </c>
      <c r="E54" s="59" t="s">
        <v>23</v>
      </c>
      <c r="F54" s="67">
        <f>F53*F52</f>
        <v>5811.8071</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1072.2187421799999</v>
      </c>
    </row>
    <row r="58" spans="1:7" x14ac:dyDescent="0.2">
      <c r="A58" s="59">
        <v>44</v>
      </c>
      <c r="C58" s="57" t="s">
        <v>53</v>
      </c>
      <c r="E58" s="59" t="s">
        <v>31</v>
      </c>
      <c r="F58" s="70">
        <f>F54</f>
        <v>5811.8071</v>
      </c>
    </row>
    <row r="59" spans="1:7" x14ac:dyDescent="0.2">
      <c r="A59" s="59">
        <v>45</v>
      </c>
      <c r="C59" s="57" t="s">
        <v>54</v>
      </c>
      <c r="E59" s="59" t="s">
        <v>23</v>
      </c>
      <c r="F59" s="67">
        <f>F56+F57-F58</f>
        <v>520.41164217999994</v>
      </c>
    </row>
    <row r="60" spans="1:7" x14ac:dyDescent="0.2">
      <c r="A60" s="59">
        <v>46</v>
      </c>
      <c r="C60" s="57" t="s">
        <v>55</v>
      </c>
      <c r="E60" s="59" t="s">
        <v>21</v>
      </c>
      <c r="F60" s="83">
        <f>F53</f>
        <v>111551</v>
      </c>
    </row>
    <row r="61" spans="1:7" ht="13.5" thickBot="1" x14ac:dyDescent="0.25">
      <c r="A61" s="59">
        <v>47</v>
      </c>
      <c r="C61" s="84" t="s">
        <v>56</v>
      </c>
      <c r="E61" s="59" t="s">
        <v>23</v>
      </c>
      <c r="F61" s="82">
        <f>IF(AND(D2&gt;"", D4&gt;0, D6&gt;0), IF(F60=0, 0, F59/F60), 0)</f>
        <v>4.6652351138044479E-3</v>
      </c>
    </row>
    <row r="62" spans="1:7" ht="13.5" thickTop="1" x14ac:dyDescent="0.2"/>
    <row r="63" spans="1:7" x14ac:dyDescent="0.2">
      <c r="A63" s="244">
        <f ca="1">NOW()</f>
        <v>45454.405749537036</v>
      </c>
      <c r="B63" s="244"/>
      <c r="C63" s="244"/>
      <c r="D63" s="245" t="s">
        <v>57</v>
      </c>
      <c r="E63" s="245"/>
      <c r="F63" s="245"/>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196"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2" t="s">
        <v>59</v>
      </c>
      <c r="D4" s="252"/>
      <c r="E4" s="252"/>
      <c r="F4" s="252"/>
      <c r="G4" s="252"/>
      <c r="J4" s="37" t="s">
        <v>58</v>
      </c>
      <c r="L4" s="252" t="s">
        <v>60</v>
      </c>
      <c r="M4" s="252"/>
      <c r="N4" s="252"/>
      <c r="O4" s="252"/>
      <c r="P4" s="252"/>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
      <c r="A232" s="43">
        <v>45352</v>
      </c>
      <c r="C232" s="44">
        <f>+IF('Weekly OPIS Averages'!D244&gt;0,'Weekly OPIS Averages'!D244,"NA")</f>
        <v>4.0110000000000001</v>
      </c>
      <c r="E232" s="44">
        <f>+IF('Weekly OPIS Averages'!F244&gt;0,'Weekly OPIS Averages'!F244,"NA")</f>
        <v>4.0685000000000002</v>
      </c>
      <c r="G232" s="44">
        <f>+IF('Weekly OPIS Averages'!H244&gt;0,'Weekly OPIS Averages'!H244,"NA")</f>
        <v>4.2089999999999996</v>
      </c>
      <c r="J232" s="43">
        <v>45352</v>
      </c>
      <c r="L232" s="44">
        <f>+IF('Weekly OPIS Averages'!O244&gt;0,'Weekly OPIS Averages'!O244,"NA")</f>
        <v>4.0110000000000001</v>
      </c>
      <c r="N232" s="44">
        <f>+IF('Weekly OPIS Averages'!Q244&gt;0,'Weekly OPIS Averages'!Q244,"NA")</f>
        <v>4.0685000000000002</v>
      </c>
      <c r="P232" s="44">
        <f>+IF('Weekly OPIS Averages'!S244&gt;0,'Weekly OPIS Averages'!S244,"NA")</f>
        <v>4.2089999999999996</v>
      </c>
    </row>
    <row r="233" spans="1:16" x14ac:dyDescent="0.2">
      <c r="A233" s="43">
        <v>45383</v>
      </c>
      <c r="C233" s="44">
        <f>+IF('Weekly OPIS Averages'!D245&gt;0,'Weekly OPIS Averages'!D245,"NA")</f>
        <v>4.1520000000000001</v>
      </c>
      <c r="E233" s="44">
        <f>+IF('Weekly OPIS Averages'!F245&gt;0,'Weekly OPIS Averages'!F245,"NA")</f>
        <v>4.0815000000000001</v>
      </c>
      <c r="G233" s="44">
        <f>+IF('Weekly OPIS Averages'!H245&gt;0,'Weekly OPIS Averages'!H245,"NA")</f>
        <v>4.0963333333333338</v>
      </c>
      <c r="J233" s="43">
        <v>45383</v>
      </c>
      <c r="L233" s="44">
        <f>+IF('Weekly OPIS Averages'!O245&gt;0,'Weekly OPIS Averages'!O245,"NA")</f>
        <v>4.1520000000000001</v>
      </c>
      <c r="N233" s="44">
        <f>+IF('Weekly OPIS Averages'!Q245&gt;0,'Weekly OPIS Averages'!Q245,"NA")</f>
        <v>4.0815000000000001</v>
      </c>
      <c r="P233" s="44">
        <f>+IF('Weekly OPIS Averages'!S245&gt;0,'Weekly OPIS Averages'!S245,"NA")</f>
        <v>4.0963333333333338</v>
      </c>
    </row>
    <row r="234" spans="1:16" x14ac:dyDescent="0.2">
      <c r="A234" s="43">
        <v>45413</v>
      </c>
      <c r="C234" s="44">
        <f>+IF('Weekly OPIS Averages'!D246&gt;0,'Weekly OPIS Averages'!D246,"NA")</f>
        <v>4.1769999999999996</v>
      </c>
      <c r="E234" s="44">
        <f>+IF('Weekly OPIS Averages'!F246&gt;0,'Weekly OPIS Averages'!F246,"NA")</f>
        <v>4.1645000000000003</v>
      </c>
      <c r="G234" s="44">
        <f>+IF('Weekly OPIS Averages'!H246&gt;0,'Weekly OPIS Averages'!H246,"NA")</f>
        <v>4.1133333333333333</v>
      </c>
      <c r="J234" s="43">
        <v>45413</v>
      </c>
      <c r="L234" s="44">
        <f>+IF('Weekly OPIS Averages'!O246&gt;0,'Weekly OPIS Averages'!O246,"NA")</f>
        <v>4.1769999999999996</v>
      </c>
      <c r="N234" s="44">
        <f>+IF('Weekly OPIS Averages'!Q246&gt;0,'Weekly OPIS Averages'!Q246,"NA")</f>
        <v>4.1645000000000003</v>
      </c>
      <c r="P234" s="44">
        <f>+IF('Weekly OPIS Averages'!S246&gt;0,'Weekly OPIS Averages'!S246,"NA")</f>
        <v>4.1133333333333333</v>
      </c>
    </row>
    <row r="235" spans="1:16" x14ac:dyDescent="0.2">
      <c r="A235" s="43">
        <v>45444</v>
      </c>
      <c r="C235" s="44">
        <f>+IF('Weekly OPIS Averages'!D247&gt;0,'Weekly OPIS Averages'!D247,"NA")</f>
        <v>4.1100000000000003</v>
      </c>
      <c r="E235" s="44">
        <f>+IF('Weekly OPIS Averages'!F247&gt;0,'Weekly OPIS Averages'!F247,"NA")</f>
        <v>4.1434999999999995</v>
      </c>
      <c r="G235" s="44">
        <f>+IF('Weekly OPIS Averages'!H247&gt;0,'Weekly OPIS Averages'!H247,"NA")</f>
        <v>4.1463333333333336</v>
      </c>
      <c r="J235" s="43">
        <v>45444</v>
      </c>
      <c r="L235" s="44">
        <f>+IF('Weekly OPIS Averages'!O247&gt;0,'Weekly OPIS Averages'!O247,"NA")</f>
        <v>4.1100000000000003</v>
      </c>
      <c r="N235" s="44">
        <f>+IF('Weekly OPIS Averages'!Q247&gt;0,'Weekly OPIS Averages'!Q247,"NA")</f>
        <v>4.1434999999999995</v>
      </c>
      <c r="P235" s="44">
        <f>+IF('Weekly OPIS Averages'!S247&gt;0,'Weekly OPIS Averages'!S247,"NA")</f>
        <v>4.1463333333333336</v>
      </c>
    </row>
    <row r="236" spans="1:16" x14ac:dyDescent="0.2">
      <c r="A236" s="43">
        <v>45474</v>
      </c>
      <c r="C236" s="44">
        <f>+IF('Weekly OPIS Averages'!D248&gt;0,'Weekly OPIS Averages'!D248,"NA")</f>
        <v>3.96</v>
      </c>
      <c r="E236" s="44">
        <f>+IF('Weekly OPIS Averages'!F248&gt;0,'Weekly OPIS Averages'!F248,"NA")</f>
        <v>4.0350000000000001</v>
      </c>
      <c r="G236" s="44">
        <f>+IF('Weekly OPIS Averages'!H248&gt;0,'Weekly OPIS Averages'!H248,"NA")</f>
        <v>4.0823333333333336</v>
      </c>
      <c r="J236" s="43">
        <v>45474</v>
      </c>
      <c r="L236" s="44">
        <f>+IF('Weekly OPIS Averages'!O248&gt;0,'Weekly OPIS Averages'!O248,"NA")</f>
        <v>3.96</v>
      </c>
      <c r="N236" s="44">
        <f>+IF('Weekly OPIS Averages'!Q248&gt;0,'Weekly OPIS Averages'!Q248,"NA")</f>
        <v>4.0350000000000001</v>
      </c>
      <c r="P236" s="44">
        <f>+IF('Weekly OPIS Averages'!S248&gt;0,'Weekly OPIS Averages'!S248,"NA")</f>
        <v>4.0823333333333336</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8" sqref="D248"/>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
      <c r="B244" s="49">
        <v>45322</v>
      </c>
      <c r="D244" s="204">
        <v>4.0110000000000001</v>
      </c>
      <c r="F244" s="128">
        <f t="shared" si="35"/>
        <v>4.0685000000000002</v>
      </c>
      <c r="G244" s="128"/>
      <c r="H244" s="128">
        <f t="shared" si="36"/>
        <v>4.2089999999999996</v>
      </c>
      <c r="I244" s="128"/>
      <c r="J244" s="128">
        <f t="shared" si="37"/>
        <v>4.5102500000000001</v>
      </c>
      <c r="K244" s="124"/>
      <c r="L244" s="125"/>
      <c r="M244" s="218">
        <v>45322</v>
      </c>
      <c r="N244" s="124"/>
      <c r="O244" s="126">
        <f t="shared" si="34"/>
        <v>4.0110000000000001</v>
      </c>
      <c r="P244" s="124"/>
      <c r="Q244" s="124">
        <f t="shared" si="38"/>
        <v>4.0685000000000002</v>
      </c>
      <c r="R244" s="124"/>
      <c r="S244" s="124">
        <f t="shared" si="39"/>
        <v>4.2089999999999996</v>
      </c>
      <c r="T244" s="124"/>
      <c r="U244" s="124">
        <f t="shared" si="40"/>
        <v>4.5102500000000001</v>
      </c>
      <c r="V244" s="124"/>
    </row>
    <row r="245" spans="2:22" x14ac:dyDescent="0.2">
      <c r="B245" s="49">
        <v>45351</v>
      </c>
      <c r="D245" s="204">
        <v>4.1520000000000001</v>
      </c>
      <c r="F245" s="128">
        <f t="shared" si="35"/>
        <v>4.0815000000000001</v>
      </c>
      <c r="G245" s="128"/>
      <c r="H245" s="128">
        <f t="shared" si="36"/>
        <v>4.0963333333333338</v>
      </c>
      <c r="I245" s="128"/>
      <c r="J245" s="128">
        <f t="shared" si="37"/>
        <v>4.4693333333333332</v>
      </c>
      <c r="K245" s="124"/>
      <c r="L245" s="125"/>
      <c r="M245" s="218">
        <v>45351</v>
      </c>
      <c r="N245" s="124"/>
      <c r="O245" s="126">
        <f t="shared" si="34"/>
        <v>4.1520000000000001</v>
      </c>
      <c r="P245" s="124"/>
      <c r="Q245" s="124">
        <f t="shared" si="38"/>
        <v>4.0815000000000001</v>
      </c>
      <c r="R245" s="124"/>
      <c r="S245" s="124">
        <f t="shared" si="39"/>
        <v>4.0963333333333338</v>
      </c>
      <c r="T245" s="124"/>
      <c r="U245" s="124">
        <f t="shared" si="40"/>
        <v>4.4693333333333332</v>
      </c>
      <c r="V245" s="124"/>
    </row>
    <row r="246" spans="2:22" x14ac:dyDescent="0.2">
      <c r="B246" s="49">
        <v>45382</v>
      </c>
      <c r="D246" s="204">
        <v>4.1769999999999996</v>
      </c>
      <c r="F246" s="128">
        <f t="shared" si="35"/>
        <v>4.1645000000000003</v>
      </c>
      <c r="G246" s="128"/>
      <c r="H246" s="128">
        <f t="shared" si="36"/>
        <v>4.1133333333333333</v>
      </c>
      <c r="I246" s="128"/>
      <c r="J246" s="128">
        <f t="shared" si="37"/>
        <v>4.4434166666666668</v>
      </c>
      <c r="K246" s="124"/>
      <c r="L246" s="125"/>
      <c r="M246" s="218">
        <v>45382</v>
      </c>
      <c r="N246" s="124"/>
      <c r="O246" s="126">
        <f t="shared" si="34"/>
        <v>4.1769999999999996</v>
      </c>
      <c r="P246" s="124"/>
      <c r="Q246" s="124">
        <f t="shared" si="38"/>
        <v>4.1645000000000003</v>
      </c>
      <c r="R246" s="124"/>
      <c r="S246" s="124">
        <f t="shared" si="39"/>
        <v>4.1133333333333333</v>
      </c>
      <c r="T246" s="124"/>
      <c r="U246" s="124">
        <f t="shared" si="40"/>
        <v>4.4434166666666668</v>
      </c>
      <c r="V246" s="124"/>
    </row>
    <row r="247" spans="2:22" x14ac:dyDescent="0.2">
      <c r="B247" s="49">
        <v>45412</v>
      </c>
      <c r="D247" s="204">
        <v>4.1100000000000003</v>
      </c>
      <c r="F247" s="128">
        <f t="shared" si="35"/>
        <v>4.1434999999999995</v>
      </c>
      <c r="G247" s="128"/>
      <c r="H247" s="128">
        <f t="shared" si="36"/>
        <v>4.1463333333333336</v>
      </c>
      <c r="I247" s="128"/>
      <c r="J247" s="128">
        <f t="shared" si="37"/>
        <v>4.4143333333333334</v>
      </c>
      <c r="K247" s="124"/>
      <c r="L247" s="125"/>
      <c r="M247" s="218">
        <v>45412</v>
      </c>
      <c r="N247" s="124"/>
      <c r="O247" s="126">
        <f t="shared" si="34"/>
        <v>4.1100000000000003</v>
      </c>
      <c r="P247" s="124"/>
      <c r="Q247" s="124">
        <f t="shared" si="38"/>
        <v>4.1434999999999995</v>
      </c>
      <c r="R247" s="124"/>
      <c r="S247" s="124">
        <f t="shared" si="39"/>
        <v>4.1463333333333336</v>
      </c>
      <c r="T247" s="124"/>
      <c r="U247" s="124">
        <f t="shared" si="40"/>
        <v>4.4143333333333334</v>
      </c>
      <c r="V247" s="124"/>
    </row>
    <row r="248" spans="2:22" x14ac:dyDescent="0.2">
      <c r="B248" s="49">
        <v>45443</v>
      </c>
      <c r="D248" s="204">
        <v>3.96</v>
      </c>
      <c r="F248" s="128">
        <f t="shared" si="35"/>
        <v>4.0350000000000001</v>
      </c>
      <c r="G248" s="128"/>
      <c r="H248" s="128">
        <f t="shared" si="36"/>
        <v>4.0823333333333336</v>
      </c>
      <c r="I248" s="128"/>
      <c r="J248" s="128">
        <f t="shared" si="37"/>
        <v>4.3855833333333338</v>
      </c>
      <c r="K248" s="124"/>
      <c r="L248" s="125"/>
      <c r="M248" s="218">
        <v>45443</v>
      </c>
      <c r="N248" s="124"/>
      <c r="O248" s="126">
        <f t="shared" si="34"/>
        <v>3.96</v>
      </c>
      <c r="P248" s="124"/>
      <c r="Q248" s="124">
        <f t="shared" si="38"/>
        <v>4.0350000000000001</v>
      </c>
      <c r="R248" s="124"/>
      <c r="S248" s="124">
        <f t="shared" si="39"/>
        <v>4.0823333333333336</v>
      </c>
      <c r="T248" s="124"/>
      <c r="U248" s="124">
        <f t="shared" si="40"/>
        <v>4.3855833333333338</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2" t="s">
        <v>70</v>
      </c>
      <c r="D3" s="252"/>
      <c r="E3" s="252"/>
      <c r="F3" s="252"/>
      <c r="G3" s="2"/>
      <c r="H3" s="2"/>
      <c r="I3" s="2"/>
      <c r="J3" s="2"/>
      <c r="K3" s="2"/>
      <c r="L3" s="2"/>
      <c r="N3" s="252" t="s">
        <v>71</v>
      </c>
      <c r="O3" s="252"/>
      <c r="P3" s="252"/>
      <c r="Q3" s="252"/>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4" t="s">
        <v>81</v>
      </c>
      <c r="AA1" s="254"/>
      <c r="AB1" s="254"/>
      <c r="AC1" s="254"/>
      <c r="AD1" s="254"/>
    </row>
    <row r="2" spans="2:33" x14ac:dyDescent="0.2">
      <c r="B2" s="5" t="s">
        <v>82</v>
      </c>
      <c r="Z2" s="217"/>
      <c r="AA2" s="217"/>
      <c r="AB2" s="217"/>
      <c r="AC2" s="217"/>
      <c r="AD2" s="217"/>
    </row>
    <row r="3" spans="2:33" x14ac:dyDescent="0.2">
      <c r="B3" s="5" t="s">
        <v>81</v>
      </c>
      <c r="Z3" s="254" t="s">
        <v>83</v>
      </c>
      <c r="AA3" s="254"/>
      <c r="AB3" s="254"/>
      <c r="AC3" s="254"/>
      <c r="AD3" s="254"/>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5" t="s">
        <v>85</v>
      </c>
      <c r="E10" s="255"/>
      <c r="F10" s="255"/>
      <c r="G10" s="256" t="s">
        <v>86</v>
      </c>
      <c r="H10" s="255"/>
      <c r="I10" s="255"/>
      <c r="K10" s="11"/>
      <c r="L10" s="11"/>
      <c r="M10" s="257" t="s">
        <v>87</v>
      </c>
      <c r="N10" s="257"/>
      <c r="O10" s="257"/>
      <c r="P10" s="257"/>
      <c r="Q10" s="257"/>
      <c r="R10" s="258"/>
      <c r="S10" s="261" t="s">
        <v>88</v>
      </c>
      <c r="T10" s="262"/>
      <c r="U10" s="262"/>
      <c r="V10" s="262"/>
      <c r="W10" s="262"/>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9" t="s">
        <v>92</v>
      </c>
      <c r="M12" s="259"/>
      <c r="N12" s="259"/>
      <c r="P12" s="259" t="s">
        <v>93</v>
      </c>
      <c r="Q12" s="259"/>
      <c r="R12" s="260"/>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3" t="s">
        <v>94</v>
      </c>
      <c r="AB14" s="253"/>
      <c r="AC14" s="253"/>
      <c r="AE14" s="253" t="s">
        <v>95</v>
      </c>
      <c r="AF14" s="253"/>
      <c r="AG14" s="253"/>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3" t="s">
        <v>106</v>
      </c>
      <c r="AB52" s="253"/>
      <c r="AC52" s="253"/>
      <c r="AE52" s="253" t="s">
        <v>107</v>
      </c>
      <c r="AF52" s="253"/>
      <c r="AG52" s="253"/>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3" t="s">
        <v>109</v>
      </c>
      <c r="AB104" s="253"/>
      <c r="AC104" s="253"/>
      <c r="AE104" s="253" t="s">
        <v>110</v>
      </c>
      <c r="AF104" s="253"/>
      <c r="AG104" s="253"/>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3" t="s">
        <v>111</v>
      </c>
      <c r="AB160" s="253"/>
      <c r="AC160" s="253"/>
      <c r="AE160" s="253" t="s">
        <v>112</v>
      </c>
      <c r="AF160" s="253"/>
      <c r="AG160" s="253"/>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3" t="s">
        <v>113</v>
      </c>
      <c r="AB212" s="253"/>
      <c r="AC212" s="253"/>
      <c r="AE212" s="253" t="s">
        <v>114</v>
      </c>
      <c r="AF212" s="253"/>
      <c r="AG212" s="253"/>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3" t="s">
        <v>115</v>
      </c>
      <c r="AB264" s="253"/>
      <c r="AC264" s="253"/>
      <c r="AE264" s="253" t="s">
        <v>116</v>
      </c>
      <c r="AF264" s="253"/>
      <c r="AG264" s="253"/>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3" t="s">
        <v>117</v>
      </c>
      <c r="AB316" s="253"/>
      <c r="AC316" s="253"/>
      <c r="AE316" s="253" t="s">
        <v>118</v>
      </c>
      <c r="AF316" s="253"/>
      <c r="AG316" s="253"/>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3" t="s">
        <v>128</v>
      </c>
      <c r="AB368" s="253"/>
      <c r="AC368" s="253"/>
      <c r="AE368" s="253" t="s">
        <v>129</v>
      </c>
      <c r="AF368" s="253"/>
      <c r="AG368" s="253"/>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3" t="s">
        <v>131</v>
      </c>
      <c r="AB420" s="253"/>
      <c r="AC420" s="253"/>
      <c r="AE420" s="253" t="s">
        <v>132</v>
      </c>
      <c r="AF420" s="253"/>
      <c r="AG420" s="253"/>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3" t="s">
        <v>133</v>
      </c>
      <c r="AB472" s="253"/>
      <c r="AC472" s="253"/>
      <c r="AE472" s="253" t="s">
        <v>134</v>
      </c>
      <c r="AF472" s="253"/>
      <c r="AG472" s="253"/>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19" activePane="bottomRight" state="frozen"/>
      <selection pane="topRight" activeCell="D9" sqref="D9"/>
      <selection pane="bottomLeft" activeCell="D9" sqref="D9"/>
      <selection pane="bottomRight" activeCell="D21" sqref="D21"/>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12123133</v>
      </c>
      <c r="D21" s="195">
        <v>1072802</v>
      </c>
      <c r="E21" s="160">
        <v>45382</v>
      </c>
      <c r="F21" s="160">
        <v>45413</v>
      </c>
      <c r="G21" s="195">
        <v>10886608</v>
      </c>
      <c r="H21" s="159" t="s">
        <v>150</v>
      </c>
      <c r="I21" s="152" t="s">
        <v>146</v>
      </c>
      <c r="J21" s="154">
        <f>+IF(I21="West",(+VLOOKUP(E21,'Weekly OPIS Averages'!$B$15:$J$323,9,FALSE)),(+VLOOKUP(E21,'Weekly OPIS Averages'!$M$15:$U$323,9,FALSE)))</f>
        <v>4.4434166666666668</v>
      </c>
      <c r="K21" s="195">
        <v>12123133</v>
      </c>
      <c r="L21" s="195"/>
      <c r="M21" s="202">
        <f t="shared" si="1"/>
        <v>12123133</v>
      </c>
      <c r="N21" s="206"/>
      <c r="O21" s="206"/>
      <c r="P21" s="206"/>
      <c r="Q21" s="155" t="s">
        <v>187</v>
      </c>
    </row>
    <row r="22" spans="1:17" ht="30" x14ac:dyDescent="0.2">
      <c r="A22" s="145" t="s">
        <v>188</v>
      </c>
      <c r="B22" s="146">
        <v>2</v>
      </c>
      <c r="C22" s="199">
        <f t="shared" si="0"/>
        <v>4870249</v>
      </c>
      <c r="D22" s="195">
        <v>228218</v>
      </c>
      <c r="E22" s="160">
        <v>44286</v>
      </c>
      <c r="F22" s="160">
        <v>44409</v>
      </c>
      <c r="G22" s="195">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195">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195">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7453582</v>
      </c>
      <c r="D39" s="225">
        <v>49314</v>
      </c>
      <c r="E39" s="160">
        <v>45382</v>
      </c>
      <c r="F39" s="160">
        <v>45413</v>
      </c>
      <c r="G39" s="195">
        <v>6706439</v>
      </c>
      <c r="H39" s="159" t="s">
        <v>150</v>
      </c>
      <c r="I39" s="152" t="s">
        <v>146</v>
      </c>
      <c r="J39" s="154">
        <f>+IF(I39="West",(+VLOOKUP(E39,'Weekly OPIS Averages'!$B$15:$J$323,9,FALSE)),(+VLOOKUP(E39,'Weekly OPIS Averages'!$M$15:$U$323,9,FALSE)))</f>
        <v>4.4434166666666668</v>
      </c>
      <c r="K39" s="195">
        <v>7453582</v>
      </c>
      <c r="L39" s="195"/>
      <c r="M39" s="202">
        <f t="shared" si="2"/>
        <v>7453582</v>
      </c>
      <c r="N39" s="206"/>
      <c r="O39" s="206"/>
      <c r="P39" s="206"/>
      <c r="Q39" s="155" t="s">
        <v>219</v>
      </c>
    </row>
    <row r="40" spans="1:17" x14ac:dyDescent="0.2">
      <c r="A40" s="144" t="s">
        <v>220</v>
      </c>
      <c r="B40" s="146">
        <v>3</v>
      </c>
      <c r="C40" s="199">
        <f t="shared" si="0"/>
        <v>13000986</v>
      </c>
      <c r="D40" s="195">
        <v>757801</v>
      </c>
      <c r="E40" s="160">
        <v>44957</v>
      </c>
      <c r="F40" s="160">
        <v>44986</v>
      </c>
      <c r="G40" s="195">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195">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195">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472223728.5</v>
      </c>
      <c r="D76" s="140"/>
      <c r="E76" s="141"/>
      <c r="F76" s="142"/>
      <c r="G76" s="143"/>
      <c r="H76" s="143"/>
      <c r="K76" s="140">
        <f>SUM(K3:K73)</f>
        <v>471223935.5</v>
      </c>
      <c r="L76" s="171">
        <f>SUM(L3:L73)</f>
        <v>999793</v>
      </c>
      <c r="M76" s="135">
        <f t="shared" si="2"/>
        <v>472223728.5</v>
      </c>
    </row>
    <row r="77" spans="1:17" x14ac:dyDescent="0.2">
      <c r="B77" s="139"/>
      <c r="C77" s="263" t="s">
        <v>284</v>
      </c>
      <c r="D77" s="264"/>
      <c r="E77" s="170"/>
      <c r="F77" s="142"/>
      <c r="G77" s="143"/>
      <c r="H77" s="143"/>
      <c r="K77" s="165"/>
      <c r="M77" s="135"/>
    </row>
    <row r="78" spans="1:17" x14ac:dyDescent="0.2">
      <c r="B78" s="139"/>
      <c r="C78" s="265" t="s">
        <v>285</v>
      </c>
      <c r="D78" s="266"/>
      <c r="E78" s="170"/>
      <c r="F78" s="142"/>
      <c r="G78" s="143"/>
      <c r="H78" s="143"/>
      <c r="K78" s="165"/>
      <c r="M78" s="135"/>
    </row>
    <row r="79" spans="1:17" x14ac:dyDescent="0.2">
      <c r="B79" s="139"/>
      <c r="C79" s="267" t="s">
        <v>286</v>
      </c>
      <c r="D79" s="268"/>
      <c r="E79" s="170"/>
      <c r="F79" s="142"/>
      <c r="G79" s="143"/>
      <c r="H79" s="143"/>
      <c r="K79" s="165"/>
      <c r="L79" s="171">
        <f>+M76-K76</f>
        <v>999793</v>
      </c>
      <c r="M79" s="135">
        <f t="shared" si="2"/>
        <v>999793</v>
      </c>
    </row>
    <row r="80" spans="1:17" ht="15.75" thickBot="1" x14ac:dyDescent="0.25">
      <c r="B80" s="139"/>
      <c r="C80" s="269" t="s">
        <v>287</v>
      </c>
      <c r="D80" s="270"/>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0D1B914B8DCB24DA506D27284A0707B" ma:contentTypeVersion="7" ma:contentTypeDescription="" ma:contentTypeScope="" ma:versionID="1151d530795f7271d67e99cc96b4460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2024-06-11T07:00:00+00:00</OpenedDate>
    <SignificantOrder xmlns="dc463f71-b30c-4ab2-9473-d307f9d35888">false</SignificantOrder>
    <Date1 xmlns="dc463f71-b30c-4ab2-9473-d307f9d35888">2024-06-11T07:00:00+00:00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240455</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657BEBFB-FED7-4BB3-B9BD-766EEC933F88}"/>
</file>

<file path=customXml/itemProps4.xml><?xml version="1.0" encoding="utf-8"?>
<ds:datastoreItem xmlns:ds="http://schemas.openxmlformats.org/officeDocument/2006/customXml" ds:itemID="{EBF5F6C6-ABC8-4841-933D-0A48497AD3A4}"/>
</file>

<file path=customXml/itemProps5.xml><?xml version="1.0" encoding="utf-8"?>
<ds:datastoreItem xmlns:ds="http://schemas.openxmlformats.org/officeDocument/2006/customXml" ds:itemID="{665ABE1E-D44A-45A8-B581-FCA68A6B74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2024-06-11T16:33:55Z</cp:lastPrinted>
  <dcterms:created xsi:type="dcterms:W3CDTF">2005-10-11T17:22:03Z</dcterms:created>
  <dcterms:modified xsi:type="dcterms:W3CDTF">2024-06-11T16:44:16Z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0x0101006E56B4D1795A2E4DB2F0B01679ED314A0040D1B914B8DCB24DA506D27284A0707B</vt:lpwstr>
  </property>
  <property fmtid="{D5CDD505-2E9C-101B-9397-08002B2CF9AE}" pid="3" name="Category">
    <vt:lpwstr>;#Solid Waste Carriers;#</vt:lpwstr>
  </property>
  <property fmtid="{D5CDD505-2E9C-101B-9397-08002B2CF9AE}" pid="4" name="Document Type">
    <vt:lpwstr>Other Fillable Form</vt:lpwstr>
  </property>
</Properties>
</file>