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41PFG - Intervenor Funding for 2022 GRC\2024 Filing\Filed on 3-29-24 (UE-)\"/>
    </mc:Choice>
  </mc:AlternateContent>
  <xr:revisionPtr revIDLastSave="0" documentId="13_ncr:1_{CA59C2E5-463B-41C6-BDBC-3F1CBD7E161E}" xr6:coauthVersionLast="47" xr6:coauthVersionMax="47" xr10:uidLastSave="{00000000-0000-0000-0000-000000000000}"/>
  <bookViews>
    <workbookView xWindow="28515" yWindow="-16320" windowWidth="29040" windowHeight="15840" tabRatio="929" xr2:uid="{00000000-000D-0000-FFFF-FFFF00000000}"/>
  </bookViews>
  <sheets>
    <sheet name="Sch 149PFG Rates" sheetId="68" r:id="rId1"/>
    <sheet name="Lighting Rates" sheetId="69" r:id="rId2"/>
    <sheet name="Rate Impacts" sheetId="70" r:id="rId3"/>
    <sheet name="Workpapers -&gt;" sheetId="61" r:id="rId4"/>
    <sheet name="Rate Spread &amp; Design" sheetId="73" r:id="rId5"/>
    <sheet name="Lighting RD" sheetId="72" r:id="rId6"/>
    <sheet name="RevReq" sheetId="62" r:id="rId7"/>
    <sheet name="Inputs" sheetId="7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70" l="1"/>
  <c r="I44" i="70"/>
  <c r="J44" i="70"/>
  <c r="A42" i="70"/>
  <c r="A43" i="70" s="1"/>
  <c r="A44" i="70" s="1"/>
  <c r="A45" i="70" s="1"/>
  <c r="A46" i="70" s="1"/>
  <c r="A41" i="70"/>
  <c r="G44" i="70" l="1"/>
  <c r="A47" i="70" l="1"/>
  <c r="A46" i="68" l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C34" i="70"/>
  <c r="C29" i="73"/>
  <c r="B32" i="70"/>
  <c r="B27" i="73"/>
  <c r="C26" i="70"/>
  <c r="C22" i="70"/>
  <c r="C21" i="70"/>
  <c r="C15" i="73"/>
  <c r="B15" i="73"/>
  <c r="B14" i="70"/>
  <c r="B10" i="70"/>
  <c r="B10" i="73" s="1"/>
  <c r="B28" i="70"/>
  <c r="B25" i="70"/>
  <c r="B23" i="70"/>
  <c r="B19" i="70"/>
  <c r="B17" i="70"/>
  <c r="B12" i="70"/>
  <c r="A13" i="70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14" i="73"/>
  <c r="A15" i="73" s="1"/>
  <c r="A16" i="73" s="1"/>
  <c r="A17" i="73" s="1"/>
  <c r="A18" i="73" s="1"/>
  <c r="A19" i="73" s="1"/>
  <c r="A20" i="73" s="1"/>
  <c r="A21" i="73" s="1"/>
  <c r="A22" i="73" s="1"/>
  <c r="B13" i="73"/>
  <c r="B16" i="73"/>
  <c r="B19" i="73"/>
  <c r="C20" i="70"/>
  <c r="B23" i="73"/>
  <c r="B18" i="73"/>
  <c r="B12" i="73"/>
  <c r="B14" i="73" l="1"/>
  <c r="B13" i="70"/>
  <c r="B15" i="70"/>
  <c r="B16" i="70"/>
  <c r="B20" i="70"/>
  <c r="B30" i="70"/>
  <c r="C16" i="70"/>
  <c r="C25" i="73"/>
  <c r="B31" i="73"/>
  <c r="C31" i="73"/>
  <c r="C19" i="73"/>
  <c r="C16" i="73"/>
  <c r="C15" i="70"/>
  <c r="C32" i="70"/>
  <c r="C24" i="73"/>
  <c r="C20" i="73"/>
  <c r="C21" i="73"/>
  <c r="B25" i="73" l="1"/>
  <c r="B27" i="70"/>
  <c r="B33" i="73"/>
  <c r="B36" i="70"/>
  <c r="B24" i="73"/>
  <c r="B26" i="70"/>
  <c r="B21" i="73"/>
  <c r="B22" i="70"/>
  <c r="C27" i="70"/>
  <c r="B20" i="73"/>
  <c r="B21" i="70"/>
  <c r="C13" i="70"/>
  <c r="C13" i="73"/>
  <c r="C36" i="70"/>
  <c r="C33" i="73"/>
  <c r="D52" i="73" l="1"/>
  <c r="E47" i="73" s="1"/>
  <c r="E46" i="73" l="1"/>
  <c r="E51" i="73"/>
  <c r="E50" i="73"/>
  <c r="E49" i="73"/>
  <c r="E48" i="73"/>
  <c r="E52" i="73" l="1"/>
  <c r="E148" i="69" l="1"/>
  <c r="E127" i="69"/>
  <c r="G21" i="70" l="1"/>
  <c r="G10" i="70"/>
  <c r="G22" i="70"/>
  <c r="G30" i="70"/>
  <c r="G32" i="70"/>
  <c r="G34" i="70"/>
  <c r="G36" i="70"/>
  <c r="G13" i="70"/>
  <c r="G16" i="70"/>
  <c r="G15" i="70"/>
  <c r="G20" i="70"/>
  <c r="G26" i="70"/>
  <c r="G14" i="70"/>
  <c r="G27" i="70"/>
  <c r="M17" i="62" l="1"/>
  <c r="H17" i="62"/>
  <c r="A39" i="62"/>
  <c r="A38" i="62"/>
  <c r="A37" i="62"/>
  <c r="A36" i="62"/>
  <c r="A35" i="62"/>
  <c r="A34" i="62"/>
  <c r="A33" i="62"/>
  <c r="A32" i="62"/>
  <c r="A31" i="62"/>
  <c r="A30" i="62"/>
  <c r="A29" i="62"/>
  <c r="A28" i="62"/>
  <c r="A27" i="62"/>
  <c r="A26" i="62"/>
  <c r="A25" i="62"/>
  <c r="A24" i="62"/>
  <c r="A23" i="62"/>
  <c r="A22" i="62"/>
  <c r="A21" i="62"/>
  <c r="A20" i="62"/>
  <c r="A19" i="62"/>
  <c r="A18" i="62"/>
  <c r="A17" i="62"/>
  <c r="A16" i="62"/>
  <c r="A15" i="62"/>
  <c r="A14" i="62"/>
  <c r="A13" i="62"/>
  <c r="A12" i="62"/>
  <c r="A11" i="62"/>
  <c r="A10" i="62"/>
  <c r="A9" i="62"/>
  <c r="A8" i="62"/>
  <c r="A7" i="62"/>
  <c r="A6" i="62"/>
  <c r="A5" i="62"/>
  <c r="J14" i="62"/>
  <c r="A4" i="62"/>
  <c r="F19" i="62"/>
  <c r="A3" i="62"/>
  <c r="A2" i="62"/>
  <c r="E103" i="69"/>
  <c r="E60" i="69"/>
  <c r="E32" i="69"/>
  <c r="E18" i="69"/>
  <c r="G28" i="68"/>
  <c r="G27" i="68"/>
  <c r="G8" i="62" l="1"/>
  <c r="F18" i="62"/>
  <c r="J18" i="62"/>
  <c r="K8" i="62"/>
  <c r="K6" i="62"/>
  <c r="L35" i="62"/>
  <c r="E19" i="62"/>
  <c r="K19" i="62"/>
  <c r="O17" i="62"/>
  <c r="Q17" i="62" s="1"/>
  <c r="S17" i="62" s="1"/>
  <c r="G6" i="62"/>
  <c r="G15" i="62"/>
  <c r="F13" i="62"/>
  <c r="F14" i="62"/>
  <c r="F12" i="62"/>
  <c r="F10" i="62"/>
  <c r="F8" i="62"/>
  <c r="F6" i="62"/>
  <c r="H5" i="62"/>
  <c r="F15" i="62"/>
  <c r="F11" i="62"/>
  <c r="F9" i="62"/>
  <c r="F7" i="62"/>
  <c r="L14" i="62"/>
  <c r="L12" i="62"/>
  <c r="L10" i="62"/>
  <c r="L8" i="62"/>
  <c r="L6" i="62"/>
  <c r="M5" i="62"/>
  <c r="L15" i="62"/>
  <c r="L13" i="62"/>
  <c r="L7" i="62"/>
  <c r="L11" i="62"/>
  <c r="L9" i="62"/>
  <c r="F25" i="62"/>
  <c r="K24" i="62"/>
  <c r="F23" i="62"/>
  <c r="K22" i="62"/>
  <c r="F21" i="62"/>
  <c r="K20" i="62"/>
  <c r="K35" i="62"/>
  <c r="F34" i="62"/>
  <c r="K33" i="62"/>
  <c r="F32" i="62"/>
  <c r="E25" i="62"/>
  <c r="J24" i="62"/>
  <c r="E23" i="62"/>
  <c r="G24" i="62"/>
  <c r="G22" i="62"/>
  <c r="K25" i="62"/>
  <c r="F24" i="62"/>
  <c r="F22" i="62"/>
  <c r="F20" i="62"/>
  <c r="G12" i="62"/>
  <c r="G10" i="62"/>
  <c r="G20" i="62"/>
  <c r="K23" i="62"/>
  <c r="K21" i="62"/>
  <c r="G14" i="62"/>
  <c r="G35" i="62"/>
  <c r="L34" i="62"/>
  <c r="G33" i="62"/>
  <c r="L32" i="62"/>
  <c r="F35" i="62"/>
  <c r="K34" i="62"/>
  <c r="F33" i="62"/>
  <c r="K32" i="62"/>
  <c r="J25" i="62"/>
  <c r="E24" i="62"/>
  <c r="J23" i="62"/>
  <c r="E22" i="62"/>
  <c r="J21" i="62"/>
  <c r="E20" i="62"/>
  <c r="G25" i="62"/>
  <c r="G23" i="62"/>
  <c r="G21" i="62"/>
  <c r="J22" i="62"/>
  <c r="E21" i="62"/>
  <c r="J20" i="62"/>
  <c r="K14" i="62"/>
  <c r="K12" i="62"/>
  <c r="K10" i="62"/>
  <c r="E15" i="62"/>
  <c r="J35" i="62"/>
  <c r="L18" i="62"/>
  <c r="G19" i="62"/>
  <c r="L20" i="62"/>
  <c r="L22" i="62"/>
  <c r="L24" i="62"/>
  <c r="M31" i="62"/>
  <c r="E6" i="62"/>
  <c r="J7" i="62"/>
  <c r="E8" i="62"/>
  <c r="J9" i="62"/>
  <c r="E10" i="62"/>
  <c r="J11" i="62"/>
  <c r="E12" i="62"/>
  <c r="J13" i="62"/>
  <c r="E14" i="62"/>
  <c r="J15" i="62"/>
  <c r="J32" i="62"/>
  <c r="E33" i="62"/>
  <c r="J34" i="62"/>
  <c r="E35" i="62"/>
  <c r="K7" i="62"/>
  <c r="K9" i="62"/>
  <c r="K11" i="62"/>
  <c r="K13" i="62"/>
  <c r="K15" i="62"/>
  <c r="E18" i="62"/>
  <c r="J19" i="62"/>
  <c r="G18" i="62"/>
  <c r="L19" i="62"/>
  <c r="L21" i="62"/>
  <c r="L23" i="62"/>
  <c r="L25" i="62"/>
  <c r="J6" i="62"/>
  <c r="E7" i="62"/>
  <c r="J8" i="62"/>
  <c r="E9" i="62"/>
  <c r="J10" i="62"/>
  <c r="E11" i="62"/>
  <c r="J12" i="62"/>
  <c r="E13" i="62"/>
  <c r="H31" i="62"/>
  <c r="E32" i="62"/>
  <c r="J33" i="62"/>
  <c r="E34" i="62"/>
  <c r="G7" i="62"/>
  <c r="G9" i="62"/>
  <c r="G11" i="62"/>
  <c r="G13" i="62"/>
  <c r="K18" i="62"/>
  <c r="G32" i="62"/>
  <c r="L33" i="62"/>
  <c r="G34" i="62"/>
  <c r="M35" i="62" l="1"/>
  <c r="M18" i="62"/>
  <c r="M12" i="62"/>
  <c r="K36" i="62"/>
  <c r="M25" i="62"/>
  <c r="G26" i="62"/>
  <c r="H35" i="62"/>
  <c r="P35" i="62" s="1"/>
  <c r="Q35" i="62" s="1"/>
  <c r="S35" i="62" s="1"/>
  <c r="M33" i="62"/>
  <c r="P33" i="62" s="1"/>
  <c r="Q33" i="62" s="1"/>
  <c r="S33" i="62" s="1"/>
  <c r="H33" i="62"/>
  <c r="H19" i="62"/>
  <c r="M10" i="62"/>
  <c r="M22" i="62"/>
  <c r="L36" i="62"/>
  <c r="O31" i="62"/>
  <c r="Q31" i="62" s="1"/>
  <c r="G36" i="62"/>
  <c r="G38" i="62" s="1"/>
  <c r="G39" i="62" s="1"/>
  <c r="C40" i="73" s="1"/>
  <c r="E36" i="62"/>
  <c r="M20" i="62"/>
  <c r="M23" i="62"/>
  <c r="L26" i="62"/>
  <c r="H22" i="62"/>
  <c r="H23" i="62"/>
  <c r="H24" i="62"/>
  <c r="H25" i="62"/>
  <c r="P25" i="62" s="1"/>
  <c r="Q25" i="62" s="1"/>
  <c r="S25" i="62" s="1"/>
  <c r="O5" i="62"/>
  <c r="Q5" i="62" s="1"/>
  <c r="S5" i="62" s="1"/>
  <c r="K26" i="62"/>
  <c r="M8" i="62"/>
  <c r="M14" i="62"/>
  <c r="M13" i="62"/>
  <c r="M11" i="62"/>
  <c r="H13" i="62"/>
  <c r="P13" i="62" s="1"/>
  <c r="Q13" i="62" s="1"/>
  <c r="S13" i="62" s="1"/>
  <c r="H6" i="62"/>
  <c r="H11" i="62"/>
  <c r="P11" i="62" s="1"/>
  <c r="Q11" i="62" s="1"/>
  <c r="S11" i="62" s="1"/>
  <c r="H15" i="62"/>
  <c r="H14" i="62"/>
  <c r="H12" i="62"/>
  <c r="P12" i="62" s="1"/>
  <c r="Q12" i="62" s="1"/>
  <c r="S12" i="62" s="1"/>
  <c r="H9" i="62"/>
  <c r="F26" i="62"/>
  <c r="H34" i="62"/>
  <c r="H21" i="62"/>
  <c r="P21" i="62" s="1"/>
  <c r="Q21" i="62" s="1"/>
  <c r="S21" i="62" s="1"/>
  <c r="M24" i="62"/>
  <c r="P24" i="62" s="1"/>
  <c r="Q24" i="62" s="1"/>
  <c r="S24" i="62" s="1"/>
  <c r="J36" i="62"/>
  <c r="M19" i="62"/>
  <c r="F36" i="62"/>
  <c r="M34" i="62"/>
  <c r="H32" i="62"/>
  <c r="H18" i="62"/>
  <c r="P18" i="62" s="1"/>
  <c r="Q18" i="62" s="1"/>
  <c r="S18" i="62" s="1"/>
  <c r="M32" i="62"/>
  <c r="H8" i="62"/>
  <c r="H20" i="62"/>
  <c r="E26" i="62"/>
  <c r="H7" i="62"/>
  <c r="J26" i="62"/>
  <c r="M6" i="62"/>
  <c r="H10" i="62"/>
  <c r="P10" i="62" s="1"/>
  <c r="Q10" i="62" s="1"/>
  <c r="S10" i="62" s="1"/>
  <c r="M9" i="62"/>
  <c r="M15" i="62"/>
  <c r="M7" i="62"/>
  <c r="M21" i="62"/>
  <c r="D7" i="73"/>
  <c r="P6" i="62" l="1"/>
  <c r="O36" i="62"/>
  <c r="P9" i="62"/>
  <c r="Q9" i="62" s="1"/>
  <c r="S9" i="62" s="1"/>
  <c r="K38" i="62"/>
  <c r="K39" i="62" s="1"/>
  <c r="O26" i="62"/>
  <c r="P20" i="62"/>
  <c r="Q20" i="62" s="1"/>
  <c r="S20" i="62" s="1"/>
  <c r="P14" i="62"/>
  <c r="Q14" i="62" s="1"/>
  <c r="S14" i="62" s="1"/>
  <c r="H36" i="62"/>
  <c r="P8" i="62"/>
  <c r="Q8" i="62" s="1"/>
  <c r="S8" i="62" s="1"/>
  <c r="P19" i="62"/>
  <c r="Q19" i="62" s="1"/>
  <c r="S19" i="62" s="1"/>
  <c r="P22" i="62"/>
  <c r="Q22" i="62" s="1"/>
  <c r="S22" i="62" s="1"/>
  <c r="M36" i="62"/>
  <c r="L38" i="62"/>
  <c r="L39" i="62" s="1"/>
  <c r="P23" i="62"/>
  <c r="Q23" i="62" s="1"/>
  <c r="S23" i="62" s="1"/>
  <c r="P15" i="62"/>
  <c r="Q15" i="62" s="1"/>
  <c r="S15" i="62" s="1"/>
  <c r="F38" i="62"/>
  <c r="F39" i="62" s="1"/>
  <c r="C39" i="73" s="1"/>
  <c r="H14" i="73" s="1"/>
  <c r="Q6" i="62"/>
  <c r="S6" i="62" s="1"/>
  <c r="J38" i="62"/>
  <c r="M26" i="62"/>
  <c r="S31" i="62"/>
  <c r="P7" i="62"/>
  <c r="Q7" i="62" s="1"/>
  <c r="S7" i="62" s="1"/>
  <c r="O38" i="62"/>
  <c r="P34" i="62"/>
  <c r="Q34" i="62" s="1"/>
  <c r="S34" i="62" s="1"/>
  <c r="H26" i="62"/>
  <c r="E38" i="62"/>
  <c r="P32" i="62"/>
  <c r="H15" i="73" l="1"/>
  <c r="H19" i="73"/>
  <c r="H13" i="73"/>
  <c r="H24" i="73"/>
  <c r="H25" i="73"/>
  <c r="P26" i="62"/>
  <c r="Q26" i="62" s="1"/>
  <c r="P36" i="62"/>
  <c r="Q32" i="62"/>
  <c r="H38" i="62"/>
  <c r="H39" i="62" s="1"/>
  <c r="E39" i="62"/>
  <c r="C38" i="73" s="1"/>
  <c r="J39" i="62"/>
  <c r="M38" i="62"/>
  <c r="M39" i="62" s="1"/>
  <c r="E150" i="69"/>
  <c r="E151" i="69"/>
  <c r="E152" i="69"/>
  <c r="E153" i="69"/>
  <c r="E154" i="69"/>
  <c r="E155" i="69"/>
  <c r="E156" i="69"/>
  <c r="E157" i="69"/>
  <c r="E158" i="69"/>
  <c r="E159" i="69"/>
  <c r="E160" i="69"/>
  <c r="E161" i="69"/>
  <c r="E162" i="69"/>
  <c r="E163" i="69"/>
  <c r="E149" i="69"/>
  <c r="E146" i="69"/>
  <c r="E145" i="69"/>
  <c r="E143" i="69"/>
  <c r="E142" i="69"/>
  <c r="E141" i="69"/>
  <c r="E140" i="69"/>
  <c r="E138" i="69"/>
  <c r="E137" i="69"/>
  <c r="E136" i="69"/>
  <c r="E135" i="69"/>
  <c r="E134" i="69"/>
  <c r="E129" i="69"/>
  <c r="E130" i="69"/>
  <c r="E131" i="69"/>
  <c r="E132" i="69"/>
  <c r="E128" i="69"/>
  <c r="E124" i="69"/>
  <c r="E121" i="69"/>
  <c r="E120" i="69"/>
  <c r="E119" i="69"/>
  <c r="E118" i="69"/>
  <c r="E117" i="69"/>
  <c r="E116" i="69"/>
  <c r="E115" i="69"/>
  <c r="E114" i="69"/>
  <c r="E113" i="69"/>
  <c r="E112" i="69"/>
  <c r="E110" i="69"/>
  <c r="E105" i="69"/>
  <c r="E106" i="69"/>
  <c r="E107" i="69"/>
  <c r="E108" i="69"/>
  <c r="E104" i="69"/>
  <c r="E89" i="69"/>
  <c r="E88" i="69"/>
  <c r="E87" i="69"/>
  <c r="E86" i="69"/>
  <c r="E85" i="69"/>
  <c r="E84" i="69"/>
  <c r="E83" i="69"/>
  <c r="E82" i="69"/>
  <c r="E81" i="69"/>
  <c r="E62" i="69"/>
  <c r="E63" i="69"/>
  <c r="E64" i="69"/>
  <c r="E65" i="69"/>
  <c r="E61" i="69"/>
  <c r="E58" i="69"/>
  <c r="E57" i="69"/>
  <c r="E56" i="69"/>
  <c r="E55" i="69"/>
  <c r="E54" i="69"/>
  <c r="E53" i="69"/>
  <c r="E52" i="69"/>
  <c r="E51" i="69"/>
  <c r="E50" i="69"/>
  <c r="E47" i="69"/>
  <c r="E46" i="69"/>
  <c r="E45" i="69"/>
  <c r="E44" i="69"/>
  <c r="E43" i="69"/>
  <c r="E42" i="69"/>
  <c r="E41" i="69"/>
  <c r="E34" i="69"/>
  <c r="E35" i="69"/>
  <c r="E36" i="69"/>
  <c r="E37" i="69"/>
  <c r="E38" i="69"/>
  <c r="E39" i="69"/>
  <c r="E33" i="69"/>
  <c r="E100" i="69"/>
  <c r="E99" i="69"/>
  <c r="E98" i="69"/>
  <c r="E97" i="69"/>
  <c r="E96" i="69"/>
  <c r="E95" i="69"/>
  <c r="E94" i="69"/>
  <c r="E93" i="69"/>
  <c r="E92" i="69"/>
  <c r="E91" i="69"/>
  <c r="E78" i="69"/>
  <c r="E76" i="69"/>
  <c r="E75" i="69"/>
  <c r="E74" i="69"/>
  <c r="E73" i="69"/>
  <c r="E72" i="69"/>
  <c r="E71" i="69"/>
  <c r="E70" i="69"/>
  <c r="E69" i="69"/>
  <c r="E68" i="69"/>
  <c r="E67" i="69"/>
  <c r="E29" i="69"/>
  <c r="E20" i="69"/>
  <c r="E21" i="69"/>
  <c r="E22" i="69"/>
  <c r="E23" i="69"/>
  <c r="E24" i="69"/>
  <c r="E25" i="69"/>
  <c r="E26" i="69"/>
  <c r="E27" i="69"/>
  <c r="E19" i="69"/>
  <c r="E13" i="69"/>
  <c r="E14" i="69"/>
  <c r="E15" i="69"/>
  <c r="E12" i="69"/>
  <c r="G32" i="68"/>
  <c r="G31" i="68"/>
  <c r="H35" i="73" l="1"/>
  <c r="H42" i="73" s="1"/>
  <c r="C41" i="73"/>
  <c r="C42" i="73" s="1"/>
  <c r="G10" i="73"/>
  <c r="P38" i="62"/>
  <c r="S26" i="62"/>
  <c r="S32" i="62"/>
  <c r="Q36" i="62"/>
  <c r="S36" i="62" s="1"/>
  <c r="G23" i="68"/>
  <c r="G22" i="68"/>
  <c r="G21" i="68"/>
  <c r="G15" i="68"/>
  <c r="G16" i="68"/>
  <c r="G17" i="68"/>
  <c r="G14" i="68"/>
  <c r="G35" i="73" l="1"/>
  <c r="G42" i="73" s="1"/>
  <c r="Q38" i="62"/>
  <c r="S38" i="62" s="1"/>
  <c r="A4" i="70"/>
  <c r="A2" i="70"/>
  <c r="A2" i="73" s="1"/>
  <c r="A3" i="70"/>
  <c r="A1" i="70"/>
  <c r="A1" i="73" s="1"/>
  <c r="A2" i="69"/>
  <c r="A3" i="69"/>
  <c r="A4" i="69"/>
  <c r="A1" i="69"/>
  <c r="A3" i="72"/>
  <c r="A2" i="72"/>
  <c r="A1" i="72"/>
  <c r="A3" i="73"/>
  <c r="A4" i="73"/>
  <c r="A9" i="73"/>
  <c r="A10" i="73" s="1"/>
  <c r="A11" i="73" s="1"/>
  <c r="A12" i="73" s="1"/>
  <c r="A13" i="73" s="1"/>
  <c r="A4" i="72"/>
  <c r="A10" i="72"/>
  <c r="A11" i="72"/>
  <c r="F11" i="72"/>
  <c r="A12" i="72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A48" i="72" s="1"/>
  <c r="A49" i="72" s="1"/>
  <c r="A50" i="72" s="1"/>
  <c r="A51" i="72" s="1"/>
  <c r="A52" i="72" s="1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A71" i="72" s="1"/>
  <c r="A72" i="72" s="1"/>
  <c r="A73" i="72" s="1"/>
  <c r="A74" i="72" s="1"/>
  <c r="A75" i="72" s="1"/>
  <c r="A76" i="72" s="1"/>
  <c r="A77" i="72" s="1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A94" i="72" s="1"/>
  <c r="A95" i="72" s="1"/>
  <c r="A96" i="72" s="1"/>
  <c r="A97" i="72" s="1"/>
  <c r="A98" i="72" s="1"/>
  <c r="A99" i="72" s="1"/>
  <c r="A100" i="72" s="1"/>
  <c r="A101" i="72" s="1"/>
  <c r="A102" i="72" s="1"/>
  <c r="A103" i="72" s="1"/>
  <c r="A104" i="72" s="1"/>
  <c r="A105" i="72" s="1"/>
  <c r="A106" i="72" s="1"/>
  <c r="A107" i="72" s="1"/>
  <c r="A108" i="72" s="1"/>
  <c r="A109" i="72" s="1"/>
  <c r="A110" i="72" s="1"/>
  <c r="A111" i="72" s="1"/>
  <c r="A112" i="72" s="1"/>
  <c r="A113" i="72" s="1"/>
  <c r="A114" i="72" s="1"/>
  <c r="A115" i="72" s="1"/>
  <c r="A116" i="72" s="1"/>
  <c r="A117" i="72" s="1"/>
  <c r="A118" i="72" s="1"/>
  <c r="A119" i="72" s="1"/>
  <c r="A120" i="72" s="1"/>
  <c r="A121" i="72" s="1"/>
  <c r="A122" i="72" s="1"/>
  <c r="A123" i="72" s="1"/>
  <c r="A124" i="72" s="1"/>
  <c r="A125" i="72" s="1"/>
  <c r="A126" i="72" s="1"/>
  <c r="A127" i="72" s="1"/>
  <c r="A128" i="72" s="1"/>
  <c r="A129" i="72" s="1"/>
  <c r="A130" i="72" s="1"/>
  <c r="A131" i="72" s="1"/>
  <c r="A132" i="72" s="1"/>
  <c r="A133" i="72" s="1"/>
  <c r="A134" i="72" s="1"/>
  <c r="A135" i="72" s="1"/>
  <c r="A136" i="72" s="1"/>
  <c r="A137" i="72" s="1"/>
  <c r="A138" i="72" s="1"/>
  <c r="A139" i="72" s="1"/>
  <c r="A140" i="72" s="1"/>
  <c r="A141" i="72" s="1"/>
  <c r="A142" i="72" s="1"/>
  <c r="A143" i="72" s="1"/>
  <c r="A144" i="72" s="1"/>
  <c r="A145" i="72" s="1"/>
  <c r="A146" i="72" s="1"/>
  <c r="A147" i="72" s="1"/>
  <c r="A148" i="72" s="1"/>
  <c r="A149" i="72" s="1"/>
  <c r="A150" i="72" s="1"/>
  <c r="A151" i="72" s="1"/>
  <c r="A152" i="72" s="1"/>
  <c r="A153" i="72" s="1"/>
  <c r="A154" i="72" s="1"/>
  <c r="A155" i="72" s="1"/>
  <c r="A156" i="72" s="1"/>
  <c r="A157" i="72" s="1"/>
  <c r="A158" i="72" s="1"/>
  <c r="A159" i="72" s="1"/>
  <c r="A160" i="72" s="1"/>
  <c r="A161" i="72" s="1"/>
  <c r="A162" i="72" s="1"/>
  <c r="A163" i="72" s="1"/>
  <c r="A164" i="72" s="1"/>
  <c r="A165" i="72" s="1"/>
  <c r="A166" i="72" s="1"/>
  <c r="A167" i="72" s="1"/>
  <c r="A168" i="72" s="1"/>
  <c r="A169" i="72" s="1"/>
  <c r="A170" i="72" s="1"/>
  <c r="F13" i="72"/>
  <c r="B14" i="72"/>
  <c r="F14" i="72"/>
  <c r="B15" i="72"/>
  <c r="B16" i="72" s="1"/>
  <c r="F15" i="72"/>
  <c r="F16" i="72"/>
  <c r="F19" i="72"/>
  <c r="F20" i="72"/>
  <c r="F21" i="72"/>
  <c r="F23" i="72"/>
  <c r="F24" i="72"/>
  <c r="F26" i="72"/>
  <c r="F27" i="72"/>
  <c r="F28" i="72"/>
  <c r="F29" i="72"/>
  <c r="B33" i="72"/>
  <c r="F33" i="72"/>
  <c r="B34" i="72"/>
  <c r="B35" i="72" s="1"/>
  <c r="B36" i="72" s="1"/>
  <c r="F35" i="72"/>
  <c r="F36" i="72"/>
  <c r="F37" i="72"/>
  <c r="F39" i="72"/>
  <c r="F41" i="72"/>
  <c r="F42" i="72"/>
  <c r="F43" i="72"/>
  <c r="F44" i="72"/>
  <c r="C45" i="72"/>
  <c r="C46" i="72" s="1"/>
  <c r="C47" i="72" s="1"/>
  <c r="F45" i="72"/>
  <c r="F46" i="72"/>
  <c r="F47" i="72"/>
  <c r="F50" i="72"/>
  <c r="B51" i="72"/>
  <c r="F51" i="72"/>
  <c r="B52" i="72"/>
  <c r="B53" i="72" s="1"/>
  <c r="B54" i="72" s="1"/>
  <c r="B55" i="72" s="1"/>
  <c r="B56" i="72" s="1"/>
  <c r="B57" i="72" s="1"/>
  <c r="B58" i="72" s="1"/>
  <c r="B60" i="72" s="1"/>
  <c r="B61" i="72" s="1"/>
  <c r="B62" i="72" s="1"/>
  <c r="B63" i="72" s="1"/>
  <c r="B64" i="72" s="1"/>
  <c r="F52" i="72"/>
  <c r="F53" i="72"/>
  <c r="F54" i="72"/>
  <c r="F55" i="72"/>
  <c r="F56" i="72"/>
  <c r="F57" i="72"/>
  <c r="F60" i="72"/>
  <c r="F61" i="72"/>
  <c r="F64" i="72"/>
  <c r="F67" i="72"/>
  <c r="F68" i="72"/>
  <c r="F69" i="72"/>
  <c r="F70" i="72"/>
  <c r="F71" i="72"/>
  <c r="F72" i="72"/>
  <c r="F73" i="72"/>
  <c r="F74" i="72"/>
  <c r="F75" i="72"/>
  <c r="F76" i="72"/>
  <c r="F77" i="72"/>
  <c r="F80" i="72"/>
  <c r="B81" i="72"/>
  <c r="F81" i="72"/>
  <c r="B82" i="72"/>
  <c r="B83" i="72" s="1"/>
  <c r="B84" i="72" s="1"/>
  <c r="B85" i="72" s="1"/>
  <c r="B86" i="72" s="1"/>
  <c r="B87" i="72" s="1"/>
  <c r="F82" i="72"/>
  <c r="F83" i="72"/>
  <c r="F84" i="72"/>
  <c r="F85" i="72"/>
  <c r="F86" i="72"/>
  <c r="F87" i="72"/>
  <c r="F90" i="72"/>
  <c r="F91" i="72"/>
  <c r="F92" i="72"/>
  <c r="F93" i="72"/>
  <c r="F94" i="72"/>
  <c r="F97" i="72"/>
  <c r="F98" i="72"/>
  <c r="F102" i="72"/>
  <c r="B103" i="72"/>
  <c r="B104" i="72" s="1"/>
  <c r="B105" i="72" s="1"/>
  <c r="B106" i="72" s="1"/>
  <c r="B107" i="72" s="1"/>
  <c r="B109" i="72" s="1"/>
  <c r="F103" i="72"/>
  <c r="F104" i="72"/>
  <c r="F105" i="72"/>
  <c r="F107" i="72"/>
  <c r="F109" i="72"/>
  <c r="F112" i="72"/>
  <c r="F113" i="72"/>
  <c r="F114" i="72"/>
  <c r="F118" i="72"/>
  <c r="F120" i="72"/>
  <c r="F123" i="72"/>
  <c r="F126" i="72"/>
  <c r="B127" i="72"/>
  <c r="B128" i="72" s="1"/>
  <c r="F127" i="72"/>
  <c r="F128" i="72"/>
  <c r="B129" i="72"/>
  <c r="B130" i="72" s="1"/>
  <c r="B131" i="72" s="1"/>
  <c r="F129" i="72"/>
  <c r="F130" i="72"/>
  <c r="F133" i="72"/>
  <c r="B134" i="72"/>
  <c r="F134" i="72"/>
  <c r="B135" i="72"/>
  <c r="B136" i="72" s="1"/>
  <c r="F136" i="72"/>
  <c r="B137" i="72"/>
  <c r="B139" i="72"/>
  <c r="B140" i="72" s="1"/>
  <c r="F139" i="72"/>
  <c r="B141" i="72"/>
  <c r="B142" i="72" s="1"/>
  <c r="F141" i="72"/>
  <c r="F142" i="72"/>
  <c r="B144" i="72"/>
  <c r="B145" i="72" s="1"/>
  <c r="F145" i="72"/>
  <c r="F147" i="72"/>
  <c r="B149" i="72"/>
  <c r="F149" i="72"/>
  <c r="B150" i="72"/>
  <c r="B151" i="72" s="1"/>
  <c r="B152" i="72" s="1"/>
  <c r="B153" i="72" s="1"/>
  <c r="B154" i="72" s="1"/>
  <c r="B155" i="72" s="1"/>
  <c r="B156" i="72" s="1"/>
  <c r="B157" i="72" s="1"/>
  <c r="B158" i="72" s="1"/>
  <c r="B159" i="72" s="1"/>
  <c r="B160" i="72" s="1"/>
  <c r="B161" i="72" s="1"/>
  <c r="B162" i="72" s="1"/>
  <c r="F151" i="72"/>
  <c r="F154" i="72"/>
  <c r="F158" i="72"/>
  <c r="F159" i="72"/>
  <c r="F162" i="72"/>
  <c r="A10" i="70"/>
  <c r="A11" i="70" s="1"/>
  <c r="A12" i="70" s="1"/>
  <c r="A27" i="70" s="1"/>
  <c r="A28" i="70" s="1"/>
  <c r="A29" i="70" s="1"/>
  <c r="A30" i="70" s="1"/>
  <c r="A31" i="70" s="1"/>
  <c r="A32" i="70" s="1"/>
  <c r="A33" i="70" s="1"/>
  <c r="A34" i="70" s="1"/>
  <c r="A35" i="70" s="1"/>
  <c r="A9" i="69"/>
  <c r="A10" i="69" s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A47" i="69" s="1"/>
  <c r="A48" i="69" s="1"/>
  <c r="A49" i="69" s="1"/>
  <c r="A50" i="69" s="1"/>
  <c r="A51" i="69" s="1"/>
  <c r="A52" i="69" s="1"/>
  <c r="A53" i="69" s="1"/>
  <c r="A54" i="69" s="1"/>
  <c r="A55" i="69" s="1"/>
  <c r="A56" i="69" s="1"/>
  <c r="A57" i="69" s="1"/>
  <c r="A58" i="69" s="1"/>
  <c r="A59" i="69" s="1"/>
  <c r="A60" i="69" s="1"/>
  <c r="A61" i="69" s="1"/>
  <c r="A62" i="69" s="1"/>
  <c r="A63" i="69" s="1"/>
  <c r="A64" i="69" s="1"/>
  <c r="A65" i="69" s="1"/>
  <c r="A66" i="69" s="1"/>
  <c r="A67" i="69" s="1"/>
  <c r="A68" i="69" s="1"/>
  <c r="A69" i="69" s="1"/>
  <c r="A70" i="69" s="1"/>
  <c r="A71" i="69" s="1"/>
  <c r="A72" i="69" s="1"/>
  <c r="A73" i="69" s="1"/>
  <c r="A74" i="69" s="1"/>
  <c r="A75" i="69" s="1"/>
  <c r="A76" i="69" s="1"/>
  <c r="A77" i="69" s="1"/>
  <c r="A78" i="69" s="1"/>
  <c r="A79" i="69" s="1"/>
  <c r="A80" i="69" s="1"/>
  <c r="A81" i="69" s="1"/>
  <c r="A82" i="69" s="1"/>
  <c r="A83" i="69" s="1"/>
  <c r="A84" i="69" s="1"/>
  <c r="A85" i="69" s="1"/>
  <c r="A86" i="69" s="1"/>
  <c r="A87" i="69" s="1"/>
  <c r="A88" i="69" s="1"/>
  <c r="A89" i="69" s="1"/>
  <c r="A90" i="69" s="1"/>
  <c r="A91" i="69" s="1"/>
  <c r="A92" i="69" s="1"/>
  <c r="A93" i="69" s="1"/>
  <c r="A94" i="69" s="1"/>
  <c r="A95" i="69" s="1"/>
  <c r="A96" i="69" s="1"/>
  <c r="A97" i="69" s="1"/>
  <c r="A98" i="69" s="1"/>
  <c r="A99" i="69" s="1"/>
  <c r="A100" i="69" s="1"/>
  <c r="A101" i="69" s="1"/>
  <c r="A102" i="69" s="1"/>
  <c r="A103" i="69" s="1"/>
  <c r="A104" i="69" s="1"/>
  <c r="A105" i="69" s="1"/>
  <c r="A106" i="69" s="1"/>
  <c r="A107" i="69" s="1"/>
  <c r="A108" i="69" s="1"/>
  <c r="A109" i="69" s="1"/>
  <c r="A110" i="69" s="1"/>
  <c r="A111" i="69" s="1"/>
  <c r="A112" i="69" s="1"/>
  <c r="A113" i="69" s="1"/>
  <c r="A114" i="69" s="1"/>
  <c r="A115" i="69" s="1"/>
  <c r="A116" i="69" s="1"/>
  <c r="A117" i="69" s="1"/>
  <c r="A118" i="69" s="1"/>
  <c r="A119" i="69" s="1"/>
  <c r="A120" i="69" s="1"/>
  <c r="A121" i="69" s="1"/>
  <c r="A122" i="69" s="1"/>
  <c r="A123" i="69" s="1"/>
  <c r="A124" i="69" s="1"/>
  <c r="A125" i="69" s="1"/>
  <c r="A126" i="69" s="1"/>
  <c r="A127" i="69" s="1"/>
  <c r="A128" i="69" s="1"/>
  <c r="A129" i="69" s="1"/>
  <c r="A130" i="69" s="1"/>
  <c r="A131" i="69" s="1"/>
  <c r="A132" i="69" s="1"/>
  <c r="A133" i="69" s="1"/>
  <c r="A134" i="69" s="1"/>
  <c r="A135" i="69" s="1"/>
  <c r="A136" i="69" s="1"/>
  <c r="A137" i="69" s="1"/>
  <c r="A138" i="69" s="1"/>
  <c r="A139" i="69" s="1"/>
  <c r="A140" i="69" s="1"/>
  <c r="A141" i="69" s="1"/>
  <c r="A142" i="69" s="1"/>
  <c r="A143" i="69" s="1"/>
  <c r="A144" i="69" s="1"/>
  <c r="A145" i="69" s="1"/>
  <c r="A146" i="69" s="1"/>
  <c r="A147" i="69" s="1"/>
  <c r="A148" i="69" s="1"/>
  <c r="A149" i="69" s="1"/>
  <c r="A150" i="69" s="1"/>
  <c r="A151" i="69" s="1"/>
  <c r="A152" i="69" s="1"/>
  <c r="A153" i="69" s="1"/>
  <c r="A154" i="69" s="1"/>
  <c r="A155" i="69" s="1"/>
  <c r="A156" i="69" s="1"/>
  <c r="A157" i="69" s="1"/>
  <c r="A158" i="69" s="1"/>
  <c r="A159" i="69" s="1"/>
  <c r="A160" i="69" s="1"/>
  <c r="A161" i="69" s="1"/>
  <c r="A162" i="69" s="1"/>
  <c r="A163" i="69" s="1"/>
  <c r="D115" i="69"/>
  <c r="A11" i="68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B43" i="68"/>
  <c r="F43" i="68"/>
  <c r="B45" i="68"/>
  <c r="B46" i="68"/>
  <c r="F46" i="68"/>
  <c r="B47" i="68"/>
  <c r="F47" i="68"/>
  <c r="B48" i="68"/>
  <c r="F48" i="68"/>
  <c r="B49" i="68"/>
  <c r="F49" i="68"/>
  <c r="B50" i="68"/>
  <c r="B52" i="68"/>
  <c r="B53" i="68"/>
  <c r="F53" i="68"/>
  <c r="B54" i="68"/>
  <c r="F54" i="68"/>
  <c r="B55" i="68"/>
  <c r="F55" i="68"/>
  <c r="B56" i="68"/>
  <c r="B58" i="68"/>
  <c r="B59" i="68"/>
  <c r="F59" i="68"/>
  <c r="B60" i="68"/>
  <c r="F60" i="68"/>
  <c r="B61" i="68"/>
  <c r="B63" i="68"/>
  <c r="F63" i="68"/>
  <c r="B64" i="68"/>
  <c r="F64" i="68"/>
  <c r="B65" i="68"/>
  <c r="F65" i="68"/>
  <c r="B67" i="68"/>
  <c r="B69" i="68"/>
  <c r="F69" i="68"/>
  <c r="B71" i="68"/>
  <c r="F144" i="72" l="1"/>
  <c r="D145" i="69" s="1"/>
  <c r="F140" i="72"/>
  <c r="D141" i="69" s="1"/>
  <c r="F88" i="72"/>
  <c r="H88" i="72" s="1"/>
  <c r="F58" i="72"/>
  <c r="F157" i="72"/>
  <c r="H157" i="72" s="1"/>
  <c r="F152" i="72"/>
  <c r="D153" i="69" s="1"/>
  <c r="F131" i="72"/>
  <c r="F119" i="72"/>
  <c r="D120" i="69" s="1"/>
  <c r="F65" i="72"/>
  <c r="H65" i="72" s="1"/>
  <c r="F135" i="72"/>
  <c r="D136" i="69" s="1"/>
  <c r="F32" i="72"/>
  <c r="H32" i="72" s="1"/>
  <c r="F22" i="72"/>
  <c r="H22" i="72" s="1"/>
  <c r="F116" i="72"/>
  <c r="H116" i="72" s="1"/>
  <c r="F63" i="72"/>
  <c r="D63" i="69" s="1"/>
  <c r="F25" i="72"/>
  <c r="D24" i="69" s="1"/>
  <c r="F117" i="72"/>
  <c r="D118" i="69" s="1"/>
  <c r="F96" i="72"/>
  <c r="D97" i="69" s="1"/>
  <c r="F155" i="72"/>
  <c r="D156" i="69" s="1"/>
  <c r="F161" i="72"/>
  <c r="H161" i="72" s="1"/>
  <c r="F150" i="72"/>
  <c r="H150" i="72" s="1"/>
  <c r="F137" i="72"/>
  <c r="F115" i="72"/>
  <c r="H115" i="72" s="1"/>
  <c r="F111" i="72"/>
  <c r="D112" i="69" s="1"/>
  <c r="F99" i="72"/>
  <c r="D100" i="69" s="1"/>
  <c r="F95" i="72"/>
  <c r="D96" i="69" s="1"/>
  <c r="F62" i="72"/>
  <c r="H62" i="72" s="1"/>
  <c r="F38" i="72"/>
  <c r="D38" i="69" s="1"/>
  <c r="F34" i="72"/>
  <c r="H34" i="72" s="1"/>
  <c r="F148" i="72"/>
  <c r="D149" i="69" s="1"/>
  <c r="F106" i="72"/>
  <c r="D107" i="69" s="1"/>
  <c r="F160" i="72"/>
  <c r="H160" i="72" s="1"/>
  <c r="F156" i="72"/>
  <c r="D157" i="69" s="1"/>
  <c r="F153" i="72"/>
  <c r="H153" i="72" s="1"/>
  <c r="H50" i="72"/>
  <c r="A23" i="73"/>
  <c r="A24" i="73" s="1"/>
  <c r="A25" i="73" s="1"/>
  <c r="A26" i="73" s="1"/>
  <c r="A27" i="73" s="1"/>
  <c r="A28" i="73" s="1"/>
  <c r="A29" i="73" s="1"/>
  <c r="A30" i="73" s="1"/>
  <c r="A31" i="73" s="1"/>
  <c r="A26" i="68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36" i="70"/>
  <c r="A37" i="70" s="1"/>
  <c r="A38" i="70" s="1"/>
  <c r="A39" i="70" s="1"/>
  <c r="A40" i="70" s="1"/>
  <c r="H27" i="72"/>
  <c r="H23" i="72"/>
  <c r="H128" i="72"/>
  <c r="H19" i="72"/>
  <c r="C47" i="68"/>
  <c r="H43" i="72"/>
  <c r="H14" i="72"/>
  <c r="H51" i="72"/>
  <c r="H37" i="72"/>
  <c r="C69" i="68"/>
  <c r="H39" i="72"/>
  <c r="H56" i="72"/>
  <c r="H76" i="72"/>
  <c r="H75" i="72"/>
  <c r="H71" i="72"/>
  <c r="H67" i="72"/>
  <c r="H15" i="72"/>
  <c r="H83" i="72"/>
  <c r="H80" i="72"/>
  <c r="H136" i="72"/>
  <c r="H123" i="72"/>
  <c r="H86" i="72"/>
  <c r="H21" i="72"/>
  <c r="D20" i="69"/>
  <c r="H91" i="72"/>
  <c r="H26" i="72"/>
  <c r="D18" i="69"/>
  <c r="H139" i="72"/>
  <c r="H85" i="72"/>
  <c r="H82" i="72"/>
  <c r="H57" i="72"/>
  <c r="H45" i="72"/>
  <c r="H105" i="72"/>
  <c r="H95" i="72"/>
  <c r="H74" i="72"/>
  <c r="H70" i="72"/>
  <c r="H54" i="72"/>
  <c r="D129" i="69"/>
  <c r="H142" i="72"/>
  <c r="H130" i="72"/>
  <c r="H127" i="72"/>
  <c r="H114" i="72"/>
  <c r="H109" i="72"/>
  <c r="H104" i="72"/>
  <c r="H98" i="72"/>
  <c r="H94" i="72"/>
  <c r="H69" i="72"/>
  <c r="H42" i="72"/>
  <c r="D70" i="69"/>
  <c r="H154" i="72"/>
  <c r="H141" i="72"/>
  <c r="H129" i="72"/>
  <c r="H113" i="72"/>
  <c r="H107" i="72"/>
  <c r="H103" i="72"/>
  <c r="H97" i="72"/>
  <c r="H93" i="72"/>
  <c r="H84" i="72"/>
  <c r="H81" i="72"/>
  <c r="H72" i="72"/>
  <c r="H68" i="72"/>
  <c r="H52" i="72"/>
  <c r="H33" i="72"/>
  <c r="D54" i="69"/>
  <c r="H126" i="72"/>
  <c r="H55" i="72"/>
  <c r="H44" i="72"/>
  <c r="C59" i="68"/>
  <c r="D140" i="69"/>
  <c r="D22" i="69"/>
  <c r="D114" i="69"/>
  <c r="D13" i="69"/>
  <c r="H87" i="72"/>
  <c r="D88" i="69"/>
  <c r="D98" i="69"/>
  <c r="D127" i="69"/>
  <c r="D71" i="69"/>
  <c r="D106" i="69"/>
  <c r="D51" i="69"/>
  <c r="D69" i="69"/>
  <c r="D137" i="69"/>
  <c r="D110" i="69"/>
  <c r="D57" i="69"/>
  <c r="D82" i="69"/>
  <c r="D85" i="69"/>
  <c r="D32" i="69"/>
  <c r="D99" i="69"/>
  <c r="D75" i="69"/>
  <c r="D154" i="69"/>
  <c r="D105" i="69"/>
  <c r="D87" i="69"/>
  <c r="D68" i="69"/>
  <c r="D45" i="69"/>
  <c r="D14" i="69"/>
  <c r="D67" i="69"/>
  <c r="D37" i="69"/>
  <c r="D50" i="69"/>
  <c r="D117" i="69"/>
  <c r="D72" i="69"/>
  <c r="D56" i="69"/>
  <c r="D44" i="69"/>
  <c r="D74" i="69"/>
  <c r="D128" i="69"/>
  <c r="D55" i="69"/>
  <c r="D86" i="69"/>
  <c r="D104" i="69"/>
  <c r="D52" i="69"/>
  <c r="D81" i="69"/>
  <c r="D155" i="69"/>
  <c r="D130" i="69"/>
  <c r="H46" i="72"/>
  <c r="D46" i="69"/>
  <c r="H64" i="72"/>
  <c r="D64" i="69"/>
  <c r="H35" i="72"/>
  <c r="D35" i="69"/>
  <c r="D119" i="69"/>
  <c r="H118" i="72"/>
  <c r="H102" i="72"/>
  <c r="D103" i="69"/>
  <c r="H92" i="72"/>
  <c r="D93" i="69"/>
  <c r="H16" i="72"/>
  <c r="H158" i="72"/>
  <c r="H120" i="72"/>
  <c r="D121" i="69"/>
  <c r="H112" i="72"/>
  <c r="D113" i="69"/>
  <c r="H61" i="72"/>
  <c r="D61" i="69"/>
  <c r="H41" i="72"/>
  <c r="D41" i="69"/>
  <c r="H28" i="72"/>
  <c r="D27" i="69"/>
  <c r="H53" i="72"/>
  <c r="D53" i="69"/>
  <c r="H13" i="72"/>
  <c r="D12" i="69"/>
  <c r="H134" i="72"/>
  <c r="D135" i="69"/>
  <c r="H90" i="72"/>
  <c r="D91" i="69"/>
  <c r="H60" i="72"/>
  <c r="D60" i="69"/>
  <c r="H47" i="72"/>
  <c r="H36" i="72"/>
  <c r="D36" i="69"/>
  <c r="H24" i="72"/>
  <c r="D23" i="69"/>
  <c r="H11" i="72"/>
  <c r="D10" i="69"/>
  <c r="H73" i="72"/>
  <c r="D73" i="69"/>
  <c r="H29" i="72"/>
  <c r="H133" i="72"/>
  <c r="D134" i="69"/>
  <c r="H162" i="72"/>
  <c r="D148" i="69"/>
  <c r="H147" i="72"/>
  <c r="H77" i="72"/>
  <c r="H20" i="72"/>
  <c r="D19" i="69"/>
  <c r="D65" i="69"/>
  <c r="D95" i="69"/>
  <c r="H38" i="72"/>
  <c r="D84" i="69"/>
  <c r="D43" i="69"/>
  <c r="D92" i="69"/>
  <c r="D39" i="69"/>
  <c r="D26" i="69"/>
  <c r="H135" i="72"/>
  <c r="H137" i="72"/>
  <c r="D76" i="69"/>
  <c r="H148" i="72"/>
  <c r="G17" i="70"/>
  <c r="G28" i="70"/>
  <c r="C60" i="68"/>
  <c r="C49" i="68"/>
  <c r="C64" i="68"/>
  <c r="C48" i="68"/>
  <c r="C43" i="68"/>
  <c r="C10" i="70"/>
  <c r="C10" i="73" s="1"/>
  <c r="G23" i="70"/>
  <c r="C65" i="68"/>
  <c r="C53" i="68"/>
  <c r="C46" i="68"/>
  <c r="C55" i="68"/>
  <c r="C54" i="68"/>
  <c r="H149" i="72"/>
  <c r="D150" i="69"/>
  <c r="H159" i="72"/>
  <c r="H145" i="72"/>
  <c r="H151" i="72"/>
  <c r="D152" i="69"/>
  <c r="D83" i="69"/>
  <c r="B37" i="72"/>
  <c r="B41" i="72"/>
  <c r="D131" i="69"/>
  <c r="D25" i="69"/>
  <c r="H96" i="72"/>
  <c r="D94" i="69"/>
  <c r="D42" i="69"/>
  <c r="B90" i="72"/>
  <c r="B88" i="72"/>
  <c r="B91" i="72" s="1"/>
  <c r="B92" i="72" s="1"/>
  <c r="B93" i="72" s="1"/>
  <c r="B94" i="72" s="1"/>
  <c r="B95" i="72" s="1"/>
  <c r="B96" i="72" s="1"/>
  <c r="B97" i="72" s="1"/>
  <c r="B98" i="72" s="1"/>
  <c r="B99" i="72" s="1"/>
  <c r="D33" i="69"/>
  <c r="B67" i="72"/>
  <c r="B65" i="72"/>
  <c r="B68" i="72" s="1"/>
  <c r="B69" i="72" s="1"/>
  <c r="B70" i="72" s="1"/>
  <c r="B71" i="72" s="1"/>
  <c r="B72" i="72" s="1"/>
  <c r="B73" i="72" s="1"/>
  <c r="B74" i="72" s="1"/>
  <c r="B75" i="72" s="1"/>
  <c r="B76" i="72" s="1"/>
  <c r="H155" i="72" l="1"/>
  <c r="D62" i="69"/>
  <c r="H140" i="72"/>
  <c r="H144" i="72"/>
  <c r="H63" i="72"/>
  <c r="D116" i="69"/>
  <c r="D158" i="69"/>
  <c r="H131" i="72"/>
  <c r="H106" i="72"/>
  <c r="H25" i="72"/>
  <c r="H111" i="72"/>
  <c r="H152" i="72"/>
  <c r="H156" i="72"/>
  <c r="D34" i="69"/>
  <c r="H99" i="72"/>
  <c r="D151" i="69"/>
  <c r="H117" i="72"/>
  <c r="D21" i="69"/>
  <c r="H119" i="72"/>
  <c r="H58" i="72"/>
  <c r="G38" i="70"/>
  <c r="A32" i="73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B38" i="72"/>
  <c r="B42" i="72"/>
  <c r="H165" i="72" l="1"/>
  <c r="A43" i="73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B39" i="72"/>
  <c r="B44" i="72" s="1"/>
  <c r="B45" i="72" s="1"/>
  <c r="B46" i="72" s="1"/>
  <c r="B47" i="72" s="1"/>
  <c r="B43" i="72"/>
  <c r="D35" i="73" l="1"/>
  <c r="E14" i="73" s="1"/>
  <c r="D28" i="68"/>
  <c r="D23" i="68"/>
  <c r="D33" i="68"/>
  <c r="D14" i="68"/>
  <c r="D22" i="68"/>
  <c r="D17" i="68"/>
  <c r="D27" i="68"/>
  <c r="D32" i="68"/>
  <c r="D16" i="68"/>
  <c r="D11" i="68"/>
  <c r="D21" i="68"/>
  <c r="D31" i="68"/>
  <c r="D42" i="73" l="1"/>
  <c r="F14" i="73"/>
  <c r="I14" i="73" s="1"/>
  <c r="J14" i="73" s="1"/>
  <c r="E19" i="73"/>
  <c r="F19" i="73" s="1"/>
  <c r="I19" i="73" s="1"/>
  <c r="J19" i="73" s="1"/>
  <c r="J20" i="70" s="1"/>
  <c r="E20" i="73"/>
  <c r="F20" i="73" s="1"/>
  <c r="I20" i="73" s="1"/>
  <c r="J20" i="73" s="1"/>
  <c r="J21" i="70" s="1"/>
  <c r="P21" i="70" s="1"/>
  <c r="E25" i="73"/>
  <c r="F25" i="73" s="1"/>
  <c r="I25" i="73" s="1"/>
  <c r="J25" i="73" s="1"/>
  <c r="J27" i="70" s="1"/>
  <c r="E15" i="73"/>
  <c r="F15" i="73" s="1"/>
  <c r="I15" i="73" s="1"/>
  <c r="J15" i="73" s="1"/>
  <c r="J15" i="70" s="1"/>
  <c r="E33" i="73"/>
  <c r="F33" i="73" s="1"/>
  <c r="I33" i="73" s="1"/>
  <c r="J33" i="73" s="1"/>
  <c r="J36" i="70" s="1"/>
  <c r="P36" i="70" s="1"/>
  <c r="E24" i="73"/>
  <c r="F24" i="73" s="1"/>
  <c r="I24" i="73" s="1"/>
  <c r="J24" i="73" s="1"/>
  <c r="J26" i="70" s="1"/>
  <c r="E31" i="73"/>
  <c r="F31" i="73" s="1"/>
  <c r="I31" i="73" s="1"/>
  <c r="E21" i="73"/>
  <c r="F21" i="73" s="1"/>
  <c r="I21" i="73" s="1"/>
  <c r="J21" i="73" s="1"/>
  <c r="J22" i="70" s="1"/>
  <c r="P22" i="70" s="1"/>
  <c r="E10" i="73"/>
  <c r="E16" i="73"/>
  <c r="F16" i="73" s="1"/>
  <c r="I16" i="73" s="1"/>
  <c r="J16" i="73" s="1"/>
  <c r="J16" i="70" s="1"/>
  <c r="P16" i="70" s="1"/>
  <c r="E27" i="73"/>
  <c r="F27" i="73" s="1"/>
  <c r="I27" i="73" s="1"/>
  <c r="J27" i="73" s="1"/>
  <c r="J30" i="70" s="1"/>
  <c r="P30" i="70" s="1"/>
  <c r="E13" i="73"/>
  <c r="F13" i="73" s="1"/>
  <c r="I13" i="73" s="1"/>
  <c r="J13" i="73" s="1"/>
  <c r="J13" i="70" s="1"/>
  <c r="E29" i="73"/>
  <c r="F29" i="73" s="1"/>
  <c r="I29" i="73" s="1"/>
  <c r="J29" i="73" s="1"/>
  <c r="J32" i="70" s="1"/>
  <c r="P32" i="70" s="1"/>
  <c r="D15" i="68"/>
  <c r="P26" i="70" l="1"/>
  <c r="P20" i="70"/>
  <c r="P15" i="70"/>
  <c r="P13" i="70"/>
  <c r="P27" i="70"/>
  <c r="J14" i="70"/>
  <c r="P14" i="70" s="1"/>
  <c r="E31" i="68"/>
  <c r="F31" i="68" s="1"/>
  <c r="E35" i="73"/>
  <c r="F10" i="73"/>
  <c r="H166" i="72"/>
  <c r="H167" i="72" s="1"/>
  <c r="J31" i="73"/>
  <c r="J34" i="70" s="1"/>
  <c r="P34" i="70" s="1"/>
  <c r="I10" i="73" l="1"/>
  <c r="F35" i="73"/>
  <c r="F42" i="73" s="1"/>
  <c r="E17" i="68"/>
  <c r="F17" i="68" s="1"/>
  <c r="E15" i="68"/>
  <c r="E32" i="68"/>
  <c r="F32" i="68" s="1"/>
  <c r="J10" i="73" l="1"/>
  <c r="J10" i="70" s="1"/>
  <c r="I35" i="73"/>
  <c r="I42" i="73" s="1"/>
  <c r="E14" i="68"/>
  <c r="F14" i="68" s="1"/>
  <c r="E33" i="68"/>
  <c r="F33" i="68" s="1"/>
  <c r="E27" i="68"/>
  <c r="F27" i="68" s="1"/>
  <c r="E16" i="68"/>
  <c r="F16" i="68" s="1"/>
  <c r="E21" i="68"/>
  <c r="F21" i="68" s="1"/>
  <c r="E28" i="68"/>
  <c r="F28" i="68" s="1"/>
  <c r="F15" i="68"/>
  <c r="E22" i="68"/>
  <c r="F22" i="68" s="1"/>
  <c r="E23" i="68"/>
  <c r="F23" i="68" s="1"/>
  <c r="P10" i="70" l="1"/>
  <c r="L44" i="70"/>
  <c r="M44" i="70" s="1"/>
  <c r="N44" i="70" s="1"/>
  <c r="O44" i="70" s="1"/>
  <c r="E11" i="68"/>
  <c r="F11" i="68" s="1"/>
  <c r="C27" i="73" l="1"/>
  <c r="C30" i="70" l="1"/>
  <c r="C63" i="68"/>
  <c r="M36" i="70" l="1"/>
  <c r="N36" i="70" s="1"/>
  <c r="O36" i="70" s="1"/>
  <c r="M32" i="70" l="1"/>
  <c r="N32" i="70" s="1"/>
  <c r="O32" i="70" s="1"/>
  <c r="M26" i="70" l="1"/>
  <c r="M20" i="70"/>
  <c r="M13" i="70"/>
  <c r="N13" i="70" l="1"/>
  <c r="N20" i="70"/>
  <c r="N26" i="70"/>
  <c r="M15" i="70"/>
  <c r="N15" i="70" s="1"/>
  <c r="O15" i="70" s="1"/>
  <c r="M16" i="70"/>
  <c r="N16" i="70" s="1"/>
  <c r="O16" i="70" s="1"/>
  <c r="M22" i="70"/>
  <c r="N22" i="70" s="1"/>
  <c r="O22" i="70" s="1"/>
  <c r="M30" i="70"/>
  <c r="N30" i="70" s="1"/>
  <c r="O30" i="70" s="1"/>
  <c r="M34" i="70"/>
  <c r="N34" i="70" s="1"/>
  <c r="O34" i="70" s="1"/>
  <c r="K28" i="70" l="1"/>
  <c r="M27" i="70"/>
  <c r="O20" i="70"/>
  <c r="M21" i="70"/>
  <c r="K23" i="70"/>
  <c r="O26" i="70"/>
  <c r="M10" i="70"/>
  <c r="O13" i="70"/>
  <c r="M14" i="70" l="1"/>
  <c r="N14" i="70" s="1"/>
  <c r="N10" i="70"/>
  <c r="N27" i="70"/>
  <c r="M28" i="70"/>
  <c r="N21" i="70"/>
  <c r="M23" i="70"/>
  <c r="O21" i="70" l="1"/>
  <c r="N23" i="70"/>
  <c r="O23" i="70" s="1"/>
  <c r="K17" i="70"/>
  <c r="K38" i="70" s="1"/>
  <c r="O27" i="70"/>
  <c r="N28" i="70"/>
  <c r="O28" i="70" s="1"/>
  <c r="O10" i="70"/>
  <c r="O14" i="70"/>
  <c r="M17" i="70" l="1"/>
  <c r="M38" i="70" s="1"/>
  <c r="N17" i="70" l="1"/>
  <c r="O17" i="70" l="1"/>
  <c r="N38" i="70"/>
  <c r="O38" i="70" l="1"/>
</calcChain>
</file>

<file path=xl/sharedStrings.xml><?xml version="1.0" encoding="utf-8"?>
<sst xmlns="http://schemas.openxmlformats.org/spreadsheetml/2006/main" count="695" uniqueCount="220">
  <si>
    <t>Schedule</t>
  </si>
  <si>
    <t>Residential</t>
  </si>
  <si>
    <t>PUGET SOUND ENERGY</t>
  </si>
  <si>
    <t>TOTAL</t>
  </si>
  <si>
    <t>Line No.</t>
  </si>
  <si>
    <t>Lamp Type</t>
  </si>
  <si>
    <t>Mercury Vapor</t>
  </si>
  <si>
    <t>Sodium Vapor</t>
  </si>
  <si>
    <t>Total</t>
  </si>
  <si>
    <t>Total Sales</t>
  </si>
  <si>
    <t>Customer Class</t>
  </si>
  <si>
    <t xml:space="preserve"> </t>
  </si>
  <si>
    <t>Voltage Level</t>
  </si>
  <si>
    <t>Total Secondary Voltage</t>
  </si>
  <si>
    <t>Total Primary Voltage</t>
  </si>
  <si>
    <t>Total High Voltage</t>
  </si>
  <si>
    <t>Electric</t>
  </si>
  <si>
    <t>Gas</t>
  </si>
  <si>
    <t>Per W charge</t>
  </si>
  <si>
    <t>57E</t>
  </si>
  <si>
    <t>Sch 57</t>
  </si>
  <si>
    <t>800.01 - 900</t>
  </si>
  <si>
    <t>Light Emitting Diode</t>
  </si>
  <si>
    <t>700.01 - 800</t>
  </si>
  <si>
    <t>600.01 - 700</t>
  </si>
  <si>
    <t>500.01 - 600</t>
  </si>
  <si>
    <t>400.01 - 500</t>
  </si>
  <si>
    <t>300.01 - 400</t>
  </si>
  <si>
    <t>270.01 - 300</t>
  </si>
  <si>
    <t>240.01 - 270</t>
  </si>
  <si>
    <t>210.01 - 240</t>
  </si>
  <si>
    <t>180.01 - 210</t>
  </si>
  <si>
    <t>150.01 - 180</t>
  </si>
  <si>
    <t>120.01 - 150</t>
  </si>
  <si>
    <t>90.01 - 120</t>
  </si>
  <si>
    <t>60.01 - 90</t>
  </si>
  <si>
    <t>30.01 - 60</t>
  </si>
  <si>
    <t>58E &amp; 59E</t>
  </si>
  <si>
    <t>Metal Halide</t>
  </si>
  <si>
    <t>58E &amp; 59E - Horizontal</t>
  </si>
  <si>
    <t>58E &amp; 59E - Directional</t>
  </si>
  <si>
    <t>Sch 58 &amp; 59</t>
  </si>
  <si>
    <t>55E &amp; 56E</t>
  </si>
  <si>
    <t>Sch 55 &amp; 56</t>
  </si>
  <si>
    <t>54E</t>
  </si>
  <si>
    <t xml:space="preserve">52E </t>
  </si>
  <si>
    <t>51E</t>
  </si>
  <si>
    <t>Sch 51E</t>
  </si>
  <si>
    <t>Compact Flourescent</t>
  </si>
  <si>
    <t>003</t>
  </si>
  <si>
    <t>Wattage (W)</t>
  </si>
  <si>
    <t>Total Retail Sales</t>
  </si>
  <si>
    <t>Proposed Rider Rate Effective Start Date</t>
  </si>
  <si>
    <t>Budget Forecast</t>
  </si>
  <si>
    <t>Basic Charge</t>
  </si>
  <si>
    <t>First 600 kWh</t>
  </si>
  <si>
    <t>Over 600 kWh</t>
  </si>
  <si>
    <t>Smart LED</t>
  </si>
  <si>
    <t>Per kWh - All Lamps</t>
  </si>
  <si>
    <t>F2023</t>
  </si>
  <si>
    <t>30 - 60</t>
  </si>
  <si>
    <t>0-30</t>
  </si>
  <si>
    <t>0 - 30</t>
  </si>
  <si>
    <t>53E</t>
  </si>
  <si>
    <t>50E</t>
  </si>
  <si>
    <t>Demand</t>
  </si>
  <si>
    <t>na</t>
  </si>
  <si>
    <t>Energy</t>
  </si>
  <si>
    <t>f</t>
  </si>
  <si>
    <t>e</t>
  </si>
  <si>
    <t>d</t>
  </si>
  <si>
    <t>c</t>
  </si>
  <si>
    <t>b</t>
  </si>
  <si>
    <t>a</t>
  </si>
  <si>
    <t>% Change</t>
  </si>
  <si>
    <t>Proposed Rates</t>
  </si>
  <si>
    <t>Current Rates</t>
  </si>
  <si>
    <t>Rate Schedule</t>
  </si>
  <si>
    <t>58E &amp; 59E - LED</t>
  </si>
  <si>
    <t>58E &amp; 59E - Horizontal Metal Halide</t>
  </si>
  <si>
    <t>58E &amp; 59E - Directional Metal Halide</t>
  </si>
  <si>
    <t>58E &amp; 59E - Horizontal Sodium Vapor</t>
  </si>
  <si>
    <t>58E &amp; 59E - Directional Sodium Vapor</t>
  </si>
  <si>
    <t>per W charge</t>
  </si>
  <si>
    <t>55E &amp; 56E - LED</t>
  </si>
  <si>
    <t>55E &amp; 56E - Metal Halide</t>
  </si>
  <si>
    <t>55E &amp; 56E - Sodium Vapor</t>
  </si>
  <si>
    <t>Sch 55 &amp; Sch 56</t>
  </si>
  <si>
    <t>54E - LED</t>
  </si>
  <si>
    <t>54E - Sodium Vapor</t>
  </si>
  <si>
    <t>Sch 54</t>
  </si>
  <si>
    <t>per kWh</t>
  </si>
  <si>
    <t>53S - Smart LED</t>
  </si>
  <si>
    <t>53E - LED</t>
  </si>
  <si>
    <t>53E - Metal Halide</t>
  </si>
  <si>
    <t>53E - Sodium Vapor</t>
  </si>
  <si>
    <t>Sch 53</t>
  </si>
  <si>
    <t>52E  - Metal Halide</t>
  </si>
  <si>
    <t>52E  - Sodium Vapor</t>
  </si>
  <si>
    <t>Sch 52</t>
  </si>
  <si>
    <t>51S - Smart LED</t>
  </si>
  <si>
    <t>51E - LED</t>
  </si>
  <si>
    <t>Sch 51</t>
  </si>
  <si>
    <t>50E - Mercury Vapor</t>
  </si>
  <si>
    <t>003 - Compact Flourescent</t>
  </si>
  <si>
    <t>Sch 50</t>
  </si>
  <si>
    <t>Wattage</t>
  </si>
  <si>
    <t>Schedule &amp; Charge Type</t>
  </si>
  <si>
    <t>Typical Residential Bill at 800 kWh</t>
  </si>
  <si>
    <t>Pass-Thru Trackers</t>
  </si>
  <si>
    <t>Current Bill</t>
  </si>
  <si>
    <t>Residential Bill Impacts</t>
  </si>
  <si>
    <t>g = f / d</t>
  </si>
  <si>
    <t>f = e - d</t>
  </si>
  <si>
    <t>Projected Rate-Year
Revenue Impacts
from Proposed Rate Changes</t>
  </si>
  <si>
    <t>Projected Schedule Revenue Impacts of Rate Change by Forecasted Energy</t>
  </si>
  <si>
    <t>Scaling Factor [SF]</t>
  </si>
  <si>
    <t>Variance</t>
  </si>
  <si>
    <t>Lighting Allocation of Revenue Requirement</t>
  </si>
  <si>
    <t>Proposed Lighting Revenue</t>
  </si>
  <si>
    <t>53S</t>
  </si>
  <si>
    <t>51S</t>
  </si>
  <si>
    <t>g = e * f</t>
  </si>
  <si>
    <t>Annual Lamp Inventory</t>
  </si>
  <si>
    <r>
      <t>Combined Energy &amp; Demand Allocation</t>
    </r>
    <r>
      <rPr>
        <b/>
        <vertAlign val="superscript"/>
        <sz val="8"/>
        <rFont val="Arial"/>
        <family val="2"/>
      </rPr>
      <t>[1]</t>
    </r>
  </si>
  <si>
    <t>Lamp Level Rate Design</t>
  </si>
  <si>
    <r>
      <t xml:space="preserve">Special Contract </t>
    </r>
    <r>
      <rPr>
        <vertAlign val="superscript"/>
        <sz val="8"/>
        <rFont val="Arial"/>
        <family val="2"/>
      </rPr>
      <t>[2]</t>
    </r>
  </si>
  <si>
    <t>Proposed Rate</t>
  </si>
  <si>
    <t>Forecasted Rate Year End Date</t>
  </si>
  <si>
    <t>Forecasted Rate Year Start Date</t>
  </si>
  <si>
    <t>Current Rate</t>
  </si>
  <si>
    <t>Tariff Reference</t>
  </si>
  <si>
    <t>cross check</t>
  </si>
  <si>
    <t>Proposed Lamp Charge</t>
  </si>
  <si>
    <t>Proposed Lamp Revenue</t>
  </si>
  <si>
    <t>Note 1: Utilizes the allocaion factor as approved in the Lighting COS Model from the 2022 GRC (Docket No. UE-220066).</t>
  </si>
  <si>
    <t xml:space="preserve">Schedule 141PFG - Intervenor Funding </t>
  </si>
  <si>
    <t>Sheet No. 141PFG</t>
  </si>
  <si>
    <t>Effective May 1, 2024 - April 30, 2025</t>
  </si>
  <si>
    <t xml:space="preserve">Proposed Rates </t>
  </si>
  <si>
    <t>Line</t>
  </si>
  <si>
    <t>Conversion Factor</t>
  </si>
  <si>
    <t>Weight Avg Cost of Debt</t>
  </si>
  <si>
    <t>Industrial</t>
  </si>
  <si>
    <t>Conv Fctr</t>
  </si>
  <si>
    <t>Only</t>
  </si>
  <si>
    <t>ALL Classes</t>
  </si>
  <si>
    <t>Payments</t>
  </si>
  <si>
    <t>Interest</t>
  </si>
  <si>
    <t>check</t>
  </si>
  <si>
    <t>F&amp;C payment</t>
  </si>
  <si>
    <t>UE-220066/UG-220067</t>
  </si>
  <si>
    <t>UE-210795</t>
  </si>
  <si>
    <t>REVENUE REQUIREMENT</t>
  </si>
  <si>
    <t>F2023 Forecast Energy (kWh) 5/01/24 - 04/30/25</t>
  </si>
  <si>
    <t>Electric Revenue Requirement:</t>
  </si>
  <si>
    <t xml:space="preserve">Residential only </t>
  </si>
  <si>
    <t>All Classes</t>
  </si>
  <si>
    <t>Proposed Intervenor Funding $</t>
  </si>
  <si>
    <t>Revenue Requirment share for "All Classes"</t>
  </si>
  <si>
    <t>Revenue Requirment share for "Residential Only"</t>
  </si>
  <si>
    <t>Industrial only (1)</t>
  </si>
  <si>
    <t>Note 1: Includes only customers under SCHs: 24, 25, 26, 31, 46, 49</t>
  </si>
  <si>
    <t>Revenue Requirment share for "Industrial Only" (1)</t>
  </si>
  <si>
    <t>Proposed Intervenor Funding Rate</t>
  </si>
  <si>
    <t>N/A</t>
  </si>
  <si>
    <t>Street Lighting Rates</t>
  </si>
  <si>
    <t>See "Lighting Rates" tab</t>
  </si>
  <si>
    <t>aa</t>
  </si>
  <si>
    <t>ab</t>
  </si>
  <si>
    <t>ac</t>
  </si>
  <si>
    <t>c = b * ac</t>
  </si>
  <si>
    <t>d = aa</t>
  </si>
  <si>
    <t>f = c + d + e</t>
  </si>
  <si>
    <t>g = f / a</t>
  </si>
  <si>
    <t>Equal % allocation (ad)</t>
  </si>
  <si>
    <t>e = ab * ad</t>
  </si>
  <si>
    <t xml:space="preserve"> Note: Proposing not to set rates for Street lighting due to immateriality of Revenue Requirements share</t>
  </si>
  <si>
    <t>F2023 Forecast Energy (kWh) 5/01/24 - 04/30/25 (INDUSTRIAL ONLY)</t>
  </si>
  <si>
    <t>24EI</t>
  </si>
  <si>
    <t>25EI</t>
  </si>
  <si>
    <t>26EI</t>
  </si>
  <si>
    <t>31EI</t>
  </si>
  <si>
    <t>46EI</t>
  </si>
  <si>
    <t>49EI</t>
  </si>
  <si>
    <t>Equal % Allocation based on F2023 Forecast</t>
  </si>
  <si>
    <t>Total Projected Revenue
 @ Current Rates</t>
  </si>
  <si>
    <t>e = a * (c - b) + d</t>
  </si>
  <si>
    <t>Total Projected Revenue
@ Proposed Rates</t>
  </si>
  <si>
    <t>Secondary Voltage:</t>
  </si>
  <si>
    <t>Primary Voltage:</t>
  </si>
  <si>
    <t>High Voltage:</t>
  </si>
  <si>
    <t>7A (11) (25)</t>
  </si>
  <si>
    <r>
      <t xml:space="preserve">Lighting </t>
    </r>
    <r>
      <rPr>
        <vertAlign val="superscript"/>
        <sz val="8"/>
        <rFont val="Arial"/>
        <family val="2"/>
      </rPr>
      <t>[1]</t>
    </r>
  </si>
  <si>
    <t>Proposed Bill</t>
  </si>
  <si>
    <t>Change ($)</t>
  </si>
  <si>
    <t>(%)</t>
  </si>
  <si>
    <t xml:space="preserve">Note [1] displayed energy determinates (kWh) and rates for Lighting (Sch. 50-59) are illustrative for rate impact noticing requirements. Lighting charges are detailed on the "Lighting Rates" tab.
</t>
  </si>
  <si>
    <t xml:space="preserve">Rate Spread &amp; Design </t>
  </si>
  <si>
    <t>JAN - JUN 2.63% / 12</t>
  </si>
  <si>
    <t>JUL - DEC 2.63% / 12</t>
  </si>
  <si>
    <t>7 (307) (317) (327)</t>
  </si>
  <si>
    <t>General Service: Demand &lt;= 50 kW</t>
  </si>
  <si>
    <t>08 (24) (324)</t>
  </si>
  <si>
    <t>Small General Service: Demand &gt; 50 kW but &lt;= 350 kW</t>
  </si>
  <si>
    <t>Large General Service: Demand &gt; 350 kW</t>
  </si>
  <si>
    <t>12 (26) (26P)</t>
  </si>
  <si>
    <t>Irrigation &amp; Pumping Service: Demand &gt; 50 kW but &lt;= 350 kW</t>
  </si>
  <si>
    <t>General Service</t>
  </si>
  <si>
    <t>10 (31)</t>
  </si>
  <si>
    <t>Irrigation &amp; Pumping Service</t>
  </si>
  <si>
    <t>All Electric Schools</t>
  </si>
  <si>
    <t>Interruptible Service</t>
  </si>
  <si>
    <t>Choice / Retail Wheeling</t>
  </si>
  <si>
    <t>448 - 459</t>
  </si>
  <si>
    <t>Special Contracts</t>
  </si>
  <si>
    <t>Special Contract</t>
  </si>
  <si>
    <t>Lighting</t>
  </si>
  <si>
    <t>50 - 59</t>
  </si>
  <si>
    <t>Firm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</si>
</sst>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  <numFmt numFmtId="167" formatCode="_(* #,##0_);_(* \(#,##0\);_(* &quot;-&quot;??_);_(@_)"/>
    <numFmt numFmtId="168" formatCode="_(* #,##0.000000_);_(* \(#,##0.000000\);_(* &quot;-&quot;??_);_(@_)"/>
    <numFmt numFmtId="169" formatCode="0.00000\ \¢"/>
    <numFmt numFmtId="170" formatCode="m/d/yy;@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u val="singleAccounting"/>
      <sz val="8"/>
      <name val="Arial"/>
      <family val="2"/>
    </font>
    <font>
      <u val="singleAccounting"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10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/>
    <xf numFmtId="0" fontId="3" fillId="0" borderId="0" xfId="0" applyFont="1"/>
    <xf numFmtId="0" fontId="2" fillId="0" borderId="0" xfId="0" quotePrefix="1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5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0" xfId="0" quotePrefix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7" fontId="2" fillId="0" borderId="0" xfId="0" quotePrefix="1" applyNumberFormat="1" applyFont="1" applyAlignment="1">
      <alignment horizontal="center"/>
    </xf>
    <xf numFmtId="167" fontId="2" fillId="0" borderId="0" xfId="0" applyNumberFormat="1" applyFont="1" applyAlignment="1">
      <alignment horizontal="left"/>
    </xf>
    <xf numFmtId="44" fontId="5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Continuous" wrapText="1"/>
    </xf>
    <xf numFmtId="0" fontId="3" fillId="0" borderId="5" xfId="0" applyFont="1" applyBorder="1" applyAlignment="1">
      <alignment horizontal="center"/>
    </xf>
    <xf numFmtId="0" fontId="2" fillId="0" borderId="0" xfId="0" quotePrefix="1" applyFont="1"/>
    <xf numFmtId="10" fontId="2" fillId="0" borderId="0" xfId="0" applyNumberFormat="1" applyFont="1"/>
    <xf numFmtId="43" fontId="2" fillId="0" borderId="0" xfId="0" quotePrefix="1" applyNumberFormat="1" applyFont="1"/>
    <xf numFmtId="44" fontId="2" fillId="0" borderId="0" xfId="0" applyNumberFormat="1" applyFont="1"/>
    <xf numFmtId="0" fontId="2" fillId="0" borderId="0" xfId="0" applyFont="1" applyAlignment="1">
      <alignment horizontal="right" vertical="center"/>
    </xf>
    <xf numFmtId="44" fontId="5" fillId="0" borderId="0" xfId="0" quotePrefix="1" applyNumberFormat="1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167" fontId="2" fillId="0" borderId="5" xfId="0" applyNumberFormat="1" applyFont="1" applyBorder="1" applyAlignment="1">
      <alignment horizontal="centerContinuous" vertical="center"/>
    </xf>
    <xf numFmtId="44" fontId="5" fillId="0" borderId="5" xfId="0" quotePrefix="1" applyNumberFormat="1" applyFont="1" applyBorder="1" applyAlignment="1">
      <alignment horizontal="centerContinuous" vertical="center"/>
    </xf>
    <xf numFmtId="167" fontId="2" fillId="0" borderId="0" xfId="0" applyNumberFormat="1" applyFont="1" applyAlignment="1">
      <alignment horizontal="centerContinuous"/>
    </xf>
    <xf numFmtId="16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0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centerContinuous"/>
    </xf>
    <xf numFmtId="166" fontId="2" fillId="0" borderId="4" xfId="0" applyNumberFormat="1" applyFont="1" applyBorder="1"/>
    <xf numFmtId="166" fontId="2" fillId="0" borderId="4" xfId="0" applyNumberFormat="1" applyFont="1" applyBorder="1" applyAlignment="1">
      <alignment horizontal="centerContinuous" wrapText="1"/>
    </xf>
    <xf numFmtId="167" fontId="2" fillId="0" borderId="4" xfId="0" applyNumberFormat="1" applyFont="1" applyBorder="1"/>
    <xf numFmtId="0" fontId="2" fillId="0" borderId="4" xfId="0" applyFont="1" applyBorder="1" applyAlignment="1">
      <alignment horizontal="centerContinuous" vertical="center"/>
    </xf>
    <xf numFmtId="0" fontId="2" fillId="0" borderId="4" xfId="0" quotePrefix="1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left"/>
    </xf>
    <xf numFmtId="164" fontId="2" fillId="0" borderId="0" xfId="0" applyNumberFormat="1" applyFont="1"/>
    <xf numFmtId="166" fontId="2" fillId="0" borderId="0" xfId="0" applyNumberFormat="1" applyFont="1" applyAlignment="1">
      <alignment horizontal="centerContinuous"/>
    </xf>
    <xf numFmtId="0" fontId="2" fillId="0" borderId="0" xfId="0" quotePrefix="1" applyFont="1" applyAlignment="1">
      <alignment horizontal="centerContinuous" vertical="center" wrapText="1"/>
    </xf>
    <xf numFmtId="164" fontId="2" fillId="0" borderId="2" xfId="0" applyNumberFormat="1" applyFont="1" applyBorder="1"/>
    <xf numFmtId="167" fontId="2" fillId="0" borderId="2" xfId="0" applyNumberFormat="1" applyFont="1" applyBorder="1"/>
    <xf numFmtId="166" fontId="2" fillId="0" borderId="2" xfId="0" applyNumberFormat="1" applyFont="1" applyBorder="1"/>
    <xf numFmtId="166" fontId="2" fillId="0" borderId="2" xfId="0" applyNumberFormat="1" applyFont="1" applyBorder="1" applyAlignment="1">
      <alignment horizontal="centerContinuous"/>
    </xf>
    <xf numFmtId="166" fontId="2" fillId="0" borderId="2" xfId="0" applyNumberFormat="1" applyFont="1" applyBorder="1" applyAlignment="1">
      <alignment horizontal="centerContinuous" wrapText="1"/>
    </xf>
    <xf numFmtId="0" fontId="2" fillId="0" borderId="0" xfId="0" quotePrefix="1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67" fontId="2" fillId="0" borderId="2" xfId="0" quotePrefix="1" applyNumberFormat="1" applyFont="1" applyBorder="1" applyAlignment="1">
      <alignment horizontal="centerContinuous" wrapText="1"/>
    </xf>
    <xf numFmtId="0" fontId="2" fillId="0" borderId="2" xfId="0" applyFont="1" applyBorder="1" applyAlignment="1">
      <alignment horizontal="centerContinuous" wrapText="1"/>
    </xf>
    <xf numFmtId="0" fontId="3" fillId="0" borderId="0" xfId="0" applyFont="1" applyAlignment="1">
      <alignment horizontal="center" wrapText="1"/>
    </xf>
    <xf numFmtId="0" fontId="3" fillId="0" borderId="5" xfId="0" quotePrefix="1" applyFont="1" applyBorder="1" applyAlignment="1">
      <alignment horizontal="centerContinuous" wrapText="1"/>
    </xf>
    <xf numFmtId="167" fontId="3" fillId="0" borderId="5" xfId="0" quotePrefix="1" applyNumberFormat="1" applyFont="1" applyBorder="1" applyAlignment="1">
      <alignment horizontal="center" wrapText="1"/>
    </xf>
    <xf numFmtId="167" fontId="3" fillId="0" borderId="5" xfId="0" quotePrefix="1" applyNumberFormat="1" applyFont="1" applyBorder="1" applyAlignment="1">
      <alignment horizontal="centerContinuous" wrapText="1"/>
    </xf>
    <xf numFmtId="0" fontId="3" fillId="0" borderId="5" xfId="0" quotePrefix="1" applyFont="1" applyBorder="1" applyAlignment="1">
      <alignment horizontal="center" wrapText="1"/>
    </xf>
    <xf numFmtId="0" fontId="3" fillId="0" borderId="0" xfId="0" applyFont="1" applyAlignment="1">
      <alignment horizontal="centerContinuous" wrapText="1"/>
    </xf>
    <xf numFmtId="44" fontId="2" fillId="0" borderId="0" xfId="0" applyNumberFormat="1" applyFont="1" applyAlignment="1">
      <alignment horizontal="right" vertical="center"/>
    </xf>
    <xf numFmtId="44" fontId="2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 vertical="center"/>
    </xf>
    <xf numFmtId="167" fontId="2" fillId="0" borderId="0" xfId="0" quotePrefix="1" applyNumberFormat="1" applyFont="1" applyAlignment="1">
      <alignment horizontal="right" vertical="center"/>
    </xf>
    <xf numFmtId="165" fontId="2" fillId="0" borderId="0" xfId="0" applyNumberFormat="1" applyFont="1"/>
    <xf numFmtId="167" fontId="2" fillId="0" borderId="0" xfId="0" applyNumberFormat="1" applyFont="1" applyAlignment="1">
      <alignment vertical="center"/>
    </xf>
    <xf numFmtId="0" fontId="2" fillId="0" borderId="0" xfId="0" quotePrefix="1" applyFont="1" applyAlignment="1">
      <alignment horizontal="right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67" fontId="2" fillId="0" borderId="8" xfId="0" applyNumberFormat="1" applyFont="1" applyBorder="1"/>
    <xf numFmtId="0" fontId="2" fillId="0" borderId="8" xfId="0" quotePrefix="1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Alignment="1">
      <alignment horizontal="left" wrapText="1"/>
    </xf>
    <xf numFmtId="44" fontId="6" fillId="0" borderId="0" xfId="0" applyNumberFormat="1" applyFont="1"/>
    <xf numFmtId="44" fontId="6" fillId="0" borderId="0" xfId="0" quotePrefix="1" applyNumberFormat="1" applyFont="1" applyAlignment="1">
      <alignment horizontal="left"/>
    </xf>
    <xf numFmtId="164" fontId="2" fillId="0" borderId="5" xfId="0" applyNumberFormat="1" applyFont="1" applyBorder="1" applyAlignment="1">
      <alignment horizontal="centerContinuous"/>
    </xf>
    <xf numFmtId="164" fontId="2" fillId="0" borderId="5" xfId="0" applyNumberFormat="1" applyFont="1" applyBorder="1"/>
    <xf numFmtId="167" fontId="2" fillId="0" borderId="5" xfId="0" applyNumberFormat="1" applyFont="1" applyBorder="1"/>
    <xf numFmtId="0" fontId="3" fillId="0" borderId="3" xfId="0" applyFont="1" applyBorder="1" applyAlignment="1">
      <alignment horizontal="center" wrapText="1"/>
    </xf>
    <xf numFmtId="164" fontId="2" fillId="0" borderId="0" xfId="0" applyNumberFormat="1" applyFont="1" applyFill="1" applyBorder="1"/>
    <xf numFmtId="167" fontId="2" fillId="0" borderId="4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 wrapText="1"/>
    </xf>
    <xf numFmtId="167" fontId="2" fillId="0" borderId="0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44" fontId="5" fillId="0" borderId="0" xfId="0" quotePrefix="1" applyNumberFormat="1" applyFont="1" applyAlignment="1">
      <alignment horizontal="center" vertical="center"/>
    </xf>
    <xf numFmtId="44" fontId="5" fillId="0" borderId="0" xfId="0" quotePrefix="1" applyNumberFormat="1" applyFont="1" applyAlignment="1">
      <alignment horizontal="centerContinuous"/>
    </xf>
    <xf numFmtId="44" fontId="5" fillId="0" borderId="0" xfId="0" applyNumberFormat="1" applyFont="1" applyAlignment="1">
      <alignment horizontal="centerContinuous"/>
    </xf>
    <xf numFmtId="44" fontId="5" fillId="0" borderId="0" xfId="0" applyNumberFormat="1" applyFont="1" applyAlignment="1">
      <alignment horizontal="center" wrapText="1"/>
    </xf>
    <xf numFmtId="44" fontId="5" fillId="0" borderId="0" xfId="0" applyNumberFormat="1" applyFont="1" applyAlignment="1">
      <alignment horizontal="center"/>
    </xf>
    <xf numFmtId="10" fontId="2" fillId="0" borderId="9" xfId="0" applyNumberFormat="1" applyFont="1" applyBorder="1"/>
    <xf numFmtId="43" fontId="2" fillId="0" borderId="0" xfId="0" applyNumberFormat="1" applyFont="1" applyFill="1"/>
    <xf numFmtId="0" fontId="2" fillId="0" borderId="5" xfId="0" applyFont="1" applyBorder="1"/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3" fillId="0" borderId="0" xfId="0" applyNumberFormat="1" applyFont="1"/>
    <xf numFmtId="17" fontId="3" fillId="0" borderId="0" xfId="0" applyNumberFormat="1" applyFont="1"/>
    <xf numFmtId="164" fontId="3" fillId="0" borderId="0" xfId="0" applyNumberFormat="1" applyFont="1" applyFill="1"/>
    <xf numFmtId="164" fontId="3" fillId="0" borderId="0" xfId="0" applyNumberFormat="1" applyFont="1"/>
    <xf numFmtId="17" fontId="2" fillId="0" borderId="0" xfId="0" applyNumberFormat="1" applyFont="1"/>
    <xf numFmtId="167" fontId="2" fillId="0" borderId="0" xfId="0" applyNumberFormat="1" applyFont="1" applyFill="1"/>
    <xf numFmtId="167" fontId="3" fillId="0" borderId="0" xfId="0" applyNumberFormat="1" applyFont="1"/>
    <xf numFmtId="10" fontId="2" fillId="0" borderId="5" xfId="0" applyNumberFormat="1" applyFont="1" applyBorder="1"/>
    <xf numFmtId="17" fontId="2" fillId="0" borderId="5" xfId="0" applyNumberFormat="1" applyFont="1" applyBorder="1"/>
    <xf numFmtId="167" fontId="2" fillId="0" borderId="5" xfId="0" applyNumberFormat="1" applyFont="1" applyFill="1" applyBorder="1"/>
    <xf numFmtId="164" fontId="3" fillId="0" borderId="6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Fill="1" applyBorder="1"/>
    <xf numFmtId="164" fontId="3" fillId="0" borderId="1" xfId="0" applyNumberFormat="1" applyFont="1" applyFill="1" applyBorder="1"/>
    <xf numFmtId="164" fontId="3" fillId="0" borderId="10" xfId="0" applyNumberFormat="1" applyFont="1" applyFill="1" applyBorder="1"/>
    <xf numFmtId="164" fontId="3" fillId="0" borderId="12" xfId="0" applyNumberFormat="1" applyFont="1" applyFill="1" applyBorder="1"/>
    <xf numFmtId="10" fontId="2" fillId="0" borderId="0" xfId="0" applyNumberFormat="1" applyFont="1" applyBorder="1" applyAlignment="1">
      <alignment horizontal="right"/>
    </xf>
    <xf numFmtId="44" fontId="2" fillId="0" borderId="4" xfId="0" quotePrefix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/>
    <xf numFmtId="10" fontId="2" fillId="0" borderId="0" xfId="0" applyNumberFormat="1" applyFont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/>
    </xf>
    <xf numFmtId="10" fontId="2" fillId="0" borderId="0" xfId="0" quotePrefix="1" applyNumberFormat="1" applyFont="1"/>
    <xf numFmtId="0" fontId="3" fillId="0" borderId="0" xfId="0" applyFont="1" applyAlignment="1">
      <alignment horizontal="center" vertical="center" wrapText="1"/>
    </xf>
    <xf numFmtId="14" fontId="2" fillId="0" borderId="2" xfId="0" quotePrefix="1" applyNumberFormat="1" applyFont="1" applyBorder="1" applyAlignment="1">
      <alignment horizontal="center" wrapText="1"/>
    </xf>
    <xf numFmtId="44" fontId="2" fillId="0" borderId="2" xfId="0" applyNumberFormat="1" applyFont="1" applyBorder="1"/>
    <xf numFmtId="0" fontId="2" fillId="0" borderId="0" xfId="0" applyFont="1" applyAlignment="1">
      <alignment horizontal="left" vertical="center" indent="1"/>
    </xf>
    <xf numFmtId="170" fontId="3" fillId="0" borderId="0" xfId="0" quotePrefix="1" applyNumberFormat="1" applyFont="1" applyAlignment="1">
      <alignment horizontal="center"/>
    </xf>
    <xf numFmtId="0" fontId="1" fillId="0" borderId="0" xfId="0" applyFont="1"/>
    <xf numFmtId="170" fontId="3" fillId="0" borderId="0" xfId="0" applyNumberFormat="1" applyFont="1" applyAlignment="1">
      <alignment horizontal="center"/>
    </xf>
    <xf numFmtId="41" fontId="2" fillId="0" borderId="0" xfId="0" applyNumberFormat="1" applyFont="1"/>
    <xf numFmtId="41" fontId="6" fillId="0" borderId="0" xfId="0" applyNumberFormat="1" applyFont="1"/>
    <xf numFmtId="168" fontId="6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167" fontId="3" fillId="0" borderId="3" xfId="0" quotePrefix="1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Continuous" wrapText="1"/>
    </xf>
    <xf numFmtId="3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Continuous" vertical="center"/>
    </xf>
    <xf numFmtId="166" fontId="2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 vertical="center"/>
    </xf>
    <xf numFmtId="164" fontId="2" fillId="0" borderId="5" xfId="0" applyNumberFormat="1" applyFont="1" applyBorder="1" applyAlignment="1">
      <alignment horizontal="centerContinuous" vertical="center"/>
    </xf>
    <xf numFmtId="167" fontId="2" fillId="0" borderId="0" xfId="0" applyNumberFormat="1" applyFont="1" applyAlignment="1">
      <alignment horizontal="right"/>
    </xf>
    <xf numFmtId="44" fontId="3" fillId="0" borderId="5" xfId="0" quotePrefix="1" applyNumberFormat="1" applyFont="1" applyBorder="1" applyAlignment="1">
      <alignment horizontal="centerContinuous" vertical="center"/>
    </xf>
    <xf numFmtId="44" fontId="2" fillId="0" borderId="0" xfId="0" applyNumberFormat="1" applyFont="1" applyAlignment="1">
      <alignment horizontal="center" vertical="center"/>
    </xf>
    <xf numFmtId="166" fontId="2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266699</xdr:colOff>
      <xdr:row>44</xdr:row>
      <xdr:rowOff>143703</xdr:rowOff>
    </xdr:from>
    <xdr:to>
      <xdr:col>1</xdr:col>
      <xdr:colOff>2857088</xdr:colOff>
      <xdr:row>50</xdr:row>
      <xdr:rowOff>66461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046AD5-1F15-B982-DF0A-4D4D5A5E5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7335078"/>
          <a:ext cx="2590389" cy="1351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CB1E-F5FC-4C4A-9AE8-DAFA165DB964}">
  <sheetPr>
    <tabColor theme="6" tint="0.79998168889431442"/>
  </sheetPr>
  <dimension ref="A1:G72"/>
  <sheetViews>
    <sheetView tabSelected="1" zoomScaleNormal="100" workbookViewId="0">
      <pane ySplit="7" topLeftCell="A8" activePane="bottomLeft" state="frozen"/>
      <selection pane="bottomLeft" activeCell="B29" sqref="B29"/>
    </sheetView>
  </sheetViews>
  <sheetFormatPr defaultColWidth="6.42578125" defaultRowHeight="11.25" x14ac:dyDescent="0.2"/>
  <cols>
    <col min="1" max="1" width="6.140625" style="4" bestFit="1" customWidth="1"/>
    <col min="2" max="2" width="45.7109375" style="4" bestFit="1" customWidth="1"/>
    <col min="3" max="3" width="14.42578125" style="4" bestFit="1" customWidth="1"/>
    <col min="4" max="4" width="13.5703125" style="4" customWidth="1"/>
    <col min="5" max="5" width="14.5703125" style="4" customWidth="1"/>
    <col min="6" max="6" width="10.42578125" style="4" customWidth="1"/>
    <col min="7" max="7" width="17.85546875" style="4" bestFit="1" customWidth="1"/>
    <col min="8" max="16384" width="6.42578125" style="4"/>
  </cols>
  <sheetData>
    <row r="1" spans="1:7" x14ac:dyDescent="0.2">
      <c r="A1" s="3" t="s">
        <v>2</v>
      </c>
      <c r="B1" s="3"/>
      <c r="C1" s="3"/>
      <c r="D1" s="3"/>
      <c r="E1" s="3"/>
      <c r="F1" s="3"/>
    </row>
    <row r="2" spans="1:7" x14ac:dyDescent="0.2">
      <c r="A2" s="3" t="s">
        <v>136</v>
      </c>
      <c r="B2" s="3"/>
      <c r="C2" s="3"/>
      <c r="D2" s="3"/>
      <c r="E2" s="3"/>
      <c r="F2" s="3"/>
    </row>
    <row r="3" spans="1:7" x14ac:dyDescent="0.2">
      <c r="A3" s="3" t="s">
        <v>139</v>
      </c>
      <c r="B3" s="3"/>
      <c r="C3" s="3"/>
      <c r="D3" s="3"/>
      <c r="E3" s="3"/>
      <c r="F3" s="3"/>
    </row>
    <row r="4" spans="1:7" x14ac:dyDescent="0.2">
      <c r="A4" s="3" t="s">
        <v>138</v>
      </c>
      <c r="B4" s="3"/>
      <c r="C4" s="3"/>
      <c r="D4" s="3"/>
      <c r="E4" s="3"/>
      <c r="F4" s="3"/>
    </row>
    <row r="5" spans="1:7" x14ac:dyDescent="0.2">
      <c r="A5" s="23"/>
      <c r="B5" s="23"/>
      <c r="C5" s="13"/>
      <c r="D5" s="13"/>
      <c r="E5" s="13"/>
      <c r="F5" s="13"/>
    </row>
    <row r="6" spans="1:7" ht="13.5" customHeight="1" x14ac:dyDescent="0.2">
      <c r="A6" s="23"/>
      <c r="B6" s="23"/>
      <c r="C6" s="13"/>
      <c r="D6" s="13"/>
      <c r="E6" s="13"/>
      <c r="F6" s="13"/>
    </row>
    <row r="7" spans="1:7" s="15" customFormat="1" ht="22.5" x14ac:dyDescent="0.2">
      <c r="A7" s="32" t="s">
        <v>4</v>
      </c>
      <c r="B7" s="32" t="s">
        <v>12</v>
      </c>
      <c r="C7" s="32" t="s">
        <v>77</v>
      </c>
      <c r="D7" s="73" t="s">
        <v>76</v>
      </c>
      <c r="E7" s="73" t="s">
        <v>75</v>
      </c>
      <c r="F7" s="73" t="s">
        <v>74</v>
      </c>
      <c r="G7" s="32" t="s">
        <v>131</v>
      </c>
    </row>
    <row r="8" spans="1:7" s="15" customFormat="1" x14ac:dyDescent="0.2">
      <c r="A8" s="22"/>
      <c r="B8" s="22"/>
      <c r="C8" s="22"/>
      <c r="D8" s="145">
        <v>45200</v>
      </c>
      <c r="E8" s="145">
        <v>45413</v>
      </c>
      <c r="F8" s="21"/>
      <c r="G8" s="21"/>
    </row>
    <row r="9" spans="1:7" s="15" customFormat="1" x14ac:dyDescent="0.2">
      <c r="A9" s="20"/>
      <c r="B9" s="19" t="s">
        <v>73</v>
      </c>
      <c r="C9" s="18" t="s">
        <v>72</v>
      </c>
      <c r="D9" s="18" t="s">
        <v>71</v>
      </c>
      <c r="E9" s="18" t="s">
        <v>70</v>
      </c>
      <c r="F9" s="18" t="s">
        <v>69</v>
      </c>
      <c r="G9" s="18" t="s">
        <v>68</v>
      </c>
    </row>
    <row r="10" spans="1:7" s="15" customFormat="1" x14ac:dyDescent="0.2">
      <c r="A10" s="13">
        <v>1</v>
      </c>
      <c r="B10" s="17" t="s">
        <v>67</v>
      </c>
      <c r="C10" s="17"/>
      <c r="D10" s="16"/>
      <c r="E10" s="16"/>
      <c r="F10" s="16"/>
    </row>
    <row r="11" spans="1:7" x14ac:dyDescent="0.2">
      <c r="A11" s="8">
        <f t="shared" ref="A11:A57" si="0">+A10+1</f>
        <v>2</v>
      </c>
      <c r="B11" s="10" t="s">
        <v>1</v>
      </c>
      <c r="C11" s="13" t="s">
        <v>201</v>
      </c>
      <c r="D11" s="60">
        <f>'Rate Impacts'!H10</f>
        <v>0</v>
      </c>
      <c r="E11" s="60">
        <f>'Rate Impacts'!J10</f>
        <v>9.0000000000000002E-6</v>
      </c>
      <c r="F11" s="11" t="str">
        <f>IFERROR(E11/D11-1, "na")</f>
        <v>na</v>
      </c>
      <c r="G11" s="13" t="s">
        <v>137</v>
      </c>
    </row>
    <row r="12" spans="1:7" x14ac:dyDescent="0.2">
      <c r="A12" s="8">
        <f t="shared" si="0"/>
        <v>3</v>
      </c>
      <c r="B12" s="10"/>
      <c r="C12" s="13"/>
      <c r="D12" s="14"/>
      <c r="E12" s="14"/>
      <c r="F12" s="9"/>
    </row>
    <row r="13" spans="1:7" x14ac:dyDescent="0.2">
      <c r="A13" s="8">
        <f t="shared" si="0"/>
        <v>4</v>
      </c>
      <c r="B13" s="141" t="s">
        <v>189</v>
      </c>
      <c r="C13" s="13"/>
      <c r="D13" s="14"/>
      <c r="E13" s="14"/>
      <c r="F13" s="9"/>
    </row>
    <row r="14" spans="1:7" x14ac:dyDescent="0.2">
      <c r="A14" s="8">
        <f t="shared" si="0"/>
        <v>5</v>
      </c>
      <c r="B14" s="10" t="s">
        <v>202</v>
      </c>
      <c r="C14" s="13" t="s">
        <v>203</v>
      </c>
      <c r="D14" s="14">
        <f>'Rate Impacts'!H13</f>
        <v>0</v>
      </c>
      <c r="E14" s="14">
        <f>'Rate Impacts'!J13</f>
        <v>6.0000000000000002E-6</v>
      </c>
      <c r="F14" s="9" t="str">
        <f t="shared" ref="F14:F17" si="1">IFERROR(E14/D14-1, "na")</f>
        <v>na</v>
      </c>
      <c r="G14" s="13" t="str">
        <f>$G$11</f>
        <v>Sheet No. 141PFG</v>
      </c>
    </row>
    <row r="15" spans="1:7" x14ac:dyDescent="0.2">
      <c r="A15" s="8">
        <f t="shared" si="0"/>
        <v>6</v>
      </c>
      <c r="B15" s="10" t="s">
        <v>204</v>
      </c>
      <c r="C15" s="30" t="s">
        <v>192</v>
      </c>
      <c r="D15" s="14">
        <f>'Rate Impacts'!H14</f>
        <v>0</v>
      </c>
      <c r="E15" s="14">
        <f>'Rate Impacts'!J14</f>
        <v>6.9999999999999999E-6</v>
      </c>
      <c r="F15" s="9" t="str">
        <f t="shared" si="1"/>
        <v>na</v>
      </c>
      <c r="G15" s="13" t="str">
        <f t="shared" ref="G15:G17" si="2">$G$11</f>
        <v>Sheet No. 141PFG</v>
      </c>
    </row>
    <row r="16" spans="1:7" x14ac:dyDescent="0.2">
      <c r="A16" s="8">
        <f t="shared" si="0"/>
        <v>7</v>
      </c>
      <c r="B16" s="10" t="s">
        <v>205</v>
      </c>
      <c r="C16" s="13" t="s">
        <v>206</v>
      </c>
      <c r="D16" s="14">
        <f>'Rate Impacts'!H15</f>
        <v>0</v>
      </c>
      <c r="E16" s="14">
        <f>'Rate Impacts'!J15</f>
        <v>9.0000000000000002E-6</v>
      </c>
      <c r="F16" s="9" t="str">
        <f t="shared" si="1"/>
        <v>na</v>
      </c>
      <c r="G16" s="13" t="str">
        <f t="shared" si="2"/>
        <v>Sheet No. 141PFG</v>
      </c>
    </row>
    <row r="17" spans="1:7" x14ac:dyDescent="0.2">
      <c r="A17" s="8">
        <f t="shared" si="0"/>
        <v>8</v>
      </c>
      <c r="B17" s="10" t="s">
        <v>207</v>
      </c>
      <c r="C17" s="13">
        <v>29</v>
      </c>
      <c r="D17" s="14">
        <f>'Rate Impacts'!H16</f>
        <v>0</v>
      </c>
      <c r="E17" s="14">
        <f>'Rate Impacts'!J16</f>
        <v>5.0000000000000004E-6</v>
      </c>
      <c r="F17" s="9" t="str">
        <f t="shared" si="1"/>
        <v>na</v>
      </c>
      <c r="G17" s="13" t="str">
        <f t="shared" si="2"/>
        <v>Sheet No. 141PFG</v>
      </c>
    </row>
    <row r="18" spans="1:7" x14ac:dyDescent="0.2">
      <c r="A18" s="8">
        <f t="shared" si="0"/>
        <v>9</v>
      </c>
      <c r="B18" s="5" t="s">
        <v>13</v>
      </c>
      <c r="C18" s="23"/>
      <c r="D18" s="60"/>
      <c r="E18" s="60"/>
      <c r="F18" s="11"/>
    </row>
    <row r="19" spans="1:7" x14ac:dyDescent="0.2">
      <c r="A19" s="8">
        <f t="shared" si="0"/>
        <v>10</v>
      </c>
      <c r="B19" s="5"/>
      <c r="C19" s="23"/>
      <c r="D19" s="14"/>
      <c r="E19" s="14"/>
      <c r="F19" s="9"/>
    </row>
    <row r="20" spans="1:7" x14ac:dyDescent="0.2">
      <c r="A20" s="8">
        <f t="shared" si="0"/>
        <v>11</v>
      </c>
      <c r="B20" s="10" t="s">
        <v>190</v>
      </c>
      <c r="C20" s="13"/>
      <c r="D20" s="14"/>
      <c r="E20" s="14"/>
      <c r="F20" s="9"/>
    </row>
    <row r="21" spans="1:7" x14ac:dyDescent="0.2">
      <c r="A21" s="8">
        <f t="shared" si="0"/>
        <v>12</v>
      </c>
      <c r="B21" s="10" t="s">
        <v>208</v>
      </c>
      <c r="C21" s="13" t="s">
        <v>209</v>
      </c>
      <c r="D21" s="14">
        <f>'Rate Impacts'!H20</f>
        <v>0</v>
      </c>
      <c r="E21" s="14">
        <f>'Rate Impacts'!J20</f>
        <v>2.0000000000000002E-5</v>
      </c>
      <c r="F21" s="9" t="str">
        <f>IFERROR(E21/D21-1, "na")</f>
        <v>na</v>
      </c>
      <c r="G21" s="13" t="str">
        <f t="shared" ref="G21:G23" si="3">$G$11</f>
        <v>Sheet No. 141PFG</v>
      </c>
    </row>
    <row r="22" spans="1:7" x14ac:dyDescent="0.2">
      <c r="A22" s="8">
        <f t="shared" si="0"/>
        <v>13</v>
      </c>
      <c r="B22" s="10" t="s">
        <v>210</v>
      </c>
      <c r="C22" s="13">
        <v>35</v>
      </c>
      <c r="D22" s="14">
        <f>'Rate Impacts'!H21</f>
        <v>0</v>
      </c>
      <c r="E22" s="14">
        <f>'Rate Impacts'!J21</f>
        <v>5.0000000000000004E-6</v>
      </c>
      <c r="F22" s="9" t="str">
        <f>IFERROR(E22/D22-1, "na")</f>
        <v>na</v>
      </c>
      <c r="G22" s="13" t="str">
        <f t="shared" si="3"/>
        <v>Sheet No. 141PFG</v>
      </c>
    </row>
    <row r="23" spans="1:7" x14ac:dyDescent="0.2">
      <c r="A23" s="8">
        <f t="shared" si="0"/>
        <v>14</v>
      </c>
      <c r="B23" s="10" t="s">
        <v>211</v>
      </c>
      <c r="C23" s="13">
        <v>43</v>
      </c>
      <c r="D23" s="14">
        <f>'Rate Impacts'!H22</f>
        <v>0</v>
      </c>
      <c r="E23" s="14">
        <f>'Rate Impacts'!J22</f>
        <v>5.0000000000000004E-6</v>
      </c>
      <c r="F23" s="9" t="str">
        <f>IFERROR(E23/D23-1, "na")</f>
        <v>na</v>
      </c>
      <c r="G23" s="13" t="str">
        <f t="shared" si="3"/>
        <v>Sheet No. 141PFG</v>
      </c>
    </row>
    <row r="24" spans="1:7" x14ac:dyDescent="0.2">
      <c r="A24" s="8">
        <f t="shared" si="0"/>
        <v>15</v>
      </c>
      <c r="B24" s="5" t="s">
        <v>14</v>
      </c>
      <c r="C24" s="23"/>
      <c r="D24" s="60"/>
      <c r="E24" s="60"/>
      <c r="F24" s="11"/>
    </row>
    <row r="25" spans="1:7" x14ac:dyDescent="0.2">
      <c r="A25" s="8">
        <f t="shared" si="0"/>
        <v>16</v>
      </c>
      <c r="B25" s="5"/>
      <c r="C25" s="23"/>
      <c r="D25" s="14"/>
      <c r="E25" s="14"/>
      <c r="F25" s="9"/>
    </row>
    <row r="26" spans="1:7" x14ac:dyDescent="0.2">
      <c r="A26" s="8">
        <f t="shared" si="0"/>
        <v>17</v>
      </c>
      <c r="B26" s="10" t="s">
        <v>191</v>
      </c>
      <c r="C26" s="13"/>
      <c r="D26" s="14"/>
      <c r="E26" s="14"/>
      <c r="F26" s="9"/>
    </row>
    <row r="27" spans="1:7" x14ac:dyDescent="0.2">
      <c r="A27" s="8">
        <f t="shared" si="0"/>
        <v>18</v>
      </c>
      <c r="B27" s="10" t="s">
        <v>212</v>
      </c>
      <c r="C27" s="13">
        <v>46</v>
      </c>
      <c r="D27" s="14">
        <f>'Rate Impacts'!H26</f>
        <v>0</v>
      </c>
      <c r="E27" s="14">
        <f>'Rate Impacts'!J26</f>
        <v>3.8999999999999999E-5</v>
      </c>
      <c r="F27" s="9" t="str">
        <f>IFERROR(E27/D27-1, "na")</f>
        <v>na</v>
      </c>
      <c r="G27" s="13" t="str">
        <f t="shared" ref="G27:G28" si="4">$G$11</f>
        <v>Sheet No. 141PFG</v>
      </c>
    </row>
    <row r="28" spans="1:7" x14ac:dyDescent="0.2">
      <c r="A28" s="8">
        <f t="shared" si="0"/>
        <v>19</v>
      </c>
      <c r="B28" s="10" t="s">
        <v>208</v>
      </c>
      <c r="C28" s="13">
        <v>49</v>
      </c>
      <c r="D28" s="14">
        <f>'Rate Impacts'!H27</f>
        <v>0</v>
      </c>
      <c r="E28" s="14">
        <f>'Rate Impacts'!J27</f>
        <v>1.2999999999999999E-5</v>
      </c>
      <c r="F28" s="9" t="str">
        <f>IFERROR(E28/D28-1, "na")</f>
        <v>na</v>
      </c>
      <c r="G28" s="13" t="str">
        <f t="shared" si="4"/>
        <v>Sheet No. 141PFG</v>
      </c>
    </row>
    <row r="29" spans="1:7" x14ac:dyDescent="0.2">
      <c r="A29" s="8">
        <f t="shared" si="0"/>
        <v>20</v>
      </c>
      <c r="B29" s="12" t="s">
        <v>15</v>
      </c>
      <c r="C29" s="23"/>
      <c r="D29" s="60"/>
      <c r="E29" s="60"/>
      <c r="F29" s="11"/>
    </row>
    <row r="30" spans="1:7" x14ac:dyDescent="0.2">
      <c r="A30" s="8">
        <f t="shared" si="0"/>
        <v>21</v>
      </c>
      <c r="B30" s="10"/>
      <c r="C30" s="13"/>
      <c r="D30" s="14"/>
      <c r="E30" s="14"/>
      <c r="F30" s="9"/>
    </row>
    <row r="31" spans="1:7" x14ac:dyDescent="0.2">
      <c r="A31" s="8">
        <f t="shared" si="0"/>
        <v>22</v>
      </c>
      <c r="B31" s="10" t="s">
        <v>213</v>
      </c>
      <c r="C31" s="13" t="s">
        <v>214</v>
      </c>
      <c r="D31" s="14">
        <f>'Rate Impacts'!$H$30</f>
        <v>0</v>
      </c>
      <c r="E31" s="14">
        <f>'Rate Impacts'!$J$30</f>
        <v>5.0000000000000004E-6</v>
      </c>
      <c r="F31" s="9" t="str">
        <f>IFERROR(E31/D31-1, "na")</f>
        <v>na</v>
      </c>
      <c r="G31" s="13" t="str">
        <f t="shared" ref="G31:G32" si="5">$G$27</f>
        <v>Sheet No. 141PFG</v>
      </c>
    </row>
    <row r="32" spans="1:7" x14ac:dyDescent="0.2">
      <c r="A32" s="8">
        <f t="shared" si="0"/>
        <v>23</v>
      </c>
      <c r="B32" s="10" t="s">
        <v>215</v>
      </c>
      <c r="C32" s="13" t="s">
        <v>216</v>
      </c>
      <c r="D32" s="14">
        <f>'Rate Impacts'!$H$32</f>
        <v>0</v>
      </c>
      <c r="E32" s="14">
        <f>'Rate Impacts'!$J$32</f>
        <v>5.0000000000000004E-6</v>
      </c>
      <c r="F32" s="9" t="str">
        <f>IFERROR(E32/D32-1, "na")</f>
        <v>na</v>
      </c>
      <c r="G32" s="13" t="str">
        <f t="shared" si="5"/>
        <v>Sheet No. 141PFG</v>
      </c>
    </row>
    <row r="33" spans="1:7" x14ac:dyDescent="0.2">
      <c r="A33" s="8">
        <f t="shared" si="0"/>
        <v>24</v>
      </c>
      <c r="B33" s="10" t="s">
        <v>217</v>
      </c>
      <c r="C33" s="13" t="s">
        <v>218</v>
      </c>
      <c r="D33" s="14">
        <f>'Rate Impacts'!$H$34</f>
        <v>0</v>
      </c>
      <c r="E33" s="14">
        <f>'Rate Impacts'!$J$34</f>
        <v>5.0000000000000004E-6</v>
      </c>
      <c r="F33" s="9" t="str">
        <f>IFERROR(E33/D33-1, "na")</f>
        <v>na</v>
      </c>
      <c r="G33" s="13" t="s">
        <v>167</v>
      </c>
    </row>
    <row r="34" spans="1:7" x14ac:dyDescent="0.2">
      <c r="A34" s="8">
        <f t="shared" si="0"/>
        <v>25</v>
      </c>
      <c r="B34" s="10"/>
      <c r="C34" s="13"/>
      <c r="D34" s="14"/>
      <c r="E34" s="14"/>
      <c r="F34" s="9"/>
    </row>
    <row r="35" spans="1:7" x14ac:dyDescent="0.2">
      <c r="A35" s="8">
        <f t="shared" si="0"/>
        <v>26</v>
      </c>
      <c r="B35" s="12" t="s">
        <v>51</v>
      </c>
      <c r="C35" s="23"/>
      <c r="D35" s="60"/>
      <c r="E35" s="60"/>
      <c r="F35" s="11"/>
    </row>
    <row r="36" spans="1:7" x14ac:dyDescent="0.2">
      <c r="A36" s="8">
        <f t="shared" si="0"/>
        <v>27</v>
      </c>
      <c r="B36" s="10"/>
      <c r="C36" s="13"/>
      <c r="D36" s="14"/>
      <c r="E36" s="14"/>
      <c r="F36" s="9"/>
    </row>
    <row r="37" spans="1:7" x14ac:dyDescent="0.2">
      <c r="A37" s="8">
        <f t="shared" si="0"/>
        <v>28</v>
      </c>
      <c r="B37" s="10" t="s">
        <v>219</v>
      </c>
      <c r="C37" s="13">
        <v>5</v>
      </c>
      <c r="D37" s="14" t="s">
        <v>66</v>
      </c>
      <c r="E37" s="14" t="s">
        <v>66</v>
      </c>
      <c r="F37" s="9" t="s">
        <v>66</v>
      </c>
    </row>
    <row r="38" spans="1:7" x14ac:dyDescent="0.2">
      <c r="A38" s="8">
        <f t="shared" si="0"/>
        <v>29</v>
      </c>
      <c r="B38" s="10"/>
      <c r="C38" s="12"/>
      <c r="D38" s="14"/>
      <c r="E38" s="14"/>
      <c r="F38" s="9"/>
    </row>
    <row r="39" spans="1:7" ht="12" thickBot="1" x14ac:dyDescent="0.25">
      <c r="A39" s="8">
        <f t="shared" si="0"/>
        <v>30</v>
      </c>
      <c r="B39" s="12" t="s">
        <v>9</v>
      </c>
      <c r="C39" s="5"/>
      <c r="D39" s="49"/>
      <c r="E39" s="49"/>
      <c r="F39" s="51"/>
    </row>
    <row r="40" spans="1:7" ht="12" thickTop="1" x14ac:dyDescent="0.2">
      <c r="A40" s="8">
        <f t="shared" si="0"/>
        <v>31</v>
      </c>
      <c r="B40" s="13"/>
      <c r="C40" s="12"/>
      <c r="D40" s="14"/>
      <c r="E40" s="14"/>
      <c r="F40" s="29"/>
    </row>
    <row r="41" spans="1:7" x14ac:dyDescent="0.2">
      <c r="A41" s="8">
        <f t="shared" si="0"/>
        <v>32</v>
      </c>
      <c r="B41" s="13"/>
      <c r="C41" s="12"/>
      <c r="D41" s="14"/>
      <c r="E41" s="14"/>
      <c r="F41" s="29"/>
    </row>
    <row r="42" spans="1:7" x14ac:dyDescent="0.2">
      <c r="A42" s="8">
        <f t="shared" si="0"/>
        <v>33</v>
      </c>
      <c r="B42" s="17" t="s">
        <v>65</v>
      </c>
      <c r="C42" s="17"/>
    </row>
    <row r="43" spans="1:7" x14ac:dyDescent="0.2">
      <c r="A43" s="8">
        <f t="shared" si="0"/>
        <v>34</v>
      </c>
      <c r="B43" s="10" t="str">
        <f>B11</f>
        <v>Residential</v>
      </c>
      <c r="C43" s="13" t="str">
        <f>C11</f>
        <v>7 (307) (317) (327)</v>
      </c>
      <c r="D43" s="146"/>
      <c r="E43" s="146"/>
      <c r="F43" s="11" t="str">
        <f>IFERROR(E43/D43-1, "na")</f>
        <v>na</v>
      </c>
    </row>
    <row r="44" spans="1:7" x14ac:dyDescent="0.2">
      <c r="A44" s="8">
        <f t="shared" si="0"/>
        <v>35</v>
      </c>
      <c r="B44" s="10"/>
      <c r="C44" s="13"/>
      <c r="D44" s="38"/>
      <c r="E44" s="38"/>
      <c r="F44" s="9"/>
    </row>
    <row r="45" spans="1:7" x14ac:dyDescent="0.2">
      <c r="A45" s="8">
        <f t="shared" si="0"/>
        <v>36</v>
      </c>
      <c r="B45" s="10" t="str">
        <f t="shared" ref="B45:B50" si="6">B13</f>
        <v>Secondary Voltage:</v>
      </c>
      <c r="C45" s="13"/>
      <c r="D45" s="38"/>
      <c r="E45" s="38"/>
      <c r="F45" s="9"/>
    </row>
    <row r="46" spans="1:7" x14ac:dyDescent="0.2">
      <c r="A46" s="8">
        <f t="shared" si="0"/>
        <v>37</v>
      </c>
      <c r="B46" s="147" t="str">
        <f t="shared" si="6"/>
        <v>General Service: Demand &lt;= 50 kW</v>
      </c>
      <c r="C46" s="13" t="str">
        <f>C14</f>
        <v>08 (24) (324)</v>
      </c>
      <c r="D46" s="38"/>
      <c r="E46" s="38"/>
      <c r="F46" s="9" t="str">
        <f>IFERROR(E46/D46-1, "na")</f>
        <v>na</v>
      </c>
    </row>
    <row r="47" spans="1:7" x14ac:dyDescent="0.2">
      <c r="A47" s="8">
        <f t="shared" si="0"/>
        <v>38</v>
      </c>
      <c r="B47" s="147" t="str">
        <f t="shared" si="6"/>
        <v>Small General Service: Demand &gt; 50 kW but &lt;= 350 kW</v>
      </c>
      <c r="C47" s="13" t="str">
        <f>C15</f>
        <v>7A (11) (25)</v>
      </c>
      <c r="D47" s="38"/>
      <c r="E47" s="38"/>
      <c r="F47" s="9" t="str">
        <f>IFERROR(E47/D47-1, "na")</f>
        <v>na</v>
      </c>
    </row>
    <row r="48" spans="1:7" x14ac:dyDescent="0.2">
      <c r="A48" s="8">
        <f t="shared" si="0"/>
        <v>39</v>
      </c>
      <c r="B48" s="147" t="str">
        <f t="shared" si="6"/>
        <v>Large General Service: Demand &gt; 350 kW</v>
      </c>
      <c r="C48" s="13" t="str">
        <f>C16</f>
        <v>12 (26) (26P)</v>
      </c>
      <c r="D48" s="38"/>
      <c r="E48" s="38"/>
      <c r="F48" s="9" t="str">
        <f>IFERROR(E48/D48-1, "na")</f>
        <v>na</v>
      </c>
    </row>
    <row r="49" spans="1:6" x14ac:dyDescent="0.2">
      <c r="A49" s="8">
        <f t="shared" si="0"/>
        <v>40</v>
      </c>
      <c r="B49" s="147" t="str">
        <f t="shared" si="6"/>
        <v>Irrigation &amp; Pumping Service: Demand &gt; 50 kW but &lt;= 350 kW</v>
      </c>
      <c r="C49" s="13">
        <f>C17</f>
        <v>29</v>
      </c>
      <c r="D49" s="38"/>
      <c r="E49" s="38"/>
      <c r="F49" s="9" t="str">
        <f>IFERROR(E49/D49-1, "na")</f>
        <v>na</v>
      </c>
    </row>
    <row r="50" spans="1:6" x14ac:dyDescent="0.2">
      <c r="A50" s="8">
        <f t="shared" si="0"/>
        <v>41</v>
      </c>
      <c r="B50" s="5" t="str">
        <f t="shared" si="6"/>
        <v>Total Secondary Voltage</v>
      </c>
      <c r="C50" s="23"/>
      <c r="D50" s="146"/>
      <c r="E50" s="146"/>
      <c r="F50" s="11"/>
    </row>
    <row r="51" spans="1:6" x14ac:dyDescent="0.2">
      <c r="A51" s="8">
        <f t="shared" si="0"/>
        <v>42</v>
      </c>
      <c r="B51" s="5"/>
      <c r="C51" s="23"/>
      <c r="D51" s="38"/>
      <c r="E51" s="38"/>
      <c r="F51" s="9"/>
    </row>
    <row r="52" spans="1:6" x14ac:dyDescent="0.2">
      <c r="A52" s="8">
        <f t="shared" si="0"/>
        <v>43</v>
      </c>
      <c r="B52" s="10" t="str">
        <f>B20</f>
        <v>Primary Voltage:</v>
      </c>
      <c r="C52" s="13"/>
      <c r="D52" s="38"/>
      <c r="E52" s="38"/>
      <c r="F52" s="9"/>
    </row>
    <row r="53" spans="1:6" x14ac:dyDescent="0.2">
      <c r="A53" s="8">
        <f t="shared" si="0"/>
        <v>44</v>
      </c>
      <c r="B53" s="147" t="str">
        <f>B21</f>
        <v>General Service</v>
      </c>
      <c r="C53" s="13" t="str">
        <f>C21</f>
        <v>10 (31)</v>
      </c>
      <c r="D53" s="38"/>
      <c r="E53" s="38"/>
      <c r="F53" s="9" t="str">
        <f>IFERROR(E53/D53-1, "na")</f>
        <v>na</v>
      </c>
    </row>
    <row r="54" spans="1:6" x14ac:dyDescent="0.2">
      <c r="A54" s="8">
        <f t="shared" si="0"/>
        <v>45</v>
      </c>
      <c r="B54" s="147" t="str">
        <f>B22</f>
        <v>Irrigation &amp; Pumping Service</v>
      </c>
      <c r="C54" s="13">
        <f>C22</f>
        <v>35</v>
      </c>
      <c r="D54" s="38"/>
      <c r="E54" s="38"/>
      <c r="F54" s="9" t="str">
        <f>IFERROR(E54/D54-1, "na")</f>
        <v>na</v>
      </c>
    </row>
    <row r="55" spans="1:6" x14ac:dyDescent="0.2">
      <c r="A55" s="8">
        <f t="shared" si="0"/>
        <v>46</v>
      </c>
      <c r="B55" s="147" t="str">
        <f>B23</f>
        <v>All Electric Schools</v>
      </c>
      <c r="C55" s="13">
        <f>C23</f>
        <v>43</v>
      </c>
      <c r="D55" s="38"/>
      <c r="E55" s="38"/>
      <c r="F55" s="9" t="str">
        <f>IFERROR(E55/D55-1, "na")</f>
        <v>na</v>
      </c>
    </row>
    <row r="56" spans="1:6" x14ac:dyDescent="0.2">
      <c r="A56" s="8">
        <f t="shared" si="0"/>
        <v>47</v>
      </c>
      <c r="B56" s="5" t="str">
        <f>B24</f>
        <v>Total Primary Voltage</v>
      </c>
      <c r="C56" s="23"/>
      <c r="D56" s="146"/>
      <c r="E56" s="146"/>
      <c r="F56" s="11"/>
    </row>
    <row r="57" spans="1:6" x14ac:dyDescent="0.2">
      <c r="A57" s="8">
        <f t="shared" si="0"/>
        <v>48</v>
      </c>
      <c r="B57" s="5"/>
      <c r="C57" s="23"/>
      <c r="D57" s="38"/>
      <c r="E57" s="38"/>
      <c r="F57" s="9"/>
    </row>
    <row r="58" spans="1:6" x14ac:dyDescent="0.2">
      <c r="A58" s="8">
        <f t="shared" ref="A58:A71" si="7">+A57+1</f>
        <v>49</v>
      </c>
      <c r="B58" s="10" t="str">
        <f>B26</f>
        <v>High Voltage:</v>
      </c>
      <c r="C58" s="13"/>
      <c r="D58" s="38"/>
      <c r="E58" s="38"/>
      <c r="F58" s="9"/>
    </row>
    <row r="59" spans="1:6" x14ac:dyDescent="0.2">
      <c r="A59" s="8">
        <f t="shared" si="7"/>
        <v>50</v>
      </c>
      <c r="B59" s="147" t="str">
        <f>B27</f>
        <v>Interruptible Service</v>
      </c>
      <c r="C59" s="13">
        <f>C27</f>
        <v>46</v>
      </c>
      <c r="D59" s="38"/>
      <c r="E59" s="38"/>
      <c r="F59" s="9" t="str">
        <f>IFERROR(E59/D59-1, "na")</f>
        <v>na</v>
      </c>
    </row>
    <row r="60" spans="1:6" x14ac:dyDescent="0.2">
      <c r="A60" s="8">
        <f t="shared" si="7"/>
        <v>51</v>
      </c>
      <c r="B60" s="147" t="str">
        <f>B28</f>
        <v>General Service</v>
      </c>
      <c r="C60" s="13">
        <f>C28</f>
        <v>49</v>
      </c>
      <c r="D60" s="38"/>
      <c r="E60" s="38"/>
      <c r="F60" s="9" t="str">
        <f>IFERROR(E60/D60-1, "na")</f>
        <v>na</v>
      </c>
    </row>
    <row r="61" spans="1:6" x14ac:dyDescent="0.2">
      <c r="A61" s="8">
        <f t="shared" si="7"/>
        <v>52</v>
      </c>
      <c r="B61" s="12" t="str">
        <f>B29</f>
        <v>Total High Voltage</v>
      </c>
      <c r="C61" s="23"/>
      <c r="D61" s="146"/>
      <c r="E61" s="146"/>
      <c r="F61" s="11"/>
    </row>
    <row r="62" spans="1:6" x14ac:dyDescent="0.2">
      <c r="A62" s="8">
        <f t="shared" si="7"/>
        <v>53</v>
      </c>
      <c r="B62" s="10"/>
      <c r="C62" s="13"/>
      <c r="D62" s="38"/>
      <c r="E62" s="38"/>
      <c r="F62" s="9"/>
    </row>
    <row r="63" spans="1:6" x14ac:dyDescent="0.2">
      <c r="A63" s="8">
        <f t="shared" si="7"/>
        <v>54</v>
      </c>
      <c r="B63" s="5" t="str">
        <f t="shared" ref="B63:C65" si="8">B31</f>
        <v>Choice / Retail Wheeling</v>
      </c>
      <c r="C63" s="13" t="str">
        <f t="shared" si="8"/>
        <v>448 - 459</v>
      </c>
      <c r="D63" s="38"/>
      <c r="E63" s="38"/>
      <c r="F63" s="9" t="str">
        <f>IFERROR(E63/D63-1, "na")</f>
        <v>na</v>
      </c>
    </row>
    <row r="64" spans="1:6" x14ac:dyDescent="0.2">
      <c r="A64" s="8">
        <f t="shared" si="7"/>
        <v>55</v>
      </c>
      <c r="B64" s="10" t="str">
        <f t="shared" si="8"/>
        <v>Special Contracts</v>
      </c>
      <c r="C64" s="13" t="str">
        <f t="shared" si="8"/>
        <v>Special Contract</v>
      </c>
      <c r="D64" s="38"/>
      <c r="E64" s="38"/>
      <c r="F64" s="9" t="str">
        <f>IFERROR(E64/D64-1, "na")</f>
        <v>na</v>
      </c>
    </row>
    <row r="65" spans="1:6" x14ac:dyDescent="0.2">
      <c r="A65" s="8">
        <f t="shared" si="7"/>
        <v>56</v>
      </c>
      <c r="B65" s="10" t="str">
        <f t="shared" si="8"/>
        <v>Lighting</v>
      </c>
      <c r="C65" s="13" t="str">
        <f t="shared" si="8"/>
        <v>50 - 59</v>
      </c>
      <c r="D65" s="38"/>
      <c r="E65" s="38"/>
      <c r="F65" s="9" t="str">
        <f>IFERROR(E65/D65-1, "na")</f>
        <v>na</v>
      </c>
    </row>
    <row r="66" spans="1:6" x14ac:dyDescent="0.2">
      <c r="A66" s="8">
        <f t="shared" si="7"/>
        <v>57</v>
      </c>
      <c r="B66" s="10"/>
      <c r="C66" s="13"/>
      <c r="D66" s="38"/>
      <c r="E66" s="38"/>
      <c r="F66" s="9"/>
    </row>
    <row r="67" spans="1:6" x14ac:dyDescent="0.2">
      <c r="A67" s="8">
        <f t="shared" si="7"/>
        <v>58</v>
      </c>
      <c r="B67" s="12" t="str">
        <f>B35</f>
        <v>Total Retail Sales</v>
      </c>
      <c r="C67" s="23"/>
      <c r="D67" s="146"/>
      <c r="E67" s="146"/>
      <c r="F67" s="11"/>
    </row>
    <row r="68" spans="1:6" x14ac:dyDescent="0.2">
      <c r="A68" s="8">
        <f t="shared" si="7"/>
        <v>59</v>
      </c>
      <c r="B68" s="10"/>
      <c r="C68" s="13"/>
      <c r="D68" s="38"/>
      <c r="E68" s="38"/>
      <c r="F68" s="9"/>
    </row>
    <row r="69" spans="1:6" x14ac:dyDescent="0.2">
      <c r="A69" s="8">
        <f t="shared" si="7"/>
        <v>60</v>
      </c>
      <c r="B69" s="10" t="str">
        <f>B37</f>
        <v>Firm Resale</v>
      </c>
      <c r="C69" s="13">
        <f>C37</f>
        <v>5</v>
      </c>
      <c r="D69" s="38"/>
      <c r="E69" s="38"/>
      <c r="F69" s="9" t="str">
        <f>IFERROR(E69/D69-1, "na")</f>
        <v>na</v>
      </c>
    </row>
    <row r="70" spans="1:6" x14ac:dyDescent="0.2">
      <c r="A70" s="8">
        <f t="shared" si="7"/>
        <v>61</v>
      </c>
      <c r="B70" s="10"/>
      <c r="C70" s="12"/>
      <c r="D70" s="14"/>
      <c r="E70" s="14"/>
      <c r="F70" s="9"/>
    </row>
    <row r="71" spans="1:6" ht="12" thickBot="1" x14ac:dyDescent="0.25">
      <c r="A71" s="8">
        <f t="shared" si="7"/>
        <v>62</v>
      </c>
      <c r="B71" s="12" t="str">
        <f>B39</f>
        <v>Total Sales</v>
      </c>
      <c r="C71" s="5"/>
      <c r="D71" s="49"/>
      <c r="E71" s="49"/>
      <c r="F71" s="51"/>
    </row>
    <row r="72" spans="1:6" ht="12" thickTop="1" x14ac:dyDescent="0.2"/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DA4C3-18C2-43D6-8660-4B6DA9487F56}">
  <sheetPr>
    <tabColor theme="6" tint="0.79998168889431442"/>
  </sheetPr>
  <dimension ref="A1:E163"/>
  <sheetViews>
    <sheetView workbookViewId="0">
      <pane ySplit="7" topLeftCell="A8" activePane="bottomLeft" state="frozen"/>
      <selection activeCell="B18" sqref="B18"/>
      <selection pane="bottomLeft" activeCell="B18" sqref="B18"/>
    </sheetView>
  </sheetViews>
  <sheetFormatPr defaultColWidth="8.85546875" defaultRowHeight="11.25" x14ac:dyDescent="0.2"/>
  <cols>
    <col min="1" max="1" width="6.7109375" style="4" bestFit="1" customWidth="1"/>
    <col min="2" max="2" width="29" style="4" customWidth="1"/>
    <col min="3" max="3" width="11.5703125" style="4" bestFit="1" customWidth="1"/>
    <col min="4" max="4" width="13.5703125" style="4" customWidth="1"/>
    <col min="5" max="5" width="20.28515625" style="4" customWidth="1"/>
    <col min="6" max="16384" width="8.85546875" style="4"/>
  </cols>
  <sheetData>
    <row r="1" spans="1:5" x14ac:dyDescent="0.2">
      <c r="A1" s="31" t="str">
        <f>'Sch 149PFG Rates'!A1</f>
        <v>PUGET SOUND ENERGY</v>
      </c>
      <c r="B1" s="31"/>
      <c r="C1" s="31"/>
      <c r="D1" s="30"/>
      <c r="E1" s="31"/>
    </row>
    <row r="2" spans="1:5" x14ac:dyDescent="0.2">
      <c r="A2" s="31" t="str">
        <f>'Sch 149PFG Rates'!A2</f>
        <v xml:space="preserve">Schedule 141PFG - Intervenor Funding </v>
      </c>
      <c r="B2" s="31"/>
      <c r="C2" s="31"/>
      <c r="D2" s="30"/>
      <c r="E2" s="31"/>
    </row>
    <row r="3" spans="1:5" x14ac:dyDescent="0.2">
      <c r="A3" s="31" t="str">
        <f>'Sch 149PFG Rates'!A3</f>
        <v xml:space="preserve">Proposed Rates </v>
      </c>
      <c r="B3" s="31"/>
      <c r="C3" s="31"/>
      <c r="D3" s="30"/>
      <c r="E3" s="31"/>
    </row>
    <row r="4" spans="1:5" x14ac:dyDescent="0.2">
      <c r="A4" s="31" t="str">
        <f>'Sch 149PFG Rates'!A4</f>
        <v>Effective May 1, 2024 - April 30, 2025</v>
      </c>
      <c r="B4" s="31"/>
      <c r="C4" s="31"/>
      <c r="D4" s="30"/>
      <c r="E4" s="31"/>
    </row>
    <row r="5" spans="1:5" x14ac:dyDescent="0.2">
      <c r="A5" s="31" t="s">
        <v>166</v>
      </c>
      <c r="B5" s="31"/>
      <c r="C5" s="31"/>
      <c r="D5" s="30"/>
      <c r="E5" s="31"/>
    </row>
    <row r="6" spans="1:5" x14ac:dyDescent="0.2">
      <c r="A6" s="31" t="s">
        <v>11</v>
      </c>
      <c r="B6" s="31"/>
      <c r="C6" s="31"/>
      <c r="D6" s="30"/>
      <c r="E6" s="31"/>
    </row>
    <row r="7" spans="1:5" ht="22.5" x14ac:dyDescent="0.2">
      <c r="A7" s="32" t="s">
        <v>4</v>
      </c>
      <c r="B7" s="34" t="s">
        <v>107</v>
      </c>
      <c r="C7" s="33" t="s">
        <v>106</v>
      </c>
      <c r="D7" s="73" t="s">
        <v>75</v>
      </c>
      <c r="E7" s="32" t="s">
        <v>131</v>
      </c>
    </row>
    <row r="8" spans="1:5" x14ac:dyDescent="0.2">
      <c r="A8" s="25">
        <v>1</v>
      </c>
      <c r="B8" s="139" t="s">
        <v>177</v>
      </c>
      <c r="C8" s="139"/>
      <c r="D8" s="170"/>
      <c r="E8" s="140"/>
    </row>
    <row r="9" spans="1:5" ht="13.5" x14ac:dyDescent="0.35">
      <c r="A9" s="25">
        <f t="shared" ref="A9:A40" si="0">A8+1</f>
        <v>2</v>
      </c>
      <c r="B9" s="28" t="s">
        <v>105</v>
      </c>
      <c r="C9" s="29"/>
      <c r="E9" s="13"/>
    </row>
    <row r="10" spans="1:5" x14ac:dyDescent="0.2">
      <c r="A10" s="25">
        <f t="shared" si="0"/>
        <v>3</v>
      </c>
      <c r="B10" s="5" t="s">
        <v>104</v>
      </c>
      <c r="C10" s="24">
        <v>22</v>
      </c>
      <c r="D10" s="38">
        <f>ROUND('Lighting RD'!F11,2)</f>
        <v>0</v>
      </c>
      <c r="E10" s="23" t="s">
        <v>165</v>
      </c>
    </row>
    <row r="11" spans="1:5" x14ac:dyDescent="0.2">
      <c r="A11" s="25">
        <f t="shared" si="0"/>
        <v>4</v>
      </c>
      <c r="B11" s="5"/>
      <c r="C11" s="16"/>
      <c r="D11" s="38"/>
      <c r="E11" s="13"/>
    </row>
    <row r="12" spans="1:5" x14ac:dyDescent="0.2">
      <c r="A12" s="25">
        <f t="shared" si="0"/>
        <v>5</v>
      </c>
      <c r="B12" s="5" t="s">
        <v>103</v>
      </c>
      <c r="C12" s="24">
        <v>100</v>
      </c>
      <c r="D12" s="38">
        <f>ROUND('Lighting RD'!F13,2)</f>
        <v>0</v>
      </c>
      <c r="E12" s="23" t="str">
        <f>$E$10</f>
        <v>N/A</v>
      </c>
    </row>
    <row r="13" spans="1:5" x14ac:dyDescent="0.2">
      <c r="A13" s="25">
        <f t="shared" si="0"/>
        <v>6</v>
      </c>
      <c r="B13" s="5" t="s">
        <v>103</v>
      </c>
      <c r="C13" s="24">
        <v>175</v>
      </c>
      <c r="D13" s="38">
        <f>ROUND('Lighting RD'!F14,2)</f>
        <v>0</v>
      </c>
      <c r="E13" s="23" t="str">
        <f t="shared" ref="E13:E15" si="1">$E$10</f>
        <v>N/A</v>
      </c>
    </row>
    <row r="14" spans="1:5" x14ac:dyDescent="0.2">
      <c r="A14" s="25">
        <f t="shared" si="0"/>
        <v>7</v>
      </c>
      <c r="B14" s="5" t="s">
        <v>103</v>
      </c>
      <c r="C14" s="24">
        <v>400</v>
      </c>
      <c r="D14" s="38">
        <f>ROUND('Lighting RD'!F15,2)</f>
        <v>0</v>
      </c>
      <c r="E14" s="23" t="str">
        <f t="shared" si="1"/>
        <v>N/A</v>
      </c>
    </row>
    <row r="15" spans="1:5" x14ac:dyDescent="0.2">
      <c r="A15" s="25">
        <f t="shared" si="0"/>
        <v>8</v>
      </c>
      <c r="B15" s="5" t="s">
        <v>103</v>
      </c>
      <c r="C15" s="24">
        <v>700</v>
      </c>
      <c r="D15" s="38">
        <v>0</v>
      </c>
      <c r="E15" s="23" t="str">
        <f t="shared" si="1"/>
        <v>N/A</v>
      </c>
    </row>
    <row r="16" spans="1:5" x14ac:dyDescent="0.2">
      <c r="A16" s="25">
        <f t="shared" si="0"/>
        <v>9</v>
      </c>
      <c r="B16" s="12"/>
      <c r="C16" s="13"/>
      <c r="D16" s="38"/>
      <c r="E16" s="13"/>
    </row>
    <row r="17" spans="1:5" ht="13.5" x14ac:dyDescent="0.35">
      <c r="A17" s="25">
        <f t="shared" si="0"/>
        <v>10</v>
      </c>
      <c r="B17" s="28" t="s">
        <v>102</v>
      </c>
      <c r="C17" s="13"/>
      <c r="D17" s="38"/>
      <c r="E17" s="13"/>
    </row>
    <row r="18" spans="1:5" x14ac:dyDescent="0.2">
      <c r="A18" s="25">
        <f t="shared" si="0"/>
        <v>11</v>
      </c>
      <c r="B18" s="5" t="s">
        <v>101</v>
      </c>
      <c r="C18" s="13" t="s">
        <v>61</v>
      </c>
      <c r="D18" s="38">
        <f>ROUND('Lighting RD'!F19,2)</f>
        <v>0</v>
      </c>
      <c r="E18" s="23" t="str">
        <f t="shared" ref="E18" si="2">$E$10</f>
        <v>N/A</v>
      </c>
    </row>
    <row r="19" spans="1:5" x14ac:dyDescent="0.2">
      <c r="A19" s="25">
        <f t="shared" si="0"/>
        <v>12</v>
      </c>
      <c r="B19" s="5" t="s">
        <v>101</v>
      </c>
      <c r="C19" s="26" t="s">
        <v>60</v>
      </c>
      <c r="D19" s="38">
        <f>ROUND('Lighting RD'!F20,2)</f>
        <v>0</v>
      </c>
      <c r="E19" s="23" t="str">
        <f>$E$18</f>
        <v>N/A</v>
      </c>
    </row>
    <row r="20" spans="1:5" x14ac:dyDescent="0.2">
      <c r="A20" s="25">
        <f t="shared" si="0"/>
        <v>13</v>
      </c>
      <c r="B20" s="5" t="s">
        <v>101</v>
      </c>
      <c r="C20" s="24" t="s">
        <v>35</v>
      </c>
      <c r="D20" s="38">
        <f>ROUND('Lighting RD'!F21,2)</f>
        <v>0</v>
      </c>
      <c r="E20" s="23" t="str">
        <f t="shared" ref="E20:E29" si="3">$E$18</f>
        <v>N/A</v>
      </c>
    </row>
    <row r="21" spans="1:5" x14ac:dyDescent="0.2">
      <c r="A21" s="25">
        <f t="shared" si="0"/>
        <v>14</v>
      </c>
      <c r="B21" s="5" t="s">
        <v>101</v>
      </c>
      <c r="C21" s="24" t="s">
        <v>34</v>
      </c>
      <c r="D21" s="38">
        <f>ROUND('Lighting RD'!F22,2)</f>
        <v>0</v>
      </c>
      <c r="E21" s="23" t="str">
        <f t="shared" si="3"/>
        <v>N/A</v>
      </c>
    </row>
    <row r="22" spans="1:5" x14ac:dyDescent="0.2">
      <c r="A22" s="25">
        <f t="shared" si="0"/>
        <v>15</v>
      </c>
      <c r="B22" s="5" t="s">
        <v>101</v>
      </c>
      <c r="C22" s="24" t="s">
        <v>33</v>
      </c>
      <c r="D22" s="38">
        <f>ROUND('Lighting RD'!F23,2)</f>
        <v>0</v>
      </c>
      <c r="E22" s="23" t="str">
        <f t="shared" si="3"/>
        <v>N/A</v>
      </c>
    </row>
    <row r="23" spans="1:5" x14ac:dyDescent="0.2">
      <c r="A23" s="25">
        <f t="shared" si="0"/>
        <v>16</v>
      </c>
      <c r="B23" s="5" t="s">
        <v>101</v>
      </c>
      <c r="C23" s="24" t="s">
        <v>32</v>
      </c>
      <c r="D23" s="38">
        <f>ROUND('Lighting RD'!F24,2)</f>
        <v>0</v>
      </c>
      <c r="E23" s="23" t="str">
        <f t="shared" si="3"/>
        <v>N/A</v>
      </c>
    </row>
    <row r="24" spans="1:5" x14ac:dyDescent="0.2">
      <c r="A24" s="25">
        <f t="shared" si="0"/>
        <v>17</v>
      </c>
      <c r="B24" s="5" t="s">
        <v>101</v>
      </c>
      <c r="C24" s="24" t="s">
        <v>31</v>
      </c>
      <c r="D24" s="38">
        <f>ROUND('Lighting RD'!F25,2)</f>
        <v>0</v>
      </c>
      <c r="E24" s="23" t="str">
        <f t="shared" si="3"/>
        <v>N/A</v>
      </c>
    </row>
    <row r="25" spans="1:5" x14ac:dyDescent="0.2">
      <c r="A25" s="25">
        <f t="shared" si="0"/>
        <v>18</v>
      </c>
      <c r="B25" s="5" t="s">
        <v>101</v>
      </c>
      <c r="C25" s="24" t="s">
        <v>30</v>
      </c>
      <c r="D25" s="38">
        <f>ROUND('Lighting RD'!F26,2)</f>
        <v>0</v>
      </c>
      <c r="E25" s="23" t="str">
        <f t="shared" si="3"/>
        <v>N/A</v>
      </c>
    </row>
    <row r="26" spans="1:5" x14ac:dyDescent="0.2">
      <c r="A26" s="25">
        <f t="shared" si="0"/>
        <v>19</v>
      </c>
      <c r="B26" s="5" t="s">
        <v>101</v>
      </c>
      <c r="C26" s="24" t="s">
        <v>29</v>
      </c>
      <c r="D26" s="38">
        <f>ROUND('Lighting RD'!F27,2)</f>
        <v>0</v>
      </c>
      <c r="E26" s="23" t="str">
        <f t="shared" si="3"/>
        <v>N/A</v>
      </c>
    </row>
    <row r="27" spans="1:5" x14ac:dyDescent="0.2">
      <c r="A27" s="25">
        <f t="shared" si="0"/>
        <v>20</v>
      </c>
      <c r="B27" s="5" t="s">
        <v>101</v>
      </c>
      <c r="C27" s="24" t="s">
        <v>28</v>
      </c>
      <c r="D27" s="38">
        <f>ROUND('Lighting RD'!F28,2)</f>
        <v>0</v>
      </c>
      <c r="E27" s="23" t="str">
        <f t="shared" si="3"/>
        <v>N/A</v>
      </c>
    </row>
    <row r="28" spans="1:5" x14ac:dyDescent="0.2">
      <c r="A28" s="25">
        <f t="shared" si="0"/>
        <v>21</v>
      </c>
      <c r="B28" s="5"/>
      <c r="C28" s="24"/>
      <c r="D28" s="38"/>
      <c r="E28" s="23"/>
    </row>
    <row r="29" spans="1:5" x14ac:dyDescent="0.2">
      <c r="A29" s="25">
        <f t="shared" si="0"/>
        <v>22</v>
      </c>
      <c r="B29" s="5" t="s">
        <v>100</v>
      </c>
      <c r="C29" s="24" t="s">
        <v>91</v>
      </c>
      <c r="D29" s="38">
        <v>0</v>
      </c>
      <c r="E29" s="23" t="str">
        <f t="shared" si="3"/>
        <v>N/A</v>
      </c>
    </row>
    <row r="30" spans="1:5" x14ac:dyDescent="0.2">
      <c r="A30" s="25">
        <f t="shared" si="0"/>
        <v>23</v>
      </c>
      <c r="B30" s="12"/>
      <c r="C30" s="13"/>
      <c r="D30" s="38"/>
      <c r="E30" s="13"/>
    </row>
    <row r="31" spans="1:5" ht="13.5" x14ac:dyDescent="0.35">
      <c r="A31" s="25">
        <f t="shared" si="0"/>
        <v>24</v>
      </c>
      <c r="B31" s="28" t="s">
        <v>99</v>
      </c>
      <c r="C31" s="13"/>
      <c r="D31" s="38"/>
      <c r="E31" s="13"/>
    </row>
    <row r="32" spans="1:5" x14ac:dyDescent="0.2">
      <c r="A32" s="25">
        <f t="shared" si="0"/>
        <v>25</v>
      </c>
      <c r="B32" s="5" t="s">
        <v>98</v>
      </c>
      <c r="C32" s="24">
        <v>50</v>
      </c>
      <c r="D32" s="38">
        <f>ROUND('Lighting RD'!F32,2)</f>
        <v>0</v>
      </c>
      <c r="E32" s="23" t="str">
        <f t="shared" ref="E32" si="4">$E$10</f>
        <v>N/A</v>
      </c>
    </row>
    <row r="33" spans="1:5" x14ac:dyDescent="0.2">
      <c r="A33" s="25">
        <f t="shared" si="0"/>
        <v>26</v>
      </c>
      <c r="B33" s="5" t="s">
        <v>98</v>
      </c>
      <c r="C33" s="24">
        <v>70</v>
      </c>
      <c r="D33" s="38">
        <f>ROUND('Lighting RD'!F33,2)</f>
        <v>0</v>
      </c>
      <c r="E33" s="23" t="str">
        <f>$E$32</f>
        <v>N/A</v>
      </c>
    </row>
    <row r="34" spans="1:5" x14ac:dyDescent="0.2">
      <c r="A34" s="25">
        <f t="shared" si="0"/>
        <v>27</v>
      </c>
      <c r="B34" s="5" t="s">
        <v>98</v>
      </c>
      <c r="C34" s="24">
        <v>100</v>
      </c>
      <c r="D34" s="38">
        <f>ROUND('Lighting RD'!F34,2)</f>
        <v>0</v>
      </c>
      <c r="E34" s="23" t="str">
        <f t="shared" ref="E34:E47" si="5">$E$32</f>
        <v>N/A</v>
      </c>
    </row>
    <row r="35" spans="1:5" x14ac:dyDescent="0.2">
      <c r="A35" s="25">
        <f t="shared" si="0"/>
        <v>28</v>
      </c>
      <c r="B35" s="5" t="s">
        <v>98</v>
      </c>
      <c r="C35" s="24">
        <v>150</v>
      </c>
      <c r="D35" s="38">
        <f>ROUND('Lighting RD'!F35,2)</f>
        <v>0</v>
      </c>
      <c r="E35" s="23" t="str">
        <f t="shared" si="5"/>
        <v>N/A</v>
      </c>
    </row>
    <row r="36" spans="1:5" x14ac:dyDescent="0.2">
      <c r="A36" s="25">
        <f t="shared" si="0"/>
        <v>29</v>
      </c>
      <c r="B36" s="5" t="s">
        <v>98</v>
      </c>
      <c r="C36" s="24">
        <v>200</v>
      </c>
      <c r="D36" s="38">
        <f>ROUND('Lighting RD'!F36,2)</f>
        <v>0</v>
      </c>
      <c r="E36" s="23" t="str">
        <f t="shared" si="5"/>
        <v>N/A</v>
      </c>
    </row>
    <row r="37" spans="1:5" x14ac:dyDescent="0.2">
      <c r="A37" s="25">
        <f t="shared" si="0"/>
        <v>30</v>
      </c>
      <c r="B37" s="5" t="s">
        <v>98</v>
      </c>
      <c r="C37" s="24">
        <v>250</v>
      </c>
      <c r="D37" s="38">
        <f>ROUND('Lighting RD'!F37,2)</f>
        <v>0</v>
      </c>
      <c r="E37" s="23" t="str">
        <f t="shared" si="5"/>
        <v>N/A</v>
      </c>
    </row>
    <row r="38" spans="1:5" x14ac:dyDescent="0.2">
      <c r="A38" s="25">
        <f t="shared" si="0"/>
        <v>31</v>
      </c>
      <c r="B38" s="5" t="s">
        <v>98</v>
      </c>
      <c r="C38" s="24">
        <v>310</v>
      </c>
      <c r="D38" s="38">
        <f>ROUND('Lighting RD'!F38,2)</f>
        <v>0</v>
      </c>
      <c r="E38" s="23" t="str">
        <f t="shared" si="5"/>
        <v>N/A</v>
      </c>
    </row>
    <row r="39" spans="1:5" x14ac:dyDescent="0.2">
      <c r="A39" s="25">
        <f t="shared" si="0"/>
        <v>32</v>
      </c>
      <c r="B39" s="5" t="s">
        <v>98</v>
      </c>
      <c r="C39" s="24">
        <v>400</v>
      </c>
      <c r="D39" s="38">
        <f>ROUND('Lighting RD'!F39,2)</f>
        <v>0</v>
      </c>
      <c r="E39" s="23" t="str">
        <f t="shared" si="5"/>
        <v>N/A</v>
      </c>
    </row>
    <row r="40" spans="1:5" x14ac:dyDescent="0.2">
      <c r="A40" s="25">
        <f t="shared" si="0"/>
        <v>33</v>
      </c>
      <c r="B40" s="27"/>
      <c r="C40" s="24"/>
      <c r="D40" s="38"/>
      <c r="E40" s="13"/>
    </row>
    <row r="41" spans="1:5" x14ac:dyDescent="0.2">
      <c r="A41" s="25">
        <f t="shared" ref="A41:A72" si="6">A40+1</f>
        <v>34</v>
      </c>
      <c r="B41" s="5" t="s">
        <v>97</v>
      </c>
      <c r="C41" s="24">
        <v>70</v>
      </c>
      <c r="D41" s="38">
        <f>ROUND('Lighting RD'!F41,2)</f>
        <v>0</v>
      </c>
      <c r="E41" s="23" t="str">
        <f t="shared" si="5"/>
        <v>N/A</v>
      </c>
    </row>
    <row r="42" spans="1:5" x14ac:dyDescent="0.2">
      <c r="A42" s="25">
        <f t="shared" si="6"/>
        <v>35</v>
      </c>
      <c r="B42" s="5" t="s">
        <v>97</v>
      </c>
      <c r="C42" s="24">
        <v>100</v>
      </c>
      <c r="D42" s="38">
        <f>ROUND('Lighting RD'!F42,2)</f>
        <v>0</v>
      </c>
      <c r="E42" s="23" t="str">
        <f t="shared" si="5"/>
        <v>N/A</v>
      </c>
    </row>
    <row r="43" spans="1:5" x14ac:dyDescent="0.2">
      <c r="A43" s="25">
        <f t="shared" si="6"/>
        <v>36</v>
      </c>
      <c r="B43" s="5" t="s">
        <v>97</v>
      </c>
      <c r="C43" s="24">
        <v>150</v>
      </c>
      <c r="D43" s="38">
        <f>ROUND('Lighting RD'!F43,2)</f>
        <v>0</v>
      </c>
      <c r="E43" s="23" t="str">
        <f t="shared" si="5"/>
        <v>N/A</v>
      </c>
    </row>
    <row r="44" spans="1:5" x14ac:dyDescent="0.2">
      <c r="A44" s="25">
        <f t="shared" si="6"/>
        <v>37</v>
      </c>
      <c r="B44" s="5" t="s">
        <v>97</v>
      </c>
      <c r="C44" s="24">
        <v>175</v>
      </c>
      <c r="D44" s="38">
        <f>ROUND('Lighting RD'!F44,2)</f>
        <v>0</v>
      </c>
      <c r="E44" s="23" t="str">
        <f t="shared" si="5"/>
        <v>N/A</v>
      </c>
    </row>
    <row r="45" spans="1:5" x14ac:dyDescent="0.2">
      <c r="A45" s="25">
        <f t="shared" si="6"/>
        <v>38</v>
      </c>
      <c r="B45" s="5" t="s">
        <v>97</v>
      </c>
      <c r="C45" s="24">
        <v>250</v>
      </c>
      <c r="D45" s="38">
        <f>ROUND('Lighting RD'!F45,2)</f>
        <v>0</v>
      </c>
      <c r="E45" s="23" t="str">
        <f t="shared" si="5"/>
        <v>N/A</v>
      </c>
    </row>
    <row r="46" spans="1:5" x14ac:dyDescent="0.2">
      <c r="A46" s="25">
        <f t="shared" si="6"/>
        <v>39</v>
      </c>
      <c r="B46" s="5" t="s">
        <v>97</v>
      </c>
      <c r="C46" s="24">
        <v>400</v>
      </c>
      <c r="D46" s="38">
        <f>ROUND('Lighting RD'!F46,2)</f>
        <v>0</v>
      </c>
      <c r="E46" s="23" t="str">
        <f t="shared" si="5"/>
        <v>N/A</v>
      </c>
    </row>
    <row r="47" spans="1:5" x14ac:dyDescent="0.2">
      <c r="A47" s="25">
        <f t="shared" si="6"/>
        <v>40</v>
      </c>
      <c r="B47" s="5" t="s">
        <v>97</v>
      </c>
      <c r="C47" s="24">
        <v>1000</v>
      </c>
      <c r="D47" s="38">
        <v>0</v>
      </c>
      <c r="E47" s="23" t="str">
        <f t="shared" si="5"/>
        <v>N/A</v>
      </c>
    </row>
    <row r="48" spans="1:5" x14ac:dyDescent="0.2">
      <c r="A48" s="25">
        <f t="shared" si="6"/>
        <v>41</v>
      </c>
      <c r="B48" s="12"/>
      <c r="C48" s="13"/>
      <c r="D48" s="38"/>
      <c r="E48" s="13"/>
    </row>
    <row r="49" spans="1:5" ht="13.5" x14ac:dyDescent="0.35">
      <c r="A49" s="25">
        <f t="shared" si="6"/>
        <v>42</v>
      </c>
      <c r="B49" s="28" t="s">
        <v>96</v>
      </c>
      <c r="C49" s="13"/>
      <c r="D49" s="38"/>
      <c r="E49" s="13"/>
    </row>
    <row r="50" spans="1:5" x14ac:dyDescent="0.2">
      <c r="A50" s="25">
        <f t="shared" si="6"/>
        <v>43</v>
      </c>
      <c r="B50" s="5" t="s">
        <v>95</v>
      </c>
      <c r="C50" s="24">
        <v>50</v>
      </c>
      <c r="D50" s="38">
        <f>ROUND('Lighting RD'!F50,2)</f>
        <v>0</v>
      </c>
      <c r="E50" s="23" t="str">
        <f t="shared" ref="E50:E58" si="7">$E$32</f>
        <v>N/A</v>
      </c>
    </row>
    <row r="51" spans="1:5" x14ac:dyDescent="0.2">
      <c r="A51" s="25">
        <f t="shared" si="6"/>
        <v>44</v>
      </c>
      <c r="B51" s="5" t="s">
        <v>95</v>
      </c>
      <c r="C51" s="24">
        <v>70</v>
      </c>
      <c r="D51" s="38">
        <f>ROUND('Lighting RD'!F51,2)</f>
        <v>0</v>
      </c>
      <c r="E51" s="23" t="str">
        <f t="shared" si="7"/>
        <v>N/A</v>
      </c>
    </row>
    <row r="52" spans="1:5" x14ac:dyDescent="0.2">
      <c r="A52" s="25">
        <f t="shared" si="6"/>
        <v>45</v>
      </c>
      <c r="B52" s="5" t="s">
        <v>95</v>
      </c>
      <c r="C52" s="24">
        <v>100</v>
      </c>
      <c r="D52" s="38">
        <f>ROUND('Lighting RD'!F52,2)</f>
        <v>0</v>
      </c>
      <c r="E52" s="23" t="str">
        <f t="shared" si="7"/>
        <v>N/A</v>
      </c>
    </row>
    <row r="53" spans="1:5" x14ac:dyDescent="0.2">
      <c r="A53" s="25">
        <f t="shared" si="6"/>
        <v>46</v>
      </c>
      <c r="B53" s="5" t="s">
        <v>95</v>
      </c>
      <c r="C53" s="24">
        <v>150</v>
      </c>
      <c r="D53" s="38">
        <f>ROUND('Lighting RD'!F53,2)</f>
        <v>0</v>
      </c>
      <c r="E53" s="23" t="str">
        <f t="shared" si="7"/>
        <v>N/A</v>
      </c>
    </row>
    <row r="54" spans="1:5" x14ac:dyDescent="0.2">
      <c r="A54" s="25">
        <f t="shared" si="6"/>
        <v>47</v>
      </c>
      <c r="B54" s="5" t="s">
        <v>95</v>
      </c>
      <c r="C54" s="24">
        <v>200</v>
      </c>
      <c r="D54" s="38">
        <f>ROUND('Lighting RD'!F54,2)</f>
        <v>0</v>
      </c>
      <c r="E54" s="23" t="str">
        <f t="shared" si="7"/>
        <v>N/A</v>
      </c>
    </row>
    <row r="55" spans="1:5" x14ac:dyDescent="0.2">
      <c r="A55" s="25">
        <f t="shared" si="6"/>
        <v>48</v>
      </c>
      <c r="B55" s="5" t="s">
        <v>95</v>
      </c>
      <c r="C55" s="24">
        <v>250</v>
      </c>
      <c r="D55" s="38">
        <f>ROUND('Lighting RD'!F55,2)</f>
        <v>0</v>
      </c>
      <c r="E55" s="23" t="str">
        <f t="shared" si="7"/>
        <v>N/A</v>
      </c>
    </row>
    <row r="56" spans="1:5" x14ac:dyDescent="0.2">
      <c r="A56" s="25">
        <f t="shared" si="6"/>
        <v>49</v>
      </c>
      <c r="B56" s="5" t="s">
        <v>95</v>
      </c>
      <c r="C56" s="24">
        <v>310</v>
      </c>
      <c r="D56" s="38">
        <f>ROUND('Lighting RD'!F56,2)</f>
        <v>0</v>
      </c>
      <c r="E56" s="23" t="str">
        <f t="shared" si="7"/>
        <v>N/A</v>
      </c>
    </row>
    <row r="57" spans="1:5" x14ac:dyDescent="0.2">
      <c r="A57" s="25">
        <f t="shared" si="6"/>
        <v>50</v>
      </c>
      <c r="B57" s="5" t="s">
        <v>95</v>
      </c>
      <c r="C57" s="24">
        <v>400</v>
      </c>
      <c r="D57" s="38">
        <f>ROUND('Lighting RD'!F57,2)</f>
        <v>0</v>
      </c>
      <c r="E57" s="23" t="str">
        <f t="shared" si="7"/>
        <v>N/A</v>
      </c>
    </row>
    <row r="58" spans="1:5" x14ac:dyDescent="0.2">
      <c r="A58" s="25">
        <f t="shared" si="6"/>
        <v>51</v>
      </c>
      <c r="B58" s="5" t="s">
        <v>95</v>
      </c>
      <c r="C58" s="24">
        <v>1000</v>
      </c>
      <c r="D58" s="38">
        <v>0</v>
      </c>
      <c r="E58" s="23" t="str">
        <f t="shared" si="7"/>
        <v>N/A</v>
      </c>
    </row>
    <row r="59" spans="1:5" x14ac:dyDescent="0.2">
      <c r="A59" s="25">
        <f t="shared" si="6"/>
        <v>52</v>
      </c>
      <c r="B59" s="27"/>
      <c r="C59" s="24"/>
      <c r="D59" s="38"/>
      <c r="E59" s="13"/>
    </row>
    <row r="60" spans="1:5" x14ac:dyDescent="0.2">
      <c r="A60" s="25">
        <f t="shared" si="6"/>
        <v>53</v>
      </c>
      <c r="B60" s="5" t="s">
        <v>94</v>
      </c>
      <c r="C60" s="24">
        <v>70</v>
      </c>
      <c r="D60" s="38">
        <f>ROUND('Lighting RD'!F60,2)</f>
        <v>0</v>
      </c>
      <c r="E60" s="23" t="str">
        <f t="shared" ref="E60" si="8">$E$10</f>
        <v>N/A</v>
      </c>
    </row>
    <row r="61" spans="1:5" x14ac:dyDescent="0.2">
      <c r="A61" s="25">
        <f t="shared" si="6"/>
        <v>54</v>
      </c>
      <c r="B61" s="5" t="s">
        <v>94</v>
      </c>
      <c r="C61" s="24">
        <v>100</v>
      </c>
      <c r="D61" s="38">
        <f>ROUND('Lighting RD'!F61,2)</f>
        <v>0</v>
      </c>
      <c r="E61" s="23" t="str">
        <f>$E$60</f>
        <v>N/A</v>
      </c>
    </row>
    <row r="62" spans="1:5" x14ac:dyDescent="0.2">
      <c r="A62" s="25">
        <f t="shared" si="6"/>
        <v>55</v>
      </c>
      <c r="B62" s="5" t="s">
        <v>94</v>
      </c>
      <c r="C62" s="24">
        <v>150</v>
      </c>
      <c r="D62" s="38">
        <f>ROUND('Lighting RD'!F62,2)</f>
        <v>0</v>
      </c>
      <c r="E62" s="23" t="str">
        <f t="shared" ref="E62:E65" si="9">$E$60</f>
        <v>N/A</v>
      </c>
    </row>
    <row r="63" spans="1:5" x14ac:dyDescent="0.2">
      <c r="A63" s="25">
        <f t="shared" si="6"/>
        <v>56</v>
      </c>
      <c r="B63" s="5" t="s">
        <v>94</v>
      </c>
      <c r="C63" s="24">
        <v>175</v>
      </c>
      <c r="D63" s="38">
        <f>ROUND('Lighting RD'!F63,2)</f>
        <v>0</v>
      </c>
      <c r="E63" s="23" t="str">
        <f t="shared" si="9"/>
        <v>N/A</v>
      </c>
    </row>
    <row r="64" spans="1:5" x14ac:dyDescent="0.2">
      <c r="A64" s="25">
        <f t="shared" si="6"/>
        <v>57</v>
      </c>
      <c r="B64" s="5" t="s">
        <v>94</v>
      </c>
      <c r="C64" s="24">
        <v>250</v>
      </c>
      <c r="D64" s="38">
        <f>ROUND('Lighting RD'!F64,2)</f>
        <v>0</v>
      </c>
      <c r="E64" s="23" t="str">
        <f t="shared" si="9"/>
        <v>N/A</v>
      </c>
    </row>
    <row r="65" spans="1:5" x14ac:dyDescent="0.2">
      <c r="A65" s="25">
        <f t="shared" si="6"/>
        <v>58</v>
      </c>
      <c r="B65" s="5" t="s">
        <v>94</v>
      </c>
      <c r="C65" s="24">
        <v>400</v>
      </c>
      <c r="D65" s="38">
        <f>ROUND('Lighting RD'!F65,2)</f>
        <v>0</v>
      </c>
      <c r="E65" s="23" t="str">
        <f t="shared" si="9"/>
        <v>N/A</v>
      </c>
    </row>
    <row r="66" spans="1:5" x14ac:dyDescent="0.2">
      <c r="A66" s="25">
        <f t="shared" si="6"/>
        <v>59</v>
      </c>
      <c r="B66" s="27"/>
      <c r="C66" s="24"/>
      <c r="D66" s="38"/>
      <c r="E66" s="13"/>
    </row>
    <row r="67" spans="1:5" x14ac:dyDescent="0.2">
      <c r="A67" s="25">
        <f t="shared" si="6"/>
        <v>60</v>
      </c>
      <c r="B67" s="5" t="s">
        <v>93</v>
      </c>
      <c r="C67" s="13" t="s">
        <v>61</v>
      </c>
      <c r="D67" s="38">
        <f>ROUND('Lighting RD'!F67,2)</f>
        <v>0</v>
      </c>
      <c r="E67" s="23" t="str">
        <f t="shared" ref="E67:E76" si="10">$E$18</f>
        <v>N/A</v>
      </c>
    </row>
    <row r="68" spans="1:5" x14ac:dyDescent="0.2">
      <c r="A68" s="25">
        <f t="shared" si="6"/>
        <v>61</v>
      </c>
      <c r="B68" s="5" t="s">
        <v>93</v>
      </c>
      <c r="C68" s="26" t="s">
        <v>60</v>
      </c>
      <c r="D68" s="38">
        <f>ROUND('Lighting RD'!F68,2)</f>
        <v>0</v>
      </c>
      <c r="E68" s="23" t="str">
        <f t="shared" si="10"/>
        <v>N/A</v>
      </c>
    </row>
    <row r="69" spans="1:5" x14ac:dyDescent="0.2">
      <c r="A69" s="25">
        <f t="shared" si="6"/>
        <v>62</v>
      </c>
      <c r="B69" s="5" t="s">
        <v>93</v>
      </c>
      <c r="C69" s="24" t="s">
        <v>35</v>
      </c>
      <c r="D69" s="38">
        <f>ROUND('Lighting RD'!F69,2)</f>
        <v>0</v>
      </c>
      <c r="E69" s="23" t="str">
        <f t="shared" si="10"/>
        <v>N/A</v>
      </c>
    </row>
    <row r="70" spans="1:5" x14ac:dyDescent="0.2">
      <c r="A70" s="25">
        <f t="shared" si="6"/>
        <v>63</v>
      </c>
      <c r="B70" s="5" t="s">
        <v>93</v>
      </c>
      <c r="C70" s="24" t="s">
        <v>34</v>
      </c>
      <c r="D70" s="38">
        <f>ROUND('Lighting RD'!F70,2)</f>
        <v>0</v>
      </c>
      <c r="E70" s="23" t="str">
        <f t="shared" si="10"/>
        <v>N/A</v>
      </c>
    </row>
    <row r="71" spans="1:5" x14ac:dyDescent="0.2">
      <c r="A71" s="25">
        <f t="shared" si="6"/>
        <v>64</v>
      </c>
      <c r="B71" s="5" t="s">
        <v>93</v>
      </c>
      <c r="C71" s="24" t="s">
        <v>33</v>
      </c>
      <c r="D71" s="38">
        <f>ROUND('Lighting RD'!F71,2)</f>
        <v>0</v>
      </c>
      <c r="E71" s="23" t="str">
        <f t="shared" si="10"/>
        <v>N/A</v>
      </c>
    </row>
    <row r="72" spans="1:5" x14ac:dyDescent="0.2">
      <c r="A72" s="25">
        <f t="shared" si="6"/>
        <v>65</v>
      </c>
      <c r="B72" s="5" t="s">
        <v>93</v>
      </c>
      <c r="C72" s="24" t="s">
        <v>32</v>
      </c>
      <c r="D72" s="38">
        <f>ROUND('Lighting RD'!F72,2)</f>
        <v>0</v>
      </c>
      <c r="E72" s="23" t="str">
        <f t="shared" si="10"/>
        <v>N/A</v>
      </c>
    </row>
    <row r="73" spans="1:5" x14ac:dyDescent="0.2">
      <c r="A73" s="25">
        <f t="shared" ref="A73:A104" si="11">A72+1</f>
        <v>66</v>
      </c>
      <c r="B73" s="5" t="s">
        <v>93</v>
      </c>
      <c r="C73" s="24" t="s">
        <v>31</v>
      </c>
      <c r="D73" s="38">
        <f>ROUND('Lighting RD'!F73,2)</f>
        <v>0</v>
      </c>
      <c r="E73" s="23" t="str">
        <f t="shared" si="10"/>
        <v>N/A</v>
      </c>
    </row>
    <row r="74" spans="1:5" x14ac:dyDescent="0.2">
      <c r="A74" s="25">
        <f t="shared" si="11"/>
        <v>67</v>
      </c>
      <c r="B74" s="5" t="s">
        <v>93</v>
      </c>
      <c r="C74" s="24" t="s">
        <v>30</v>
      </c>
      <c r="D74" s="38">
        <f>ROUND('Lighting RD'!F74,2)</f>
        <v>0</v>
      </c>
      <c r="E74" s="23" t="str">
        <f t="shared" si="10"/>
        <v>N/A</v>
      </c>
    </row>
    <row r="75" spans="1:5" x14ac:dyDescent="0.2">
      <c r="A75" s="25">
        <f t="shared" si="11"/>
        <v>68</v>
      </c>
      <c r="B75" s="5" t="s">
        <v>93</v>
      </c>
      <c r="C75" s="24" t="s">
        <v>29</v>
      </c>
      <c r="D75" s="38">
        <f>ROUND('Lighting RD'!F75,2)</f>
        <v>0</v>
      </c>
      <c r="E75" s="23" t="str">
        <f t="shared" si="10"/>
        <v>N/A</v>
      </c>
    </row>
    <row r="76" spans="1:5" x14ac:dyDescent="0.2">
      <c r="A76" s="25">
        <f t="shared" si="11"/>
        <v>69</v>
      </c>
      <c r="B76" s="5" t="s">
        <v>93</v>
      </c>
      <c r="C76" s="24" t="s">
        <v>28</v>
      </c>
      <c r="D76" s="38">
        <f>ROUND('Lighting RD'!F76,2)</f>
        <v>0</v>
      </c>
      <c r="E76" s="23" t="str">
        <f t="shared" si="10"/>
        <v>N/A</v>
      </c>
    </row>
    <row r="77" spans="1:5" x14ac:dyDescent="0.2">
      <c r="A77" s="25">
        <f t="shared" si="11"/>
        <v>70</v>
      </c>
      <c r="B77" s="5"/>
      <c r="C77" s="24"/>
      <c r="D77" s="38"/>
      <c r="E77" s="23"/>
    </row>
    <row r="78" spans="1:5" x14ac:dyDescent="0.2">
      <c r="A78" s="25">
        <f t="shared" si="11"/>
        <v>71</v>
      </c>
      <c r="B78" s="5" t="s">
        <v>92</v>
      </c>
      <c r="C78" s="24" t="s">
        <v>91</v>
      </c>
      <c r="D78" s="38">
        <v>0</v>
      </c>
      <c r="E78" s="23" t="str">
        <f>$E$18</f>
        <v>N/A</v>
      </c>
    </row>
    <row r="79" spans="1:5" x14ac:dyDescent="0.2">
      <c r="A79" s="25">
        <f t="shared" si="11"/>
        <v>72</v>
      </c>
      <c r="C79" s="24"/>
      <c r="D79" s="38"/>
      <c r="E79" s="13"/>
    </row>
    <row r="80" spans="1:5" ht="13.5" x14ac:dyDescent="0.35">
      <c r="A80" s="25">
        <f t="shared" si="11"/>
        <v>73</v>
      </c>
      <c r="B80" s="28" t="s">
        <v>90</v>
      </c>
      <c r="C80" s="13"/>
      <c r="D80" s="38"/>
      <c r="E80" s="13"/>
    </row>
    <row r="81" spans="1:5" x14ac:dyDescent="0.2">
      <c r="A81" s="25">
        <f t="shared" si="11"/>
        <v>74</v>
      </c>
      <c r="B81" s="5" t="s">
        <v>89</v>
      </c>
      <c r="C81" s="24">
        <v>50</v>
      </c>
      <c r="D81" s="38">
        <f>ROUND('Lighting RD'!F80,2)</f>
        <v>0</v>
      </c>
      <c r="E81" s="23" t="str">
        <f t="shared" ref="E81:E89" si="12">$E$60</f>
        <v>N/A</v>
      </c>
    </row>
    <row r="82" spans="1:5" x14ac:dyDescent="0.2">
      <c r="A82" s="25">
        <f t="shared" si="11"/>
        <v>75</v>
      </c>
      <c r="B82" s="5" t="s">
        <v>89</v>
      </c>
      <c r="C82" s="24">
        <v>70</v>
      </c>
      <c r="D82" s="38">
        <f>ROUND('Lighting RD'!F81,2)</f>
        <v>0</v>
      </c>
      <c r="E82" s="23" t="str">
        <f t="shared" si="12"/>
        <v>N/A</v>
      </c>
    </row>
    <row r="83" spans="1:5" x14ac:dyDescent="0.2">
      <c r="A83" s="25">
        <f t="shared" si="11"/>
        <v>76</v>
      </c>
      <c r="B83" s="5" t="s">
        <v>89</v>
      </c>
      <c r="C83" s="24">
        <v>100</v>
      </c>
      <c r="D83" s="38">
        <f>ROUND('Lighting RD'!F82,2)</f>
        <v>0</v>
      </c>
      <c r="E83" s="23" t="str">
        <f t="shared" si="12"/>
        <v>N/A</v>
      </c>
    </row>
    <row r="84" spans="1:5" x14ac:dyDescent="0.2">
      <c r="A84" s="25">
        <f t="shared" si="11"/>
        <v>77</v>
      </c>
      <c r="B84" s="5" t="s">
        <v>89</v>
      </c>
      <c r="C84" s="24">
        <v>150</v>
      </c>
      <c r="D84" s="38">
        <f>ROUND('Lighting RD'!F83,2)</f>
        <v>0</v>
      </c>
      <c r="E84" s="23" t="str">
        <f t="shared" si="12"/>
        <v>N/A</v>
      </c>
    </row>
    <row r="85" spans="1:5" x14ac:dyDescent="0.2">
      <c r="A85" s="25">
        <f t="shared" si="11"/>
        <v>78</v>
      </c>
      <c r="B85" s="5" t="s">
        <v>89</v>
      </c>
      <c r="C85" s="24">
        <v>200</v>
      </c>
      <c r="D85" s="38">
        <f>ROUND('Lighting RD'!F84,2)</f>
        <v>0</v>
      </c>
      <c r="E85" s="23" t="str">
        <f t="shared" si="12"/>
        <v>N/A</v>
      </c>
    </row>
    <row r="86" spans="1:5" x14ac:dyDescent="0.2">
      <c r="A86" s="25">
        <f t="shared" si="11"/>
        <v>79</v>
      </c>
      <c r="B86" s="5" t="s">
        <v>89</v>
      </c>
      <c r="C86" s="24">
        <v>250</v>
      </c>
      <c r="D86" s="38">
        <f>ROUND('Lighting RD'!F85,2)</f>
        <v>0</v>
      </c>
      <c r="E86" s="23" t="str">
        <f t="shared" si="12"/>
        <v>N/A</v>
      </c>
    </row>
    <row r="87" spans="1:5" x14ac:dyDescent="0.2">
      <c r="A87" s="25">
        <f t="shared" si="11"/>
        <v>80</v>
      </c>
      <c r="B87" s="5" t="s">
        <v>89</v>
      </c>
      <c r="C87" s="24">
        <v>310</v>
      </c>
      <c r="D87" s="38">
        <f>ROUND('Lighting RD'!F86,2)</f>
        <v>0</v>
      </c>
      <c r="E87" s="23" t="str">
        <f t="shared" si="12"/>
        <v>N/A</v>
      </c>
    </row>
    <row r="88" spans="1:5" x14ac:dyDescent="0.2">
      <c r="A88" s="25">
        <f t="shared" si="11"/>
        <v>81</v>
      </c>
      <c r="B88" s="5" t="s">
        <v>89</v>
      </c>
      <c r="C88" s="24">
        <v>400</v>
      </c>
      <c r="D88" s="38">
        <f>ROUND('Lighting RD'!F87,2)</f>
        <v>0</v>
      </c>
      <c r="E88" s="23" t="str">
        <f t="shared" si="12"/>
        <v>N/A</v>
      </c>
    </row>
    <row r="89" spans="1:5" x14ac:dyDescent="0.2">
      <c r="A89" s="25">
        <f t="shared" si="11"/>
        <v>82</v>
      </c>
      <c r="B89" s="5" t="s">
        <v>89</v>
      </c>
      <c r="C89" s="24">
        <v>1000</v>
      </c>
      <c r="D89" s="38">
        <v>0</v>
      </c>
      <c r="E89" s="23" t="str">
        <f t="shared" si="12"/>
        <v>N/A</v>
      </c>
    </row>
    <row r="90" spans="1:5" x14ac:dyDescent="0.2">
      <c r="A90" s="25">
        <f t="shared" si="11"/>
        <v>83</v>
      </c>
      <c r="B90" s="27"/>
      <c r="C90" s="24"/>
      <c r="D90" s="38"/>
      <c r="E90" s="13"/>
    </row>
    <row r="91" spans="1:5" x14ac:dyDescent="0.2">
      <c r="A91" s="25">
        <f t="shared" si="11"/>
        <v>84</v>
      </c>
      <c r="B91" s="5" t="s">
        <v>88</v>
      </c>
      <c r="C91" s="26" t="s">
        <v>62</v>
      </c>
      <c r="D91" s="38">
        <f>ROUND('Lighting RD'!F90,2)</f>
        <v>0</v>
      </c>
      <c r="E91" s="23" t="str">
        <f t="shared" ref="E91:E100" si="13">$E$18</f>
        <v>N/A</v>
      </c>
    </row>
    <row r="92" spans="1:5" x14ac:dyDescent="0.2">
      <c r="A92" s="25">
        <f t="shared" si="11"/>
        <v>85</v>
      </c>
      <c r="B92" s="5" t="s">
        <v>88</v>
      </c>
      <c r="C92" s="26" t="s">
        <v>36</v>
      </c>
      <c r="D92" s="38">
        <f>ROUND('Lighting RD'!F91,2)</f>
        <v>0</v>
      </c>
      <c r="E92" s="23" t="str">
        <f t="shared" si="13"/>
        <v>N/A</v>
      </c>
    </row>
    <row r="93" spans="1:5" x14ac:dyDescent="0.2">
      <c r="A93" s="25">
        <f t="shared" si="11"/>
        <v>86</v>
      </c>
      <c r="B93" s="5" t="s">
        <v>88</v>
      </c>
      <c r="C93" s="24" t="s">
        <v>35</v>
      </c>
      <c r="D93" s="38">
        <f>ROUND('Lighting RD'!F92,2)</f>
        <v>0</v>
      </c>
      <c r="E93" s="23" t="str">
        <f t="shared" si="13"/>
        <v>N/A</v>
      </c>
    </row>
    <row r="94" spans="1:5" x14ac:dyDescent="0.2">
      <c r="A94" s="25">
        <f t="shared" si="11"/>
        <v>87</v>
      </c>
      <c r="B94" s="5" t="s">
        <v>88</v>
      </c>
      <c r="C94" s="24" t="s">
        <v>34</v>
      </c>
      <c r="D94" s="38">
        <f>ROUND('Lighting RD'!F93,2)</f>
        <v>0</v>
      </c>
      <c r="E94" s="23" t="str">
        <f t="shared" si="13"/>
        <v>N/A</v>
      </c>
    </row>
    <row r="95" spans="1:5" x14ac:dyDescent="0.2">
      <c r="A95" s="25">
        <f t="shared" si="11"/>
        <v>88</v>
      </c>
      <c r="B95" s="5" t="s">
        <v>88</v>
      </c>
      <c r="C95" s="24" t="s">
        <v>33</v>
      </c>
      <c r="D95" s="38">
        <f>ROUND('Lighting RD'!F94,2)</f>
        <v>0</v>
      </c>
      <c r="E95" s="23" t="str">
        <f t="shared" si="13"/>
        <v>N/A</v>
      </c>
    </row>
    <row r="96" spans="1:5" x14ac:dyDescent="0.2">
      <c r="A96" s="25">
        <f t="shared" si="11"/>
        <v>89</v>
      </c>
      <c r="B96" s="5" t="s">
        <v>88</v>
      </c>
      <c r="C96" s="24" t="s">
        <v>32</v>
      </c>
      <c r="D96" s="38">
        <f>ROUND('Lighting RD'!F95,2)</f>
        <v>0</v>
      </c>
      <c r="E96" s="23" t="str">
        <f t="shared" si="13"/>
        <v>N/A</v>
      </c>
    </row>
    <row r="97" spans="1:5" x14ac:dyDescent="0.2">
      <c r="A97" s="25">
        <f t="shared" si="11"/>
        <v>90</v>
      </c>
      <c r="B97" s="5" t="s">
        <v>88</v>
      </c>
      <c r="C97" s="24" t="s">
        <v>31</v>
      </c>
      <c r="D97" s="38">
        <f>ROUND('Lighting RD'!F96,2)</f>
        <v>0</v>
      </c>
      <c r="E97" s="23" t="str">
        <f t="shared" si="13"/>
        <v>N/A</v>
      </c>
    </row>
    <row r="98" spans="1:5" x14ac:dyDescent="0.2">
      <c r="A98" s="25">
        <f t="shared" si="11"/>
        <v>91</v>
      </c>
      <c r="B98" s="5" t="s">
        <v>88</v>
      </c>
      <c r="C98" s="24" t="s">
        <v>30</v>
      </c>
      <c r="D98" s="38">
        <f>ROUND('Lighting RD'!F97,2)</f>
        <v>0</v>
      </c>
      <c r="E98" s="23" t="str">
        <f t="shared" si="13"/>
        <v>N/A</v>
      </c>
    </row>
    <row r="99" spans="1:5" x14ac:dyDescent="0.2">
      <c r="A99" s="25">
        <f t="shared" si="11"/>
        <v>92</v>
      </c>
      <c r="B99" s="5" t="s">
        <v>88</v>
      </c>
      <c r="C99" s="24" t="s">
        <v>29</v>
      </c>
      <c r="D99" s="38">
        <f>ROUND('Lighting RD'!F98,2)</f>
        <v>0</v>
      </c>
      <c r="E99" s="23" t="str">
        <f t="shared" si="13"/>
        <v>N/A</v>
      </c>
    </row>
    <row r="100" spans="1:5" x14ac:dyDescent="0.2">
      <c r="A100" s="25">
        <f t="shared" si="11"/>
        <v>93</v>
      </c>
      <c r="B100" s="5" t="s">
        <v>88</v>
      </c>
      <c r="C100" s="24" t="s">
        <v>28</v>
      </c>
      <c r="D100" s="38">
        <f>ROUND('Lighting RD'!F99,2)</f>
        <v>0</v>
      </c>
      <c r="E100" s="23" t="str">
        <f t="shared" si="13"/>
        <v>N/A</v>
      </c>
    </row>
    <row r="101" spans="1:5" x14ac:dyDescent="0.2">
      <c r="A101" s="25">
        <f t="shared" si="11"/>
        <v>94</v>
      </c>
      <c r="B101" s="27"/>
      <c r="C101" s="24"/>
      <c r="D101" s="38"/>
      <c r="E101" s="13"/>
    </row>
    <row r="102" spans="1:5" ht="13.5" x14ac:dyDescent="0.35">
      <c r="A102" s="25">
        <f t="shared" si="11"/>
        <v>95</v>
      </c>
      <c r="B102" s="28" t="s">
        <v>87</v>
      </c>
      <c r="C102" s="24"/>
      <c r="D102" s="38"/>
      <c r="E102" s="13"/>
    </row>
    <row r="103" spans="1:5" x14ac:dyDescent="0.2">
      <c r="A103" s="25">
        <f t="shared" si="11"/>
        <v>96</v>
      </c>
      <c r="B103" s="5" t="s">
        <v>86</v>
      </c>
      <c r="C103" s="24">
        <v>70</v>
      </c>
      <c r="D103" s="38">
        <f>ROUND('Lighting RD'!F102,2)</f>
        <v>0</v>
      </c>
      <c r="E103" s="23" t="str">
        <f t="shared" ref="E103" si="14">$E$10</f>
        <v>N/A</v>
      </c>
    </row>
    <row r="104" spans="1:5" x14ac:dyDescent="0.2">
      <c r="A104" s="25">
        <f t="shared" si="11"/>
        <v>97</v>
      </c>
      <c r="B104" s="5" t="s">
        <v>86</v>
      </c>
      <c r="C104" s="24">
        <v>100</v>
      </c>
      <c r="D104" s="38">
        <f>ROUND('Lighting RD'!F103,2)</f>
        <v>0</v>
      </c>
      <c r="E104" s="23" t="str">
        <f>$E$103</f>
        <v>N/A</v>
      </c>
    </row>
    <row r="105" spans="1:5" x14ac:dyDescent="0.2">
      <c r="A105" s="25">
        <f t="shared" ref="A105:A136" si="15">A104+1</f>
        <v>98</v>
      </c>
      <c r="B105" s="5" t="s">
        <v>86</v>
      </c>
      <c r="C105" s="24">
        <v>150</v>
      </c>
      <c r="D105" s="38">
        <f>ROUND('Lighting RD'!F104,2)</f>
        <v>0</v>
      </c>
      <c r="E105" s="23" t="str">
        <f t="shared" ref="E105:E121" si="16">$E$103</f>
        <v>N/A</v>
      </c>
    </row>
    <row r="106" spans="1:5" x14ac:dyDescent="0.2">
      <c r="A106" s="25">
        <f t="shared" si="15"/>
        <v>99</v>
      </c>
      <c r="B106" s="5" t="s">
        <v>86</v>
      </c>
      <c r="C106" s="24">
        <v>200</v>
      </c>
      <c r="D106" s="38">
        <f>ROUND('Lighting RD'!F105,2)</f>
        <v>0</v>
      </c>
      <c r="E106" s="23" t="str">
        <f t="shared" si="16"/>
        <v>N/A</v>
      </c>
    </row>
    <row r="107" spans="1:5" x14ac:dyDescent="0.2">
      <c r="A107" s="25">
        <f t="shared" si="15"/>
        <v>100</v>
      </c>
      <c r="B107" s="5" t="s">
        <v>86</v>
      </c>
      <c r="C107" s="24">
        <v>250</v>
      </c>
      <c r="D107" s="38">
        <f>ROUND('Lighting RD'!F106,2)</f>
        <v>0</v>
      </c>
      <c r="E107" s="23" t="str">
        <f t="shared" si="16"/>
        <v>N/A</v>
      </c>
    </row>
    <row r="108" spans="1:5" x14ac:dyDescent="0.2">
      <c r="A108" s="25">
        <f t="shared" si="15"/>
        <v>101</v>
      </c>
      <c r="B108" s="5" t="s">
        <v>86</v>
      </c>
      <c r="C108" s="24">
        <v>400</v>
      </c>
      <c r="D108" s="38">
        <v>0</v>
      </c>
      <c r="E108" s="23" t="str">
        <f t="shared" si="16"/>
        <v>N/A</v>
      </c>
    </row>
    <row r="109" spans="1:5" x14ac:dyDescent="0.2">
      <c r="A109" s="25">
        <f t="shared" si="15"/>
        <v>102</v>
      </c>
      <c r="B109" s="27"/>
      <c r="C109" s="24"/>
      <c r="D109" s="38"/>
      <c r="E109" s="13"/>
    </row>
    <row r="110" spans="1:5" x14ac:dyDescent="0.2">
      <c r="A110" s="25">
        <f t="shared" si="15"/>
        <v>103</v>
      </c>
      <c r="B110" s="5" t="s">
        <v>85</v>
      </c>
      <c r="C110" s="24">
        <v>250</v>
      </c>
      <c r="D110" s="38">
        <f>ROUND('Lighting RD'!F109,2)</f>
        <v>0</v>
      </c>
      <c r="E110" s="23" t="str">
        <f t="shared" si="16"/>
        <v>N/A</v>
      </c>
    </row>
    <row r="111" spans="1:5" x14ac:dyDescent="0.2">
      <c r="A111" s="25">
        <f t="shared" si="15"/>
        <v>104</v>
      </c>
      <c r="B111" s="27"/>
      <c r="C111" s="24"/>
      <c r="D111" s="38"/>
      <c r="E111" s="13"/>
    </row>
    <row r="112" spans="1:5" x14ac:dyDescent="0.2">
      <c r="A112" s="25">
        <f t="shared" si="15"/>
        <v>105</v>
      </c>
      <c r="B112" s="5" t="s">
        <v>84</v>
      </c>
      <c r="C112" s="13" t="s">
        <v>61</v>
      </c>
      <c r="D112" s="38">
        <f>ROUND('Lighting RD'!F111,2)</f>
        <v>0</v>
      </c>
      <c r="E112" s="23" t="str">
        <f t="shared" si="16"/>
        <v>N/A</v>
      </c>
    </row>
    <row r="113" spans="1:5" x14ac:dyDescent="0.2">
      <c r="A113" s="25">
        <f t="shared" si="15"/>
        <v>106</v>
      </c>
      <c r="B113" s="5" t="s">
        <v>84</v>
      </c>
      <c r="C113" s="26" t="s">
        <v>36</v>
      </c>
      <c r="D113" s="38">
        <f>ROUND('Lighting RD'!F112,2)</f>
        <v>0</v>
      </c>
      <c r="E113" s="23" t="str">
        <f t="shared" si="16"/>
        <v>N/A</v>
      </c>
    </row>
    <row r="114" spans="1:5" x14ac:dyDescent="0.2">
      <c r="A114" s="25">
        <f t="shared" si="15"/>
        <v>107</v>
      </c>
      <c r="B114" s="5" t="s">
        <v>84</v>
      </c>
      <c r="C114" s="24" t="s">
        <v>35</v>
      </c>
      <c r="D114" s="38">
        <f>ROUND('Lighting RD'!F113,2)</f>
        <v>0</v>
      </c>
      <c r="E114" s="23" t="str">
        <f t="shared" si="16"/>
        <v>N/A</v>
      </c>
    </row>
    <row r="115" spans="1:5" x14ac:dyDescent="0.2">
      <c r="A115" s="25">
        <f t="shared" si="15"/>
        <v>108</v>
      </c>
      <c r="B115" s="5" t="s">
        <v>84</v>
      </c>
      <c r="C115" s="24" t="s">
        <v>34</v>
      </c>
      <c r="D115" s="38">
        <f>ROUND('Lighting RD'!F114,2)</f>
        <v>0</v>
      </c>
      <c r="E115" s="23" t="str">
        <f t="shared" si="16"/>
        <v>N/A</v>
      </c>
    </row>
    <row r="116" spans="1:5" x14ac:dyDescent="0.2">
      <c r="A116" s="25">
        <f t="shared" si="15"/>
        <v>109</v>
      </c>
      <c r="B116" s="5" t="s">
        <v>84</v>
      </c>
      <c r="C116" s="24" t="s">
        <v>33</v>
      </c>
      <c r="D116" s="38">
        <f>ROUND('Lighting RD'!F115,2)</f>
        <v>0</v>
      </c>
      <c r="E116" s="23" t="str">
        <f t="shared" si="16"/>
        <v>N/A</v>
      </c>
    </row>
    <row r="117" spans="1:5" x14ac:dyDescent="0.2">
      <c r="A117" s="25">
        <f t="shared" si="15"/>
        <v>110</v>
      </c>
      <c r="B117" s="5" t="s">
        <v>84</v>
      </c>
      <c r="C117" s="24" t="s">
        <v>32</v>
      </c>
      <c r="D117" s="38">
        <f>ROUND('Lighting RD'!F116,2)</f>
        <v>0</v>
      </c>
      <c r="E117" s="23" t="str">
        <f t="shared" si="16"/>
        <v>N/A</v>
      </c>
    </row>
    <row r="118" spans="1:5" x14ac:dyDescent="0.2">
      <c r="A118" s="25">
        <f t="shared" si="15"/>
        <v>111</v>
      </c>
      <c r="B118" s="5" t="s">
        <v>84</v>
      </c>
      <c r="C118" s="24" t="s">
        <v>31</v>
      </c>
      <c r="D118" s="38">
        <f>ROUND('Lighting RD'!F117,2)</f>
        <v>0</v>
      </c>
      <c r="E118" s="23" t="str">
        <f t="shared" si="16"/>
        <v>N/A</v>
      </c>
    </row>
    <row r="119" spans="1:5" x14ac:dyDescent="0.2">
      <c r="A119" s="25">
        <f t="shared" si="15"/>
        <v>112</v>
      </c>
      <c r="B119" s="5" t="s">
        <v>84</v>
      </c>
      <c r="C119" s="24" t="s">
        <v>30</v>
      </c>
      <c r="D119" s="38">
        <f>ROUND('Lighting RD'!F118,2)</f>
        <v>0</v>
      </c>
      <c r="E119" s="23" t="str">
        <f t="shared" si="16"/>
        <v>N/A</v>
      </c>
    </row>
    <row r="120" spans="1:5" x14ac:dyDescent="0.2">
      <c r="A120" s="25">
        <f t="shared" si="15"/>
        <v>113</v>
      </c>
      <c r="B120" s="5" t="s">
        <v>84</v>
      </c>
      <c r="C120" s="24" t="s">
        <v>29</v>
      </c>
      <c r="D120" s="38">
        <f>ROUND('Lighting RD'!F119,2)</f>
        <v>0</v>
      </c>
      <c r="E120" s="23" t="str">
        <f t="shared" si="16"/>
        <v>N/A</v>
      </c>
    </row>
    <row r="121" spans="1:5" x14ac:dyDescent="0.2">
      <c r="A121" s="25">
        <f t="shared" si="15"/>
        <v>114</v>
      </c>
      <c r="B121" s="5" t="s">
        <v>84</v>
      </c>
      <c r="C121" s="24" t="s">
        <v>28</v>
      </c>
      <c r="D121" s="38">
        <f>ROUND('Lighting RD'!F120,2)</f>
        <v>0</v>
      </c>
      <c r="E121" s="23" t="str">
        <f t="shared" si="16"/>
        <v>N/A</v>
      </c>
    </row>
    <row r="122" spans="1:5" x14ac:dyDescent="0.2">
      <c r="A122" s="25">
        <f t="shared" si="15"/>
        <v>115</v>
      </c>
      <c r="B122" s="27"/>
      <c r="C122" s="24"/>
      <c r="D122" s="38"/>
      <c r="E122" s="13"/>
    </row>
    <row r="123" spans="1:5" ht="13.5" x14ac:dyDescent="0.35">
      <c r="A123" s="25">
        <f t="shared" si="15"/>
        <v>116</v>
      </c>
      <c r="B123" s="28" t="s">
        <v>20</v>
      </c>
      <c r="C123" s="24"/>
      <c r="D123" s="38"/>
      <c r="E123" s="13"/>
    </row>
    <row r="124" spans="1:5" x14ac:dyDescent="0.2">
      <c r="A124" s="25">
        <f t="shared" si="15"/>
        <v>117</v>
      </c>
      <c r="B124" s="5" t="s">
        <v>19</v>
      </c>
      <c r="C124" s="24" t="s">
        <v>83</v>
      </c>
      <c r="D124" s="38">
        <v>0</v>
      </c>
      <c r="E124" s="23" t="str">
        <f t="shared" ref="E124" si="17">$E$103</f>
        <v>N/A</v>
      </c>
    </row>
    <row r="125" spans="1:5" x14ac:dyDescent="0.2">
      <c r="A125" s="25">
        <f t="shared" si="15"/>
        <v>118</v>
      </c>
      <c r="B125" s="27"/>
      <c r="C125" s="24"/>
      <c r="D125" s="38"/>
      <c r="E125" s="13"/>
    </row>
    <row r="126" spans="1:5" ht="13.5" x14ac:dyDescent="0.35">
      <c r="A126" s="25">
        <f t="shared" si="15"/>
        <v>119</v>
      </c>
      <c r="B126" s="28" t="s">
        <v>41</v>
      </c>
      <c r="C126" s="24"/>
      <c r="D126" s="38"/>
      <c r="E126" s="13"/>
    </row>
    <row r="127" spans="1:5" x14ac:dyDescent="0.2">
      <c r="A127" s="25">
        <f t="shared" si="15"/>
        <v>120</v>
      </c>
      <c r="B127" s="5" t="s">
        <v>82</v>
      </c>
      <c r="C127" s="24">
        <v>70</v>
      </c>
      <c r="D127" s="38">
        <f>ROUND('Lighting RD'!F126,2)</f>
        <v>0</v>
      </c>
      <c r="E127" s="23" t="str">
        <f t="shared" ref="E127" si="18">$E$10</f>
        <v>N/A</v>
      </c>
    </row>
    <row r="128" spans="1:5" x14ac:dyDescent="0.2">
      <c r="A128" s="25">
        <f t="shared" si="15"/>
        <v>121</v>
      </c>
      <c r="B128" s="5" t="s">
        <v>82</v>
      </c>
      <c r="C128" s="24">
        <v>100</v>
      </c>
      <c r="D128" s="38">
        <f>ROUND('Lighting RD'!F127,2)</f>
        <v>0</v>
      </c>
      <c r="E128" s="23" t="str">
        <f>$E$127</f>
        <v>N/A</v>
      </c>
    </row>
    <row r="129" spans="1:5" x14ac:dyDescent="0.2">
      <c r="A129" s="25">
        <f t="shared" si="15"/>
        <v>122</v>
      </c>
      <c r="B129" s="5" t="s">
        <v>82</v>
      </c>
      <c r="C129" s="24">
        <v>150</v>
      </c>
      <c r="D129" s="38">
        <f>ROUND('Lighting RD'!F128,2)</f>
        <v>0</v>
      </c>
      <c r="E129" s="23" t="str">
        <f t="shared" ref="E129:E146" si="19">$E$127</f>
        <v>N/A</v>
      </c>
    </row>
    <row r="130" spans="1:5" x14ac:dyDescent="0.2">
      <c r="A130" s="25">
        <f t="shared" si="15"/>
        <v>123</v>
      </c>
      <c r="B130" s="5" t="s">
        <v>82</v>
      </c>
      <c r="C130" s="24">
        <v>200</v>
      </c>
      <c r="D130" s="38">
        <f>ROUND('Lighting RD'!F129,2)</f>
        <v>0</v>
      </c>
      <c r="E130" s="23" t="str">
        <f t="shared" si="19"/>
        <v>N/A</v>
      </c>
    </row>
    <row r="131" spans="1:5" x14ac:dyDescent="0.2">
      <c r="A131" s="25">
        <f t="shared" si="15"/>
        <v>124</v>
      </c>
      <c r="B131" s="5" t="s">
        <v>82</v>
      </c>
      <c r="C131" s="24">
        <v>250</v>
      </c>
      <c r="D131" s="38">
        <f>ROUND('Lighting RD'!F130,2)</f>
        <v>0</v>
      </c>
      <c r="E131" s="23" t="str">
        <f t="shared" si="19"/>
        <v>N/A</v>
      </c>
    </row>
    <row r="132" spans="1:5" x14ac:dyDescent="0.2">
      <c r="A132" s="25">
        <f t="shared" si="15"/>
        <v>125</v>
      </c>
      <c r="B132" s="5" t="s">
        <v>82</v>
      </c>
      <c r="C132" s="24">
        <v>400</v>
      </c>
      <c r="D132" s="38">
        <v>0</v>
      </c>
      <c r="E132" s="23" t="str">
        <f t="shared" si="19"/>
        <v>N/A</v>
      </c>
    </row>
    <row r="133" spans="1:5" x14ac:dyDescent="0.2">
      <c r="A133" s="25">
        <f t="shared" si="15"/>
        <v>126</v>
      </c>
      <c r="B133" s="27"/>
      <c r="C133" s="24"/>
      <c r="D133" s="38"/>
      <c r="E133" s="13"/>
    </row>
    <row r="134" spans="1:5" x14ac:dyDescent="0.2">
      <c r="A134" s="25">
        <f t="shared" si="15"/>
        <v>127</v>
      </c>
      <c r="B134" s="5" t="s">
        <v>81</v>
      </c>
      <c r="C134" s="24">
        <v>100</v>
      </c>
      <c r="D134" s="38">
        <f>ROUND('Lighting RD'!F133,2)</f>
        <v>0</v>
      </c>
      <c r="E134" s="23" t="str">
        <f t="shared" si="19"/>
        <v>N/A</v>
      </c>
    </row>
    <row r="135" spans="1:5" x14ac:dyDescent="0.2">
      <c r="A135" s="25">
        <f t="shared" si="15"/>
        <v>128</v>
      </c>
      <c r="B135" s="5" t="s">
        <v>81</v>
      </c>
      <c r="C135" s="24">
        <v>150</v>
      </c>
      <c r="D135" s="38">
        <f>ROUND('Lighting RD'!F134,2)</f>
        <v>0</v>
      </c>
      <c r="E135" s="23" t="str">
        <f t="shared" si="19"/>
        <v>N/A</v>
      </c>
    </row>
    <row r="136" spans="1:5" x14ac:dyDescent="0.2">
      <c r="A136" s="25">
        <f t="shared" si="15"/>
        <v>129</v>
      </c>
      <c r="B136" s="5" t="s">
        <v>81</v>
      </c>
      <c r="C136" s="24">
        <v>200</v>
      </c>
      <c r="D136" s="38">
        <f>ROUND('Lighting RD'!F135,2)</f>
        <v>0</v>
      </c>
      <c r="E136" s="23" t="str">
        <f t="shared" si="19"/>
        <v>N/A</v>
      </c>
    </row>
    <row r="137" spans="1:5" x14ac:dyDescent="0.2">
      <c r="A137" s="25">
        <f t="shared" ref="A137:A163" si="20">A136+1</f>
        <v>130</v>
      </c>
      <c r="B137" s="5" t="s">
        <v>81</v>
      </c>
      <c r="C137" s="24">
        <v>250</v>
      </c>
      <c r="D137" s="38">
        <f>ROUND('Lighting RD'!F136,2)</f>
        <v>0</v>
      </c>
      <c r="E137" s="23" t="str">
        <f t="shared" si="19"/>
        <v>N/A</v>
      </c>
    </row>
    <row r="138" spans="1:5" x14ac:dyDescent="0.2">
      <c r="A138" s="25">
        <f t="shared" si="20"/>
        <v>131</v>
      </c>
      <c r="B138" s="5" t="s">
        <v>81</v>
      </c>
      <c r="C138" s="24">
        <v>400</v>
      </c>
      <c r="D138" s="38">
        <v>0</v>
      </c>
      <c r="E138" s="23" t="str">
        <f t="shared" si="19"/>
        <v>N/A</v>
      </c>
    </row>
    <row r="139" spans="1:5" x14ac:dyDescent="0.2">
      <c r="A139" s="25">
        <f t="shared" si="20"/>
        <v>132</v>
      </c>
      <c r="B139" s="27"/>
      <c r="C139" s="24"/>
      <c r="D139" s="38"/>
      <c r="E139" s="13"/>
    </row>
    <row r="140" spans="1:5" x14ac:dyDescent="0.2">
      <c r="A140" s="25">
        <f t="shared" si="20"/>
        <v>133</v>
      </c>
      <c r="B140" s="5" t="s">
        <v>80</v>
      </c>
      <c r="C140" s="24">
        <v>175</v>
      </c>
      <c r="D140" s="38">
        <f>ROUND('Lighting RD'!F139,2)</f>
        <v>0</v>
      </c>
      <c r="E140" s="23" t="str">
        <f t="shared" si="19"/>
        <v>N/A</v>
      </c>
    </row>
    <row r="141" spans="1:5" x14ac:dyDescent="0.2">
      <c r="A141" s="25">
        <f t="shared" si="20"/>
        <v>134</v>
      </c>
      <c r="B141" s="5" t="s">
        <v>80</v>
      </c>
      <c r="C141" s="24">
        <v>250</v>
      </c>
      <c r="D141" s="38">
        <f>ROUND('Lighting RD'!F140,2)</f>
        <v>0</v>
      </c>
      <c r="E141" s="23" t="str">
        <f t="shared" si="19"/>
        <v>N/A</v>
      </c>
    </row>
    <row r="142" spans="1:5" x14ac:dyDescent="0.2">
      <c r="A142" s="25">
        <f t="shared" si="20"/>
        <v>135</v>
      </c>
      <c r="B142" s="5" t="s">
        <v>80</v>
      </c>
      <c r="C142" s="24">
        <v>400</v>
      </c>
      <c r="D142" s="38">
        <v>0</v>
      </c>
      <c r="E142" s="23" t="str">
        <f t="shared" si="19"/>
        <v>N/A</v>
      </c>
    </row>
    <row r="143" spans="1:5" x14ac:dyDescent="0.2">
      <c r="A143" s="25">
        <f t="shared" si="20"/>
        <v>136</v>
      </c>
      <c r="B143" s="5" t="s">
        <v>80</v>
      </c>
      <c r="C143" s="24">
        <v>1000</v>
      </c>
      <c r="D143" s="38">
        <v>0</v>
      </c>
      <c r="E143" s="23" t="str">
        <f t="shared" si="19"/>
        <v>N/A</v>
      </c>
    </row>
    <row r="144" spans="1:5" x14ac:dyDescent="0.2">
      <c r="A144" s="25">
        <f t="shared" si="20"/>
        <v>137</v>
      </c>
      <c r="B144" s="27"/>
      <c r="C144" s="24"/>
      <c r="D144" s="38"/>
      <c r="E144" s="13"/>
    </row>
    <row r="145" spans="1:5" x14ac:dyDescent="0.2">
      <c r="A145" s="25">
        <f t="shared" si="20"/>
        <v>138</v>
      </c>
      <c r="B145" s="5" t="s">
        <v>79</v>
      </c>
      <c r="C145" s="24">
        <v>250</v>
      </c>
      <c r="D145" s="38">
        <f>ROUND('Lighting RD'!F144,2)</f>
        <v>0</v>
      </c>
      <c r="E145" s="23" t="str">
        <f t="shared" si="19"/>
        <v>N/A</v>
      </c>
    </row>
    <row r="146" spans="1:5" x14ac:dyDescent="0.2">
      <c r="A146" s="25">
        <f t="shared" si="20"/>
        <v>139</v>
      </c>
      <c r="B146" s="5" t="s">
        <v>79</v>
      </c>
      <c r="C146" s="24">
        <v>400</v>
      </c>
      <c r="D146" s="38">
        <v>0</v>
      </c>
      <c r="E146" s="23" t="str">
        <f t="shared" si="19"/>
        <v>N/A</v>
      </c>
    </row>
    <row r="147" spans="1:5" x14ac:dyDescent="0.2">
      <c r="A147" s="25">
        <f t="shared" si="20"/>
        <v>140</v>
      </c>
      <c r="B147" s="27"/>
      <c r="C147" s="24"/>
      <c r="D147" s="38"/>
      <c r="E147" s="13"/>
    </row>
    <row r="148" spans="1:5" x14ac:dyDescent="0.2">
      <c r="A148" s="25">
        <f t="shared" si="20"/>
        <v>141</v>
      </c>
      <c r="B148" s="5" t="s">
        <v>78</v>
      </c>
      <c r="C148" s="13" t="s">
        <v>61</v>
      </c>
      <c r="D148" s="38">
        <f>ROUND('Lighting RD'!F147,2)</f>
        <v>0</v>
      </c>
      <c r="E148" s="23" t="str">
        <f t="shared" ref="E148" si="21">$E$10</f>
        <v>N/A</v>
      </c>
    </row>
    <row r="149" spans="1:5" x14ac:dyDescent="0.2">
      <c r="A149" s="25">
        <f t="shared" si="20"/>
        <v>142</v>
      </c>
      <c r="B149" s="5" t="s">
        <v>78</v>
      </c>
      <c r="C149" s="26" t="s">
        <v>60</v>
      </c>
      <c r="D149" s="38">
        <f>ROUND('Lighting RD'!F148,2)</f>
        <v>0</v>
      </c>
      <c r="E149" s="23" t="str">
        <f>$E$148</f>
        <v>N/A</v>
      </c>
    </row>
    <row r="150" spans="1:5" x14ac:dyDescent="0.2">
      <c r="A150" s="25">
        <f t="shared" si="20"/>
        <v>143</v>
      </c>
      <c r="B150" s="5" t="s">
        <v>78</v>
      </c>
      <c r="C150" s="24" t="s">
        <v>35</v>
      </c>
      <c r="D150" s="38">
        <f>ROUND('Lighting RD'!F149,2)</f>
        <v>0</v>
      </c>
      <c r="E150" s="23" t="str">
        <f t="shared" ref="E150:E163" si="22">$E$148</f>
        <v>N/A</v>
      </c>
    </row>
    <row r="151" spans="1:5" x14ac:dyDescent="0.2">
      <c r="A151" s="25">
        <f t="shared" si="20"/>
        <v>144</v>
      </c>
      <c r="B151" s="5" t="s">
        <v>78</v>
      </c>
      <c r="C151" s="24" t="s">
        <v>34</v>
      </c>
      <c r="D151" s="38">
        <f>ROUND('Lighting RD'!F150,2)</f>
        <v>0</v>
      </c>
      <c r="E151" s="23" t="str">
        <f t="shared" si="22"/>
        <v>N/A</v>
      </c>
    </row>
    <row r="152" spans="1:5" x14ac:dyDescent="0.2">
      <c r="A152" s="25">
        <f t="shared" si="20"/>
        <v>145</v>
      </c>
      <c r="B152" s="5" t="s">
        <v>78</v>
      </c>
      <c r="C152" s="24" t="s">
        <v>33</v>
      </c>
      <c r="D152" s="38">
        <f>ROUND('Lighting RD'!F151,2)</f>
        <v>0</v>
      </c>
      <c r="E152" s="23" t="str">
        <f t="shared" si="22"/>
        <v>N/A</v>
      </c>
    </row>
    <row r="153" spans="1:5" x14ac:dyDescent="0.2">
      <c r="A153" s="25">
        <f t="shared" si="20"/>
        <v>146</v>
      </c>
      <c r="B153" s="5" t="s">
        <v>78</v>
      </c>
      <c r="C153" s="24" t="s">
        <v>32</v>
      </c>
      <c r="D153" s="38">
        <f>ROUND('Lighting RD'!F152,2)</f>
        <v>0</v>
      </c>
      <c r="E153" s="23" t="str">
        <f t="shared" si="22"/>
        <v>N/A</v>
      </c>
    </row>
    <row r="154" spans="1:5" x14ac:dyDescent="0.2">
      <c r="A154" s="25">
        <f t="shared" si="20"/>
        <v>147</v>
      </c>
      <c r="B154" s="5" t="s">
        <v>78</v>
      </c>
      <c r="C154" s="24" t="s">
        <v>31</v>
      </c>
      <c r="D154" s="38">
        <f>ROUND('Lighting RD'!F153,2)</f>
        <v>0</v>
      </c>
      <c r="E154" s="23" t="str">
        <f t="shared" si="22"/>
        <v>N/A</v>
      </c>
    </row>
    <row r="155" spans="1:5" x14ac:dyDescent="0.2">
      <c r="A155" s="25">
        <f t="shared" si="20"/>
        <v>148</v>
      </c>
      <c r="B155" s="5" t="s">
        <v>78</v>
      </c>
      <c r="C155" s="24" t="s">
        <v>30</v>
      </c>
      <c r="D155" s="38">
        <f>ROUND('Lighting RD'!F154,2)</f>
        <v>0</v>
      </c>
      <c r="E155" s="23" t="str">
        <f t="shared" si="22"/>
        <v>N/A</v>
      </c>
    </row>
    <row r="156" spans="1:5" x14ac:dyDescent="0.2">
      <c r="A156" s="25">
        <f t="shared" si="20"/>
        <v>149</v>
      </c>
      <c r="B156" s="5" t="s">
        <v>78</v>
      </c>
      <c r="C156" s="24" t="s">
        <v>29</v>
      </c>
      <c r="D156" s="38">
        <f>ROUND('Lighting RD'!F155,2)</f>
        <v>0</v>
      </c>
      <c r="E156" s="23" t="str">
        <f t="shared" si="22"/>
        <v>N/A</v>
      </c>
    </row>
    <row r="157" spans="1:5" x14ac:dyDescent="0.2">
      <c r="A157" s="25">
        <f t="shared" si="20"/>
        <v>150</v>
      </c>
      <c r="B157" s="5" t="s">
        <v>78</v>
      </c>
      <c r="C157" s="24" t="s">
        <v>28</v>
      </c>
      <c r="D157" s="38">
        <f>ROUND('Lighting RD'!F156,2)</f>
        <v>0</v>
      </c>
      <c r="E157" s="23" t="str">
        <f t="shared" si="22"/>
        <v>N/A</v>
      </c>
    </row>
    <row r="158" spans="1:5" x14ac:dyDescent="0.2">
      <c r="A158" s="25">
        <f t="shared" si="20"/>
        <v>151</v>
      </c>
      <c r="B158" s="5" t="s">
        <v>78</v>
      </c>
      <c r="C158" s="24" t="s">
        <v>27</v>
      </c>
      <c r="D158" s="38">
        <f>ROUND('Lighting RD'!F157,2)</f>
        <v>0</v>
      </c>
      <c r="E158" s="23" t="str">
        <f t="shared" si="22"/>
        <v>N/A</v>
      </c>
    </row>
    <row r="159" spans="1:5" x14ac:dyDescent="0.2">
      <c r="A159" s="25">
        <f t="shared" si="20"/>
        <v>152</v>
      </c>
      <c r="B159" s="5" t="s">
        <v>78</v>
      </c>
      <c r="C159" s="24" t="s">
        <v>26</v>
      </c>
      <c r="D159" s="38">
        <v>0</v>
      </c>
      <c r="E159" s="23" t="str">
        <f t="shared" si="22"/>
        <v>N/A</v>
      </c>
    </row>
    <row r="160" spans="1:5" x14ac:dyDescent="0.2">
      <c r="A160" s="25">
        <f t="shared" si="20"/>
        <v>153</v>
      </c>
      <c r="B160" s="5" t="s">
        <v>78</v>
      </c>
      <c r="C160" s="24" t="s">
        <v>25</v>
      </c>
      <c r="D160" s="38">
        <v>0</v>
      </c>
      <c r="E160" s="23" t="str">
        <f t="shared" si="22"/>
        <v>N/A</v>
      </c>
    </row>
    <row r="161" spans="1:5" x14ac:dyDescent="0.2">
      <c r="A161" s="25">
        <f t="shared" si="20"/>
        <v>154</v>
      </c>
      <c r="B161" s="5" t="s">
        <v>78</v>
      </c>
      <c r="C161" s="24" t="s">
        <v>24</v>
      </c>
      <c r="D161" s="38">
        <v>0</v>
      </c>
      <c r="E161" s="23" t="str">
        <f t="shared" si="22"/>
        <v>N/A</v>
      </c>
    </row>
    <row r="162" spans="1:5" x14ac:dyDescent="0.2">
      <c r="A162" s="25">
        <f t="shared" si="20"/>
        <v>155</v>
      </c>
      <c r="B162" s="5" t="s">
        <v>78</v>
      </c>
      <c r="C162" s="24" t="s">
        <v>23</v>
      </c>
      <c r="D162" s="38">
        <v>0</v>
      </c>
      <c r="E162" s="23" t="str">
        <f t="shared" si="22"/>
        <v>N/A</v>
      </c>
    </row>
    <row r="163" spans="1:5" x14ac:dyDescent="0.2">
      <c r="A163" s="25">
        <f t="shared" si="20"/>
        <v>156</v>
      </c>
      <c r="B163" s="5" t="s">
        <v>78</v>
      </c>
      <c r="C163" s="24" t="s">
        <v>21</v>
      </c>
      <c r="D163" s="38">
        <v>0</v>
      </c>
      <c r="E163" s="23" t="str">
        <f t="shared" si="22"/>
        <v>N/A</v>
      </c>
    </row>
  </sheetData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5CBB-3E6B-4309-AC8A-FDBF836F601B}">
  <sheetPr>
    <tabColor theme="6" tint="0.79998168889431442"/>
    <pageSetUpPr fitToPage="1"/>
  </sheetPr>
  <dimension ref="A1:Q200"/>
  <sheetViews>
    <sheetView zoomScaleNormal="100" zoomScaleSheetLayoutView="100" workbookViewId="0">
      <pane ySplit="7" topLeftCell="A8" activePane="bottomLeft" state="frozen"/>
      <selection activeCell="B18" sqref="B18"/>
      <selection pane="bottomLeft" activeCell="B18" sqref="B18"/>
    </sheetView>
  </sheetViews>
  <sheetFormatPr defaultColWidth="9.140625" defaultRowHeight="11.25" x14ac:dyDescent="0.2"/>
  <cols>
    <col min="1" max="1" width="6.7109375" style="4" bestFit="1" customWidth="1"/>
    <col min="2" max="2" width="45.7109375" style="4" bestFit="1" customWidth="1"/>
    <col min="3" max="3" width="6.7109375" style="4" bestFit="1" customWidth="1"/>
    <col min="4" max="4" width="7.42578125" style="13" bestFit="1" customWidth="1"/>
    <col min="5" max="5" width="7.42578125" style="29" bestFit="1" customWidth="1"/>
    <col min="6" max="6" width="9.7109375" style="29" customWidth="1"/>
    <col min="7" max="7" width="14" style="29" customWidth="1"/>
    <col min="8" max="8" width="4.28515625" style="29" customWidth="1"/>
    <col min="9" max="9" width="7.7109375" style="4" customWidth="1"/>
    <col min="10" max="10" width="9.42578125" style="4" customWidth="1"/>
    <col min="11" max="11" width="7.5703125" style="29" customWidth="1"/>
    <col min="12" max="12" width="8.140625" style="29" bestFit="1" customWidth="1"/>
    <col min="13" max="13" width="13.42578125" style="29" customWidth="1"/>
    <col min="14" max="14" width="10.7109375" style="4" bestFit="1" customWidth="1"/>
    <col min="15" max="15" width="7.7109375" style="4" bestFit="1" customWidth="1"/>
    <col min="16" max="16" width="5.28515625" style="4" bestFit="1" customWidth="1"/>
    <col min="17" max="17" width="12.28515625" style="4" bestFit="1" customWidth="1"/>
    <col min="18" max="16384" width="9.140625" style="4"/>
  </cols>
  <sheetData>
    <row r="1" spans="1:17" s="15" customFormat="1" x14ac:dyDescent="0.2">
      <c r="A1" s="31" t="str">
        <f>'Sch 149PFG Rates'!A1</f>
        <v>PUGET SOUND ENERGY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s="15" customFormat="1" x14ac:dyDescent="0.2">
      <c r="A2" s="31" t="str">
        <f>'Sch 149PFG Rates'!A2</f>
        <v xml:space="preserve">Schedule 141PFG - Intervenor Funding 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7" s="15" customFormat="1" x14ac:dyDescent="0.2">
      <c r="A3" s="31" t="str">
        <f>'Sch 149PFG Rates'!A3</f>
        <v xml:space="preserve">Proposed Rates 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4"/>
    </row>
    <row r="4" spans="1:17" s="15" customFormat="1" x14ac:dyDescent="0.2">
      <c r="A4" s="31" t="str">
        <f>'Sch 149PFG Rates'!A4</f>
        <v>Effective May 1, 2024 - April 30, 2025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4"/>
    </row>
    <row r="5" spans="1:17" s="15" customFormat="1" x14ac:dyDescent="0.2">
      <c r="A5" s="31" t="s">
        <v>115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7" s="15" customFormat="1" x14ac:dyDescent="0.2">
      <c r="A6" s="31" t="s">
        <v>11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4"/>
    </row>
    <row r="7" spans="1:17" s="69" customFormat="1" ht="45" x14ac:dyDescent="0.2">
      <c r="A7" s="32" t="s">
        <v>4</v>
      </c>
      <c r="B7" s="32" t="s">
        <v>10</v>
      </c>
      <c r="C7" s="33" t="s">
        <v>0</v>
      </c>
      <c r="D7" s="74"/>
      <c r="E7" s="74"/>
      <c r="F7" s="74"/>
      <c r="G7" s="71" t="s">
        <v>154</v>
      </c>
      <c r="H7" s="70" t="s">
        <v>130</v>
      </c>
      <c r="I7" s="74"/>
      <c r="J7" s="73" t="s">
        <v>127</v>
      </c>
      <c r="K7" s="72" t="s">
        <v>186</v>
      </c>
      <c r="L7" s="72"/>
      <c r="M7" s="71" t="s">
        <v>188</v>
      </c>
      <c r="N7" s="70" t="s">
        <v>114</v>
      </c>
      <c r="O7" s="70"/>
      <c r="P7" s="65" t="s">
        <v>132</v>
      </c>
    </row>
    <row r="8" spans="1:17" s="65" customFormat="1" x14ac:dyDescent="0.2">
      <c r="A8" s="19"/>
      <c r="B8" s="19"/>
      <c r="C8" s="68" t="s">
        <v>11</v>
      </c>
      <c r="D8" s="68"/>
      <c r="E8" s="68"/>
      <c r="F8" s="68"/>
      <c r="G8" s="66" t="s">
        <v>73</v>
      </c>
      <c r="H8" s="68" t="s">
        <v>72</v>
      </c>
      <c r="I8" s="68"/>
      <c r="J8" s="19" t="s">
        <v>71</v>
      </c>
      <c r="K8" s="67" t="s">
        <v>70</v>
      </c>
      <c r="L8" s="67"/>
      <c r="M8" s="66" t="s">
        <v>187</v>
      </c>
      <c r="N8" s="19" t="s">
        <v>113</v>
      </c>
      <c r="O8" s="19" t="s">
        <v>112</v>
      </c>
      <c r="P8" s="13"/>
    </row>
    <row r="9" spans="1:17" x14ac:dyDescent="0.2">
      <c r="A9" s="25">
        <v>1</v>
      </c>
      <c r="C9" s="30" t="s">
        <v>11</v>
      </c>
      <c r="D9" s="57"/>
      <c r="E9" s="30"/>
      <c r="F9" s="30"/>
      <c r="H9" s="46" t="s">
        <v>11</v>
      </c>
      <c r="I9" s="46"/>
      <c r="K9" s="44" t="s">
        <v>11</v>
      </c>
      <c r="L9" s="44"/>
      <c r="Q9" s="65"/>
    </row>
    <row r="10" spans="1:17" x14ac:dyDescent="0.2">
      <c r="A10" s="25">
        <f t="shared" ref="A10:A47" si="0">A9+1</f>
        <v>2</v>
      </c>
      <c r="B10" s="4" t="str">
        <f>'Sch 149PFG Rates'!B11</f>
        <v>Residential</v>
      </c>
      <c r="C10" s="30" t="str">
        <f>'Sch 149PFG Rates'!C11</f>
        <v>7 (307) (317) (327)</v>
      </c>
      <c r="D10" s="57"/>
      <c r="E10" s="30"/>
      <c r="F10" s="30"/>
      <c r="G10" s="59">
        <f>'Rate Spread &amp; Design'!D10</f>
        <v>11203510559.836071</v>
      </c>
      <c r="H10" s="61">
        <v>0</v>
      </c>
      <c r="I10" s="61"/>
      <c r="J10" s="60">
        <f>ROUND('Rate Spread &amp; Design'!J10,6)</f>
        <v>9.0000000000000002E-6</v>
      </c>
      <c r="K10" s="163">
        <v>1558248424.9742928</v>
      </c>
      <c r="L10" s="163"/>
      <c r="M10" s="58">
        <f>K10+G10*(J10-H10)</f>
        <v>1558349256.5693312</v>
      </c>
      <c r="N10" s="58">
        <f>+M10-K10</f>
        <v>100831.595038414</v>
      </c>
      <c r="O10" s="11">
        <f>IF(K10=0,"n/a",+N10/K10)</f>
        <v>6.4708292607500937E-5</v>
      </c>
      <c r="P10" s="38">
        <f>J10-ROUND('Rate Spread &amp; Design'!J10,6)</f>
        <v>0</v>
      </c>
      <c r="Q10" s="65"/>
    </row>
    <row r="11" spans="1:17" x14ac:dyDescent="0.2">
      <c r="A11" s="25">
        <f t="shared" si="0"/>
        <v>3</v>
      </c>
      <c r="B11" s="12"/>
      <c r="C11" s="30" t="s">
        <v>11</v>
      </c>
      <c r="D11" s="57"/>
      <c r="E11" s="30"/>
      <c r="F11" s="30"/>
      <c r="H11" s="56" t="s">
        <v>11</v>
      </c>
      <c r="I11" s="56"/>
      <c r="J11" s="14"/>
      <c r="K11" s="44" t="s">
        <v>11</v>
      </c>
      <c r="L11" s="44"/>
      <c r="M11" s="55"/>
      <c r="N11" s="55"/>
      <c r="O11" s="9"/>
      <c r="Q11" s="65"/>
    </row>
    <row r="12" spans="1:17" x14ac:dyDescent="0.2">
      <c r="A12" s="25">
        <f t="shared" si="0"/>
        <v>4</v>
      </c>
      <c r="B12" s="4" t="str">
        <f>'Sch 149PFG Rates'!B13</f>
        <v>Secondary Voltage:</v>
      </c>
      <c r="C12" s="30" t="s">
        <v>11</v>
      </c>
      <c r="D12" s="57"/>
      <c r="E12" s="30"/>
      <c r="F12" s="30"/>
      <c r="H12" s="56" t="s">
        <v>11</v>
      </c>
      <c r="I12" s="56"/>
      <c r="J12" s="14"/>
      <c r="K12" s="44" t="s">
        <v>11</v>
      </c>
      <c r="L12" s="44"/>
      <c r="M12" s="55"/>
      <c r="N12" s="55"/>
      <c r="O12" s="9"/>
      <c r="Q12" s="65"/>
    </row>
    <row r="13" spans="1:17" x14ac:dyDescent="0.2">
      <c r="A13" s="25">
        <f t="shared" si="0"/>
        <v>5</v>
      </c>
      <c r="B13" s="63" t="str">
        <f>'Sch 149PFG Rates'!B14</f>
        <v>General Service: Demand &lt;= 50 kW</v>
      </c>
      <c r="C13" s="30" t="str">
        <f>'Sch 149PFG Rates'!C14</f>
        <v>08 (24) (324)</v>
      </c>
      <c r="D13" s="57"/>
      <c r="E13" s="30"/>
      <c r="F13" s="30"/>
      <c r="G13" s="29">
        <f>'Rate Spread &amp; Design'!D13</f>
        <v>2760323642.6246891</v>
      </c>
      <c r="H13" s="164">
        <v>0</v>
      </c>
      <c r="I13" s="164"/>
      <c r="J13" s="14">
        <f>ROUND('Rate Spread &amp; Design'!J13,6)</f>
        <v>6.0000000000000002E-6</v>
      </c>
      <c r="K13" s="165">
        <v>371358282.71703464</v>
      </c>
      <c r="L13" s="165"/>
      <c r="M13" s="55">
        <f>K13+G13*(J13-H13)</f>
        <v>371374844.65889037</v>
      </c>
      <c r="N13" s="55">
        <f>+M13-K13</f>
        <v>16561.941855728626</v>
      </c>
      <c r="O13" s="9">
        <f>IF(K13=0,"n/a",+N13/K13)</f>
        <v>4.459828318505123E-5</v>
      </c>
      <c r="P13" s="38">
        <f>J13-ROUND('Rate Spread &amp; Design'!J13,6)</f>
        <v>0</v>
      </c>
      <c r="Q13" s="65"/>
    </row>
    <row r="14" spans="1:17" x14ac:dyDescent="0.2">
      <c r="A14" s="25">
        <f t="shared" si="0"/>
        <v>6</v>
      </c>
      <c r="B14" s="63" t="str">
        <f>'Sch 149PFG Rates'!B15</f>
        <v>Small General Service: Demand &gt; 50 kW but &lt;= 350 kW</v>
      </c>
      <c r="C14" s="30" t="s">
        <v>192</v>
      </c>
      <c r="D14" s="57"/>
      <c r="E14" s="30"/>
      <c r="F14" s="30"/>
      <c r="G14" s="29">
        <f>'Rate Spread &amp; Design'!D14</f>
        <v>2959045827.7728415</v>
      </c>
      <c r="H14" s="164">
        <v>0</v>
      </c>
      <c r="I14" s="164"/>
      <c r="J14" s="14">
        <f>ROUND('Rate Spread &amp; Design'!J14,6)</f>
        <v>6.9999999999999999E-6</v>
      </c>
      <c r="K14" s="165">
        <v>390500905.10427451</v>
      </c>
      <c r="L14" s="165"/>
      <c r="M14" s="55">
        <f t="shared" ref="M14:M16" si="1">K14+G14*(J14-H14)</f>
        <v>390521618.42506891</v>
      </c>
      <c r="N14" s="55">
        <f t="shared" ref="N14:N16" si="2">+M14-K14</f>
        <v>20713.320794403553</v>
      </c>
      <c r="O14" s="9">
        <f t="shared" ref="O14:O16" si="3">IF(K14=0,"n/a",+N14/K14)</f>
        <v>5.3042952074266062E-5</v>
      </c>
      <c r="P14" s="38">
        <f>J14-ROUND('Rate Spread &amp; Design'!J14,6)</f>
        <v>0</v>
      </c>
      <c r="Q14" s="65"/>
    </row>
    <row r="15" spans="1:17" x14ac:dyDescent="0.2">
      <c r="A15" s="25">
        <f t="shared" si="0"/>
        <v>7</v>
      </c>
      <c r="B15" s="63" t="str">
        <f>'Sch 149PFG Rates'!B16</f>
        <v>Large General Service: Demand &gt; 350 kW</v>
      </c>
      <c r="C15" s="30" t="str">
        <f>'Sch 149PFG Rates'!C16</f>
        <v>12 (26) (26P)</v>
      </c>
      <c r="D15" s="57"/>
      <c r="E15" s="30"/>
      <c r="F15" s="30"/>
      <c r="G15" s="29">
        <f>'Rate Spread &amp; Design'!D15</f>
        <v>1976059702.4320197</v>
      </c>
      <c r="H15" s="164">
        <v>0</v>
      </c>
      <c r="I15" s="164"/>
      <c r="J15" s="14">
        <f>ROUND('Rate Spread &amp; Design'!J15,6)</f>
        <v>9.0000000000000002E-6</v>
      </c>
      <c r="K15" s="165">
        <v>237477248.70210776</v>
      </c>
      <c r="L15" s="165"/>
      <c r="M15" s="55">
        <f t="shared" si="1"/>
        <v>237495033.23942965</v>
      </c>
      <c r="N15" s="55">
        <f t="shared" si="2"/>
        <v>17784.537321895361</v>
      </c>
      <c r="O15" s="9">
        <f t="shared" si="3"/>
        <v>7.4889436436937772E-5</v>
      </c>
      <c r="P15" s="38">
        <f>J15-ROUND('Rate Spread &amp; Design'!J15,6)</f>
        <v>0</v>
      </c>
      <c r="Q15" s="65"/>
    </row>
    <row r="16" spans="1:17" x14ac:dyDescent="0.2">
      <c r="A16" s="25">
        <f t="shared" si="0"/>
        <v>8</v>
      </c>
      <c r="B16" s="63" t="str">
        <f>'Sch 149PFG Rates'!B17</f>
        <v>Irrigation &amp; Pumping Service: Demand &gt; 50 kW but &lt;= 350 kW</v>
      </c>
      <c r="C16" s="30">
        <f>'Sch 149PFG Rates'!C17</f>
        <v>29</v>
      </c>
      <c r="D16" s="57"/>
      <c r="E16" s="30"/>
      <c r="F16" s="30"/>
      <c r="G16" s="29">
        <f>'Rate Spread &amp; Design'!D16</f>
        <v>15030637.337107176</v>
      </c>
      <c r="H16" s="164">
        <v>0</v>
      </c>
      <c r="I16" s="164"/>
      <c r="J16" s="14">
        <f>ROUND('Rate Spread &amp; Design'!J16,6)</f>
        <v>5.0000000000000004E-6</v>
      </c>
      <c r="K16" s="166">
        <v>1798525.9109019253</v>
      </c>
      <c r="L16" s="166"/>
      <c r="M16" s="95">
        <f t="shared" si="1"/>
        <v>1798601.0640886109</v>
      </c>
      <c r="N16" s="55">
        <f t="shared" si="2"/>
        <v>75.153186685638502</v>
      </c>
      <c r="O16" s="9">
        <f t="shared" si="3"/>
        <v>4.1785990532630501E-5</v>
      </c>
      <c r="P16" s="38">
        <f>J16-ROUND('Rate Spread &amp; Design'!J16,6)</f>
        <v>0</v>
      </c>
    </row>
    <row r="17" spans="1:17" x14ac:dyDescent="0.2">
      <c r="A17" s="25">
        <f t="shared" si="0"/>
        <v>9</v>
      </c>
      <c r="B17" s="5" t="str">
        <f>'Sch 149PFG Rates'!B18</f>
        <v>Total Secondary Voltage</v>
      </c>
      <c r="C17" s="30" t="s">
        <v>11</v>
      </c>
      <c r="D17" s="57"/>
      <c r="E17" s="30"/>
      <c r="F17" s="30"/>
      <c r="G17" s="59">
        <f>SUM(G13:G16)</f>
        <v>7710459810.1666565</v>
      </c>
      <c r="H17" s="61"/>
      <c r="I17" s="61"/>
      <c r="J17" s="60"/>
      <c r="K17" s="94">
        <f>SUM(K13:K16)</f>
        <v>1001134962.4343188</v>
      </c>
      <c r="L17" s="94"/>
      <c r="M17" s="95">
        <f>SUM(M13:M16)</f>
        <v>1001190097.3874776</v>
      </c>
      <c r="N17" s="58">
        <f>SUM(N13:N16)</f>
        <v>55134.953158713179</v>
      </c>
      <c r="O17" s="11">
        <f>IF(K17=0,"n/a",+N17/K17)</f>
        <v>5.507244799906826E-5</v>
      </c>
    </row>
    <row r="18" spans="1:17" x14ac:dyDescent="0.2">
      <c r="A18" s="25">
        <f t="shared" si="0"/>
        <v>10</v>
      </c>
      <c r="B18" s="12"/>
      <c r="C18" s="30" t="s">
        <v>11</v>
      </c>
      <c r="D18" s="57"/>
      <c r="E18" s="30"/>
      <c r="F18" s="30"/>
      <c r="H18" s="56" t="s">
        <v>11</v>
      </c>
      <c r="I18" s="56"/>
      <c r="J18" s="14"/>
      <c r="K18" s="44" t="s">
        <v>11</v>
      </c>
      <c r="L18" s="44"/>
      <c r="M18" s="55"/>
      <c r="N18" s="55"/>
      <c r="O18" s="9"/>
    </row>
    <row r="19" spans="1:17" x14ac:dyDescent="0.2">
      <c r="A19" s="25">
        <f t="shared" si="0"/>
        <v>11</v>
      </c>
      <c r="B19" s="4" t="str">
        <f>'Sch 149PFG Rates'!B20</f>
        <v>Primary Voltage:</v>
      </c>
      <c r="C19" s="30" t="s">
        <v>11</v>
      </c>
      <c r="D19" s="57"/>
      <c r="E19" s="30"/>
      <c r="F19" s="30"/>
      <c r="H19" s="56" t="s">
        <v>11</v>
      </c>
      <c r="I19" s="56"/>
      <c r="J19" s="14"/>
      <c r="K19" s="44" t="s">
        <v>11</v>
      </c>
      <c r="L19" s="44"/>
      <c r="M19" s="55"/>
      <c r="N19" s="55"/>
      <c r="O19" s="9"/>
    </row>
    <row r="20" spans="1:17" x14ac:dyDescent="0.2">
      <c r="A20" s="25">
        <f t="shared" si="0"/>
        <v>12</v>
      </c>
      <c r="B20" s="63" t="str">
        <f>'Sch 149PFG Rates'!B21</f>
        <v>General Service</v>
      </c>
      <c r="C20" s="30" t="str">
        <f>'Sch 149PFG Rates'!C21</f>
        <v>10 (31)</v>
      </c>
      <c r="D20" s="57"/>
      <c r="E20" s="30"/>
      <c r="F20" s="30"/>
      <c r="G20" s="29">
        <f>'Rate Spread &amp; Design'!D19</f>
        <v>1414726531.7689974</v>
      </c>
      <c r="H20" s="164">
        <v>0</v>
      </c>
      <c r="I20" s="164"/>
      <c r="J20" s="14">
        <f>ROUND('Rate Spread &amp; Design'!J19,6)</f>
        <v>2.0000000000000002E-5</v>
      </c>
      <c r="K20" s="165">
        <v>164933196.06561378</v>
      </c>
      <c r="L20" s="165"/>
      <c r="M20" s="55">
        <f t="shared" ref="M20:M22" si="4">K20+G20*(J20-H20)</f>
        <v>164961490.59624916</v>
      </c>
      <c r="N20" s="55">
        <f t="shared" ref="N20:N22" si="5">+M20-K20</f>
        <v>28294.530635386705</v>
      </c>
      <c r="O20" s="9">
        <f t="shared" ref="O20:O22" si="6">IF(K20=0,"n/a",+N20/K20)</f>
        <v>1.7155146029020481E-4</v>
      </c>
      <c r="P20" s="38">
        <f>J20-ROUND('Rate Spread &amp; Design'!J19,6)</f>
        <v>0</v>
      </c>
    </row>
    <row r="21" spans="1:17" x14ac:dyDescent="0.2">
      <c r="A21" s="25">
        <f t="shared" si="0"/>
        <v>13</v>
      </c>
      <c r="B21" s="64" t="str">
        <f>'Sch 149PFG Rates'!B22</f>
        <v>Irrigation &amp; Pumping Service</v>
      </c>
      <c r="C21" s="30">
        <f>'Sch 149PFG Rates'!C22</f>
        <v>35</v>
      </c>
      <c r="D21" s="57"/>
      <c r="E21" s="31"/>
      <c r="F21" s="31"/>
      <c r="G21" s="29">
        <f>'Rate Spread &amp; Design'!D20</f>
        <v>4440266.6219169199</v>
      </c>
      <c r="H21" s="164">
        <v>0</v>
      </c>
      <c r="I21" s="164"/>
      <c r="J21" s="14">
        <f>ROUND('Rate Spread &amp; Design'!J20,6)</f>
        <v>5.0000000000000004E-6</v>
      </c>
      <c r="K21" s="165">
        <v>426250.90523892164</v>
      </c>
      <c r="L21" s="165"/>
      <c r="M21" s="55">
        <f t="shared" si="4"/>
        <v>426273.10657203122</v>
      </c>
      <c r="N21" s="55">
        <f t="shared" si="5"/>
        <v>22.201333109580446</v>
      </c>
      <c r="O21" s="9">
        <f t="shared" si="6"/>
        <v>5.2085128352129089E-5</v>
      </c>
      <c r="P21" s="38">
        <f>J21-ROUND('Rate Spread &amp; Design'!J20,6)</f>
        <v>0</v>
      </c>
    </row>
    <row r="22" spans="1:17" x14ac:dyDescent="0.2">
      <c r="A22" s="25">
        <f t="shared" si="0"/>
        <v>14</v>
      </c>
      <c r="B22" s="64" t="str">
        <f>'Sch 149PFG Rates'!B23</f>
        <v>All Electric Schools</v>
      </c>
      <c r="C22" s="30">
        <f>'Sch 149PFG Rates'!C23</f>
        <v>43</v>
      </c>
      <c r="D22" s="57"/>
      <c r="E22" s="31"/>
      <c r="F22" s="31"/>
      <c r="G22" s="29">
        <f>'Rate Spread &amp; Design'!D21</f>
        <v>122744427.38210531</v>
      </c>
      <c r="H22" s="164">
        <v>0</v>
      </c>
      <c r="I22" s="164"/>
      <c r="J22" s="14">
        <f>ROUND('Rate Spread &amp; Design'!J21,6)</f>
        <v>5.0000000000000004E-6</v>
      </c>
      <c r="K22" s="166">
        <v>14580163.945268542</v>
      </c>
      <c r="L22" s="166"/>
      <c r="M22" s="95">
        <f t="shared" si="4"/>
        <v>14580777.667405453</v>
      </c>
      <c r="N22" s="55">
        <f t="shared" si="5"/>
        <v>613.72213691100478</v>
      </c>
      <c r="O22" s="9">
        <f t="shared" si="6"/>
        <v>4.209295171267027E-5</v>
      </c>
      <c r="P22" s="38">
        <f>J22-ROUND('Rate Spread &amp; Design'!J21,6)</f>
        <v>0</v>
      </c>
    </row>
    <row r="23" spans="1:17" x14ac:dyDescent="0.2">
      <c r="A23" s="25">
        <f t="shared" si="0"/>
        <v>15</v>
      </c>
      <c r="B23" s="12" t="str">
        <f>'Sch 149PFG Rates'!B24</f>
        <v>Total Primary Voltage</v>
      </c>
      <c r="C23" s="30" t="s">
        <v>11</v>
      </c>
      <c r="D23" s="57"/>
      <c r="E23" s="30"/>
      <c r="F23" s="30"/>
      <c r="G23" s="59">
        <f>SUM(G20:G22)</f>
        <v>1541911225.7730198</v>
      </c>
      <c r="H23" s="61"/>
      <c r="I23" s="61"/>
      <c r="J23" s="60"/>
      <c r="K23" s="94">
        <f>SUM(K20:K22)</f>
        <v>179939610.91612124</v>
      </c>
      <c r="L23" s="94"/>
      <c r="M23" s="95">
        <f>SUM(M20:M22)</f>
        <v>179968541.37022665</v>
      </c>
      <c r="N23" s="58">
        <f>SUM(N20:N22)</f>
        <v>28930.454105407291</v>
      </c>
      <c r="O23" s="11">
        <f>IF(K23=0,"n/a",+N23/K23)</f>
        <v>1.6077868546071942E-4</v>
      </c>
    </row>
    <row r="24" spans="1:17" x14ac:dyDescent="0.2">
      <c r="A24" s="25">
        <f t="shared" si="0"/>
        <v>16</v>
      </c>
      <c r="C24" s="30" t="s">
        <v>11</v>
      </c>
      <c r="D24" s="57"/>
      <c r="E24" s="30"/>
      <c r="F24" s="30"/>
      <c r="G24" s="4"/>
      <c r="H24" s="46" t="s">
        <v>11</v>
      </c>
      <c r="I24" s="46"/>
      <c r="K24" s="44" t="s">
        <v>11</v>
      </c>
      <c r="L24" s="44"/>
      <c r="M24" s="4"/>
    </row>
    <row r="25" spans="1:17" x14ac:dyDescent="0.2">
      <c r="A25" s="25">
        <f t="shared" si="0"/>
        <v>17</v>
      </c>
      <c r="B25" s="4" t="str">
        <f>'Sch 149PFG Rates'!B26</f>
        <v>High Voltage:</v>
      </c>
      <c r="C25" s="30" t="s">
        <v>11</v>
      </c>
      <c r="D25" s="57"/>
      <c r="E25" s="30"/>
      <c r="F25" s="30"/>
      <c r="H25" s="56" t="s">
        <v>11</v>
      </c>
      <c r="I25" s="56"/>
      <c r="J25" s="14"/>
      <c r="K25" s="44" t="s">
        <v>11</v>
      </c>
      <c r="L25" s="44"/>
      <c r="M25" s="55"/>
      <c r="N25" s="55"/>
      <c r="O25" s="9"/>
    </row>
    <row r="26" spans="1:17" x14ac:dyDescent="0.2">
      <c r="A26" s="25">
        <f t="shared" si="0"/>
        <v>18</v>
      </c>
      <c r="B26" s="63" t="str">
        <f>'Sch 149PFG Rates'!B27</f>
        <v>Interruptible Service</v>
      </c>
      <c r="C26" s="30">
        <f>'Sch 149PFG Rates'!C27</f>
        <v>46</v>
      </c>
      <c r="D26" s="57"/>
      <c r="E26" s="31"/>
      <c r="F26" s="31"/>
      <c r="G26" s="29">
        <f>'Rate Spread &amp; Design'!D24</f>
        <v>96942309.823676795</v>
      </c>
      <c r="H26" s="164">
        <v>0</v>
      </c>
      <c r="I26" s="164"/>
      <c r="J26" s="14">
        <f>ROUND('Rate Spread &amp; Design'!J24,6)</f>
        <v>3.8999999999999999E-5</v>
      </c>
      <c r="K26" s="165">
        <v>8491307.2348099165</v>
      </c>
      <c r="L26" s="165"/>
      <c r="M26" s="55">
        <f t="shared" ref="M26:M27" si="7">K26+G26*(J26-H26)</f>
        <v>8495087.9848930407</v>
      </c>
      <c r="N26" s="55">
        <f t="shared" ref="N26:N27" si="8">+M26-K26</f>
        <v>3780.7500831242651</v>
      </c>
      <c r="O26" s="9">
        <f t="shared" ref="O26:O27" si="9">IF(K26=0,"n/a",+N26/K26)</f>
        <v>4.4524947438306884E-4</v>
      </c>
      <c r="P26" s="38">
        <f>J26-ROUND('Rate Spread &amp; Design'!J24,6)</f>
        <v>0</v>
      </c>
    </row>
    <row r="27" spans="1:17" x14ac:dyDescent="0.2">
      <c r="A27" s="25">
        <f t="shared" si="0"/>
        <v>19</v>
      </c>
      <c r="B27" s="63" t="str">
        <f>'Sch 149PFG Rates'!B28</f>
        <v>General Service</v>
      </c>
      <c r="C27" s="30">
        <f>'Sch 149PFG Rates'!C28</f>
        <v>49</v>
      </c>
      <c r="D27" s="57"/>
      <c r="E27" s="31"/>
      <c r="F27" s="31"/>
      <c r="G27" s="29">
        <f>'Rate Spread &amp; Design'!D25</f>
        <v>534795351.78868973</v>
      </c>
      <c r="H27" s="164">
        <v>0</v>
      </c>
      <c r="I27" s="164"/>
      <c r="J27" s="14">
        <f>ROUND('Rate Spread &amp; Design'!J25,6)</f>
        <v>1.2999999999999999E-5</v>
      </c>
      <c r="K27" s="166">
        <v>48820063.769156851</v>
      </c>
      <c r="L27" s="166"/>
      <c r="M27" s="95">
        <f t="shared" si="7"/>
        <v>48827016.108730108</v>
      </c>
      <c r="N27" s="55">
        <f t="shared" si="8"/>
        <v>6952.3395732566714</v>
      </c>
      <c r="O27" s="9">
        <f t="shared" si="9"/>
        <v>1.4240742507282353E-4</v>
      </c>
      <c r="P27" s="38">
        <f>J27-ROUND('Rate Spread &amp; Design'!J25,6)</f>
        <v>0</v>
      </c>
    </row>
    <row r="28" spans="1:17" x14ac:dyDescent="0.2">
      <c r="A28" s="25">
        <f t="shared" si="0"/>
        <v>20</v>
      </c>
      <c r="B28" s="5" t="str">
        <f>'Sch 149PFG Rates'!B29</f>
        <v>Total High Voltage</v>
      </c>
      <c r="C28" s="31" t="s">
        <v>11</v>
      </c>
      <c r="D28" s="57"/>
      <c r="E28" s="31"/>
      <c r="F28" s="31"/>
      <c r="G28" s="59">
        <f>SUM(G26:G27)</f>
        <v>631737661.61236656</v>
      </c>
      <c r="H28" s="62"/>
      <c r="I28" s="61"/>
      <c r="J28" s="60"/>
      <c r="K28" s="94">
        <f>SUM(K26:K27)</f>
        <v>57311371.003966764</v>
      </c>
      <c r="L28" s="94"/>
      <c r="M28" s="96">
        <f>SUM(M26:M27)</f>
        <v>57322104.093623146</v>
      </c>
      <c r="N28" s="58">
        <f>SUM(N26:N27)</f>
        <v>10733.089656380937</v>
      </c>
      <c r="O28" s="11">
        <f>IF(K28=0,"n/a",+N28/K28)</f>
        <v>1.8727679112122539E-4</v>
      </c>
    </row>
    <row r="29" spans="1:17" x14ac:dyDescent="0.2">
      <c r="A29" s="25">
        <f t="shared" si="0"/>
        <v>21</v>
      </c>
      <c r="B29" s="12"/>
      <c r="C29" s="30" t="s">
        <v>11</v>
      </c>
      <c r="D29" s="57"/>
      <c r="E29" s="30"/>
      <c r="F29" s="30"/>
      <c r="G29" s="4"/>
      <c r="H29" s="46" t="s">
        <v>11</v>
      </c>
      <c r="I29" s="46"/>
      <c r="K29" s="44" t="s">
        <v>11</v>
      </c>
      <c r="L29" s="44"/>
      <c r="M29" s="4"/>
      <c r="Q29" s="35"/>
    </row>
    <row r="30" spans="1:17" x14ac:dyDescent="0.2">
      <c r="A30" s="25">
        <f t="shared" si="0"/>
        <v>22</v>
      </c>
      <c r="B30" s="12" t="str">
        <f>'Sch 149PFG Rates'!B31</f>
        <v>Choice / Retail Wheeling</v>
      </c>
      <c r="C30" s="30" t="str">
        <f>'Sch 149PFG Rates'!C31</f>
        <v>448 - 459</v>
      </c>
      <c r="D30" s="57"/>
      <c r="E30" s="31"/>
      <c r="F30" s="31"/>
      <c r="G30" s="59">
        <f>'Rate Spread &amp; Design'!D27</f>
        <v>1972429157.4558516</v>
      </c>
      <c r="H30" s="61">
        <v>0</v>
      </c>
      <c r="I30" s="61"/>
      <c r="J30" s="60">
        <f>ROUND('Rate Spread &amp; Design'!J27,6)</f>
        <v>5.0000000000000004E-6</v>
      </c>
      <c r="K30" s="163">
        <v>12591348.984712183</v>
      </c>
      <c r="L30" s="163"/>
      <c r="M30" s="58">
        <f>K30+G30*(J30-H30)</f>
        <v>12601211.130499464</v>
      </c>
      <c r="N30" s="58">
        <f>+M30-K30</f>
        <v>9862.1457872800529</v>
      </c>
      <c r="O30" s="11">
        <f>IF(K30=0,"n/a",+N30/K30)</f>
        <v>7.8324775202833321E-4</v>
      </c>
      <c r="P30" s="38">
        <f>J30-ROUND('Rate Spread &amp; Design'!J27,6)</f>
        <v>0</v>
      </c>
      <c r="Q30" s="55"/>
    </row>
    <row r="31" spans="1:17" x14ac:dyDescent="0.2">
      <c r="A31" s="25">
        <f t="shared" si="0"/>
        <v>23</v>
      </c>
      <c r="B31" s="12"/>
      <c r="C31" s="30" t="s">
        <v>11</v>
      </c>
      <c r="D31" s="57"/>
      <c r="E31" s="30"/>
      <c r="F31" s="30"/>
      <c r="H31" s="56"/>
      <c r="I31" s="56"/>
      <c r="J31" s="14"/>
      <c r="K31" s="44" t="s">
        <v>11</v>
      </c>
      <c r="L31" s="44"/>
      <c r="M31" s="55"/>
      <c r="N31" s="55"/>
      <c r="O31" s="9"/>
    </row>
    <row r="32" spans="1:17" x14ac:dyDescent="0.2">
      <c r="A32" s="25">
        <f t="shared" si="0"/>
        <v>24</v>
      </c>
      <c r="B32" s="12" t="str">
        <f>'Sch 149PFG Rates'!B32</f>
        <v>Special Contracts</v>
      </c>
      <c r="C32" s="30" t="str">
        <f>'Sch 149PFG Rates'!C32</f>
        <v>Special Contract</v>
      </c>
      <c r="D32" s="57"/>
      <c r="E32" s="31"/>
      <c r="F32" s="31"/>
      <c r="G32" s="59">
        <f>'Rate Spread &amp; Design'!D29</f>
        <v>304684283.88728809</v>
      </c>
      <c r="H32" s="61">
        <v>0</v>
      </c>
      <c r="I32" s="61"/>
      <c r="J32" s="60">
        <f>ROUND('Rate Spread &amp; Design'!J29,6)</f>
        <v>5.0000000000000004E-6</v>
      </c>
      <c r="K32" s="163">
        <v>6245198.954628231</v>
      </c>
      <c r="L32" s="163"/>
      <c r="M32" s="58">
        <f>K32+G32*(J32-H32)</f>
        <v>6246722.3760476671</v>
      </c>
      <c r="N32" s="58">
        <f>+M32-K32</f>
        <v>1523.421419436112</v>
      </c>
      <c r="O32" s="11">
        <f>IF(K32=0,"n/a",+N32/K32)</f>
        <v>2.4393480984414843E-4</v>
      </c>
      <c r="P32" s="38">
        <f>J32-ROUND('Rate Spread &amp; Design'!J29,6)</f>
        <v>0</v>
      </c>
    </row>
    <row r="33" spans="1:16" x14ac:dyDescent="0.2">
      <c r="A33" s="25">
        <f t="shared" si="0"/>
        <v>25</v>
      </c>
      <c r="C33" s="30" t="s">
        <v>11</v>
      </c>
      <c r="D33" s="57"/>
      <c r="E33" s="30"/>
      <c r="F33" s="30"/>
      <c r="H33" s="56" t="s">
        <v>11</v>
      </c>
      <c r="I33" s="56"/>
      <c r="J33" s="14"/>
      <c r="K33" s="44" t="s">
        <v>11</v>
      </c>
      <c r="L33" s="44"/>
      <c r="M33" s="55"/>
      <c r="N33" s="55"/>
      <c r="O33" s="9"/>
    </row>
    <row r="34" spans="1:16" x14ac:dyDescent="0.2">
      <c r="A34" s="25">
        <f t="shared" si="0"/>
        <v>26</v>
      </c>
      <c r="B34" s="4" t="s">
        <v>193</v>
      </c>
      <c r="C34" s="30" t="str">
        <f>'Sch 149PFG Rates'!C33</f>
        <v>50 - 59</v>
      </c>
      <c r="D34" s="57"/>
      <c r="E34" s="31"/>
      <c r="F34" s="31"/>
      <c r="G34" s="59">
        <f>'Rate Spread &amp; Design'!D31</f>
        <v>67443601.461170837</v>
      </c>
      <c r="H34" s="61">
        <v>0</v>
      </c>
      <c r="I34" s="61"/>
      <c r="J34" s="60">
        <f>ROUND('Rate Spread &amp; Design'!J31,6)</f>
        <v>5.0000000000000004E-6</v>
      </c>
      <c r="K34" s="163">
        <v>23248217.114451002</v>
      </c>
      <c r="L34" s="163"/>
      <c r="M34" s="58">
        <f>K34+G34*(J34-H34)</f>
        <v>23248554.33245831</v>
      </c>
      <c r="N34" s="58">
        <f>+M34-K34</f>
        <v>337.21800730749965</v>
      </c>
      <c r="O34" s="11">
        <f>IF(K34=0,"n/a",+N34/K34)</f>
        <v>1.4505112613469454E-5</v>
      </c>
      <c r="P34" s="38">
        <f>J34-ROUND('Rate Spread &amp; Design'!J31,6)</f>
        <v>0</v>
      </c>
    </row>
    <row r="35" spans="1:16" x14ac:dyDescent="0.2">
      <c r="A35" s="25">
        <f t="shared" si="0"/>
        <v>27</v>
      </c>
      <c r="B35" s="15"/>
      <c r="C35" s="30"/>
      <c r="D35" s="57"/>
      <c r="E35" s="31"/>
      <c r="F35" s="31"/>
      <c r="G35" s="101"/>
      <c r="H35" s="164"/>
      <c r="I35" s="164"/>
      <c r="J35" s="136"/>
      <c r="K35" s="165"/>
      <c r="L35" s="165"/>
      <c r="M35" s="102"/>
      <c r="N35" s="102"/>
      <c r="O35" s="132"/>
    </row>
    <row r="36" spans="1:16" x14ac:dyDescent="0.2">
      <c r="A36" s="25">
        <f t="shared" si="0"/>
        <v>28</v>
      </c>
      <c r="B36" s="12" t="str">
        <f>'Sch 149PFG Rates'!B37</f>
        <v>Firm Resale</v>
      </c>
      <c r="C36" s="30">
        <f>'Sch 149PFG Rates'!C37</f>
        <v>5</v>
      </c>
      <c r="D36" s="57"/>
      <c r="E36" s="31"/>
      <c r="F36" s="31"/>
      <c r="G36" s="59">
        <f>'Rate Spread &amp; Design'!D33</f>
        <v>6729042.7678309083</v>
      </c>
      <c r="H36" s="61">
        <v>0</v>
      </c>
      <c r="I36" s="61"/>
      <c r="J36" s="60">
        <f>ROUND('Rate Spread &amp; Design'!J33,6)</f>
        <v>5.0000000000000004E-6</v>
      </c>
      <c r="K36" s="163">
        <v>704916.62446302478</v>
      </c>
      <c r="L36" s="163"/>
      <c r="M36" s="58">
        <f>K36+G36*(J36-H36)</f>
        <v>704950.26967686391</v>
      </c>
      <c r="N36" s="58">
        <f>+M36-K36</f>
        <v>33.645213839132339</v>
      </c>
      <c r="O36" s="11">
        <f>IF(K36=0,"n/a",+N36/K36)</f>
        <v>4.7729352197874208E-5</v>
      </c>
      <c r="P36" s="38">
        <f>J36-ROUND('Rate Spread &amp; Design'!J33,6)</f>
        <v>0</v>
      </c>
    </row>
    <row r="37" spans="1:16" x14ac:dyDescent="0.2">
      <c r="A37" s="25">
        <f t="shared" si="0"/>
        <v>29</v>
      </c>
      <c r="C37" s="30" t="s">
        <v>11</v>
      </c>
      <c r="D37" s="57"/>
      <c r="E37" s="30"/>
      <c r="F37" s="30"/>
      <c r="H37" s="56" t="s">
        <v>11</v>
      </c>
      <c r="I37" s="56"/>
      <c r="J37" s="14"/>
      <c r="K37" s="44" t="s">
        <v>11</v>
      </c>
      <c r="L37" s="44"/>
      <c r="M37" s="55"/>
      <c r="N37" s="55"/>
      <c r="O37" s="9"/>
    </row>
    <row r="38" spans="1:16" ht="12" thickBot="1" x14ac:dyDescent="0.25">
      <c r="A38" s="25">
        <f t="shared" si="0"/>
        <v>30</v>
      </c>
      <c r="B38" s="54" t="s">
        <v>8</v>
      </c>
      <c r="C38" s="52" t="s">
        <v>11</v>
      </c>
      <c r="D38" s="53"/>
      <c r="E38" s="52"/>
      <c r="F38" s="52"/>
      <c r="G38" s="51">
        <f>SUM(G10,G17,G23,G28,G30,G34,G32,G36)</f>
        <v>23438905342.960255</v>
      </c>
      <c r="H38" s="50"/>
      <c r="I38" s="50"/>
      <c r="J38" s="49"/>
      <c r="K38" s="48">
        <f>SUM(K10,K17,K23,K28,K30,K34,K32,K36)</f>
        <v>2839424051.0069542</v>
      </c>
      <c r="L38" s="48"/>
      <c r="M38" s="48">
        <f>SUM(M10,M17,M23,M28,M30,M34,M32,M36)</f>
        <v>2839631437.5293412</v>
      </c>
      <c r="N38" s="48">
        <f>SUM(N10,N17,N23,N28,N30,N34,N32,N36)</f>
        <v>207386.5223867782</v>
      </c>
      <c r="O38" s="47">
        <f>IF(K38=0,"n/a",+N38/K38)</f>
        <v>7.3038235452443974E-5</v>
      </c>
    </row>
    <row r="39" spans="1:16" ht="12" thickTop="1" x14ac:dyDescent="0.2">
      <c r="A39" s="25">
        <f t="shared" si="0"/>
        <v>31</v>
      </c>
      <c r="C39" s="46" t="s">
        <v>11</v>
      </c>
      <c r="D39" s="46"/>
      <c r="E39" s="44"/>
      <c r="F39" s="167" t="s">
        <v>132</v>
      </c>
      <c r="G39" s="29">
        <v>0</v>
      </c>
      <c r="H39" s="44" t="s">
        <v>11</v>
      </c>
      <c r="I39" s="45"/>
      <c r="K39" s="44">
        <v>0</v>
      </c>
      <c r="L39" s="44"/>
      <c r="N39" s="29"/>
    </row>
    <row r="40" spans="1:16" x14ac:dyDescent="0.2">
      <c r="A40" s="25">
        <f t="shared" si="0"/>
        <v>32</v>
      </c>
      <c r="C40" s="46" t="s">
        <v>11</v>
      </c>
      <c r="D40" s="46"/>
      <c r="E40" s="44"/>
      <c r="F40" s="44"/>
      <c r="H40" s="44" t="s">
        <v>11</v>
      </c>
      <c r="I40" s="45"/>
      <c r="K40" s="44" t="s">
        <v>11</v>
      </c>
      <c r="L40" s="44"/>
    </row>
    <row r="41" spans="1:16" ht="13.5" x14ac:dyDescent="0.2">
      <c r="A41" s="25">
        <f t="shared" si="0"/>
        <v>33</v>
      </c>
      <c r="B41" s="168" t="s">
        <v>111</v>
      </c>
      <c r="C41" s="43"/>
      <c r="D41" s="41"/>
      <c r="E41" s="42"/>
      <c r="F41" s="42"/>
      <c r="G41" s="42"/>
      <c r="H41" s="42"/>
      <c r="I41" s="41"/>
      <c r="J41" s="41"/>
      <c r="K41" s="42"/>
      <c r="L41" s="42"/>
      <c r="M41" s="42"/>
      <c r="N41" s="41"/>
      <c r="O41" s="41"/>
    </row>
    <row r="42" spans="1:16" s="15" customFormat="1" ht="13.5" x14ac:dyDescent="0.35">
      <c r="A42" s="144">
        <f t="shared" si="0"/>
        <v>34</v>
      </c>
      <c r="B42" s="40"/>
      <c r="C42" s="40" t="s">
        <v>110</v>
      </c>
      <c r="D42" s="40"/>
      <c r="E42" s="40"/>
      <c r="F42" s="40"/>
      <c r="G42" s="40"/>
      <c r="H42" s="104"/>
      <c r="I42" s="40" t="s">
        <v>194</v>
      </c>
      <c r="J42" s="105"/>
      <c r="K42" s="105"/>
      <c r="L42" s="105"/>
      <c r="M42" s="105"/>
      <c r="N42" s="106"/>
      <c r="O42" s="106"/>
    </row>
    <row r="43" spans="1:16" s="15" customFormat="1" ht="40.5" x14ac:dyDescent="0.35">
      <c r="A43" s="144">
        <f t="shared" si="0"/>
        <v>35</v>
      </c>
      <c r="C43" s="107" t="s">
        <v>54</v>
      </c>
      <c r="D43" s="107" t="s">
        <v>55</v>
      </c>
      <c r="E43" s="107" t="s">
        <v>56</v>
      </c>
      <c r="F43" s="107" t="s">
        <v>109</v>
      </c>
      <c r="G43" s="107" t="s">
        <v>110</v>
      </c>
      <c r="H43" s="107"/>
      <c r="I43" s="107" t="s">
        <v>54</v>
      </c>
      <c r="J43" s="107" t="s">
        <v>55</v>
      </c>
      <c r="K43" s="107" t="s">
        <v>56</v>
      </c>
      <c r="L43" s="107" t="s">
        <v>109</v>
      </c>
      <c r="M43" s="108" t="s">
        <v>194</v>
      </c>
      <c r="N43" s="108" t="s">
        <v>195</v>
      </c>
      <c r="O43" s="108" t="s">
        <v>196</v>
      </c>
    </row>
    <row r="44" spans="1:16" x14ac:dyDescent="0.2">
      <c r="A44" s="25">
        <f t="shared" si="0"/>
        <v>36</v>
      </c>
      <c r="B44" s="39" t="s">
        <v>108</v>
      </c>
      <c r="C44" s="169">
        <v>7.49</v>
      </c>
      <c r="D44" s="169">
        <v>53.66</v>
      </c>
      <c r="E44" s="169">
        <v>21.77</v>
      </c>
      <c r="F44" s="169">
        <v>26.21</v>
      </c>
      <c r="G44" s="38">
        <f>SUM(C44:F44)</f>
        <v>109.13</v>
      </c>
      <c r="H44" s="38"/>
      <c r="I44" s="38">
        <f>C44</f>
        <v>7.49</v>
      </c>
      <c r="J44" s="38">
        <f>D44</f>
        <v>53.66</v>
      </c>
      <c r="K44" s="38">
        <f>E44</f>
        <v>21.77</v>
      </c>
      <c r="L44" s="38">
        <f>ROUND(F44+($J$10-$H$10)*800,2)</f>
        <v>26.22</v>
      </c>
      <c r="M44" s="38">
        <f>SUM(I44:L44)</f>
        <v>109.14</v>
      </c>
      <c r="N44" s="37">
        <f>M44-G44</f>
        <v>1.0000000000005116E-2</v>
      </c>
      <c r="O44" s="36">
        <f>N44/G44</f>
        <v>9.163383121052979E-5</v>
      </c>
    </row>
    <row r="45" spans="1:16" x14ac:dyDescent="0.2">
      <c r="A45" s="25">
        <f t="shared" si="0"/>
        <v>37</v>
      </c>
      <c r="E45" s="35"/>
      <c r="F45" s="35"/>
      <c r="G45" s="35"/>
      <c r="H45" s="35"/>
      <c r="I45" s="35"/>
      <c r="J45" s="35"/>
      <c r="M45" s="35"/>
      <c r="N45" s="35"/>
      <c r="O45" s="35"/>
    </row>
    <row r="46" spans="1:16" x14ac:dyDescent="0.2">
      <c r="A46" s="25">
        <f t="shared" si="0"/>
        <v>38</v>
      </c>
      <c r="B46" s="2" t="s">
        <v>197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6" x14ac:dyDescent="0.2">
      <c r="A47" s="25">
        <f t="shared" si="0"/>
        <v>39</v>
      </c>
      <c r="E47" s="35"/>
      <c r="F47" s="35"/>
      <c r="G47" s="143"/>
      <c r="H47" s="35"/>
      <c r="I47" s="35"/>
      <c r="J47" s="35"/>
      <c r="M47" s="35"/>
      <c r="N47" s="35"/>
      <c r="O47" s="35"/>
      <c r="P47" s="13"/>
    </row>
    <row r="48" spans="1:16" x14ac:dyDescent="0.2">
      <c r="A48" s="25"/>
      <c r="D48" s="4"/>
      <c r="E48" s="4"/>
      <c r="F48" s="4"/>
      <c r="G48" s="4"/>
      <c r="H48" s="4"/>
      <c r="K48" s="4"/>
      <c r="L48" s="4"/>
      <c r="M48" s="4"/>
    </row>
    <row r="49" spans="1:13" x14ac:dyDescent="0.2">
      <c r="A49" s="25"/>
      <c r="D49" s="4"/>
      <c r="E49" s="4"/>
      <c r="F49" s="4"/>
      <c r="G49" s="4"/>
      <c r="H49" s="4"/>
      <c r="K49" s="4"/>
      <c r="L49" s="4"/>
      <c r="M49" s="4"/>
    </row>
    <row r="50" spans="1:13" x14ac:dyDescent="0.2">
      <c r="A50" s="25"/>
      <c r="D50" s="4"/>
      <c r="E50" s="4"/>
      <c r="F50" s="4"/>
      <c r="G50" s="4"/>
      <c r="H50" s="4"/>
      <c r="K50" s="4"/>
      <c r="L50" s="4"/>
      <c r="M50" s="4"/>
    </row>
    <row r="51" spans="1:13" x14ac:dyDescent="0.2">
      <c r="A51" s="25"/>
      <c r="D51" s="4"/>
      <c r="E51" s="4"/>
      <c r="F51" s="4"/>
      <c r="G51" s="4"/>
      <c r="H51" s="4"/>
      <c r="K51" s="4"/>
      <c r="L51" s="4"/>
      <c r="M51" s="4"/>
    </row>
    <row r="52" spans="1:13" x14ac:dyDescent="0.2">
      <c r="A52" s="25"/>
      <c r="D52" s="4"/>
      <c r="E52" s="4"/>
      <c r="F52" s="4"/>
      <c r="G52" s="4"/>
      <c r="H52" s="4"/>
      <c r="K52" s="4"/>
      <c r="L52" s="4"/>
      <c r="M52" s="4"/>
    </row>
    <row r="53" spans="1:13" x14ac:dyDescent="0.2">
      <c r="A53" s="25"/>
      <c r="D53" s="4"/>
      <c r="E53" s="4"/>
      <c r="F53" s="4"/>
      <c r="G53" s="4"/>
      <c r="H53" s="4"/>
      <c r="K53" s="4"/>
      <c r="L53" s="4"/>
      <c r="M53" s="4"/>
    </row>
    <row r="54" spans="1:13" x14ac:dyDescent="0.2">
      <c r="A54" s="25"/>
      <c r="D54" s="4"/>
      <c r="E54" s="4"/>
      <c r="F54" s="4"/>
      <c r="G54" s="4"/>
      <c r="H54" s="4"/>
      <c r="K54" s="4"/>
      <c r="L54" s="4"/>
      <c r="M54" s="4"/>
    </row>
    <row r="55" spans="1:13" x14ac:dyDescent="0.2">
      <c r="A55" s="25"/>
      <c r="D55" s="4"/>
      <c r="E55" s="4"/>
      <c r="F55" s="4"/>
      <c r="G55" s="4"/>
      <c r="H55" s="4"/>
      <c r="K55" s="4"/>
      <c r="L55" s="4"/>
      <c r="M55" s="4"/>
    </row>
    <row r="56" spans="1:13" x14ac:dyDescent="0.2">
      <c r="A56" s="25"/>
      <c r="D56" s="4"/>
      <c r="E56" s="4"/>
      <c r="F56" s="4"/>
      <c r="G56" s="4"/>
      <c r="H56" s="4"/>
      <c r="K56" s="4"/>
      <c r="L56" s="4"/>
      <c r="M56" s="4"/>
    </row>
    <row r="57" spans="1:13" x14ac:dyDescent="0.2">
      <c r="A57" s="25"/>
      <c r="D57" s="4"/>
      <c r="E57" s="4"/>
      <c r="F57" s="4"/>
      <c r="G57" s="4"/>
      <c r="H57" s="4"/>
      <c r="K57" s="4"/>
      <c r="L57" s="4"/>
      <c r="M57" s="4"/>
    </row>
    <row r="58" spans="1:13" x14ac:dyDescent="0.2">
      <c r="A58" s="25"/>
      <c r="D58" s="4"/>
      <c r="E58" s="4"/>
      <c r="F58" s="4"/>
      <c r="G58" s="4"/>
      <c r="H58" s="4"/>
      <c r="K58" s="4"/>
      <c r="L58" s="4"/>
      <c r="M58" s="4"/>
    </row>
    <row r="59" spans="1:13" x14ac:dyDescent="0.2">
      <c r="A59" s="25"/>
      <c r="D59" s="4"/>
      <c r="E59" s="4"/>
      <c r="F59" s="4"/>
      <c r="G59" s="4"/>
      <c r="H59" s="4"/>
      <c r="K59" s="4"/>
      <c r="L59" s="4"/>
      <c r="M59" s="4"/>
    </row>
    <row r="60" spans="1:13" x14ac:dyDescent="0.2">
      <c r="A60" s="25"/>
      <c r="D60" s="4"/>
      <c r="E60" s="4"/>
      <c r="F60" s="4"/>
      <c r="G60" s="4"/>
      <c r="H60" s="4"/>
      <c r="K60" s="4"/>
      <c r="L60" s="4"/>
      <c r="M60" s="4"/>
    </row>
    <row r="61" spans="1:13" x14ac:dyDescent="0.2">
      <c r="A61" s="25"/>
      <c r="D61" s="4"/>
      <c r="E61" s="4"/>
      <c r="F61" s="4"/>
      <c r="G61" s="4"/>
      <c r="H61" s="4"/>
      <c r="K61" s="4"/>
      <c r="L61" s="4"/>
      <c r="M61" s="4"/>
    </row>
    <row r="62" spans="1:13" x14ac:dyDescent="0.2">
      <c r="A62" s="25"/>
      <c r="D62" s="4"/>
      <c r="E62" s="4"/>
      <c r="F62" s="4"/>
      <c r="G62" s="4"/>
      <c r="H62" s="4"/>
      <c r="K62" s="4"/>
      <c r="L62" s="4"/>
      <c r="M62" s="4"/>
    </row>
    <row r="63" spans="1:13" x14ac:dyDescent="0.2">
      <c r="A63" s="25"/>
      <c r="D63" s="4"/>
      <c r="E63" s="4"/>
      <c r="F63" s="4"/>
      <c r="G63" s="4"/>
      <c r="H63" s="4"/>
      <c r="K63" s="4"/>
      <c r="L63" s="4"/>
      <c r="M63" s="4"/>
    </row>
    <row r="64" spans="1:13" x14ac:dyDescent="0.2">
      <c r="A64" s="25"/>
      <c r="D64" s="4"/>
      <c r="E64" s="4"/>
      <c r="F64" s="4"/>
      <c r="G64" s="4"/>
      <c r="H64" s="4"/>
      <c r="K64" s="4"/>
      <c r="L64" s="4"/>
      <c r="M64" s="4"/>
    </row>
    <row r="65" spans="1:13" x14ac:dyDescent="0.2">
      <c r="A65" s="25"/>
      <c r="D65" s="4"/>
      <c r="E65" s="4"/>
      <c r="F65" s="4"/>
      <c r="G65" s="4"/>
      <c r="H65" s="4"/>
      <c r="K65" s="4"/>
      <c r="L65" s="4"/>
      <c r="M65" s="4"/>
    </row>
    <row r="66" spans="1:13" x14ac:dyDescent="0.2">
      <c r="A66" s="25"/>
      <c r="D66" s="4"/>
      <c r="E66" s="4"/>
      <c r="F66" s="4"/>
      <c r="G66" s="4"/>
      <c r="H66" s="4"/>
      <c r="K66" s="4"/>
      <c r="L66" s="4"/>
      <c r="M66" s="4"/>
    </row>
    <row r="67" spans="1:13" x14ac:dyDescent="0.2">
      <c r="A67" s="25"/>
      <c r="D67" s="4"/>
      <c r="E67" s="4"/>
      <c r="F67" s="4"/>
      <c r="G67" s="4"/>
      <c r="H67" s="4"/>
      <c r="K67" s="4"/>
      <c r="L67" s="4"/>
      <c r="M67" s="4"/>
    </row>
    <row r="68" spans="1:13" x14ac:dyDescent="0.2">
      <c r="A68" s="25"/>
      <c r="D68" s="4"/>
      <c r="E68" s="4"/>
      <c r="F68" s="4"/>
      <c r="G68" s="4"/>
      <c r="H68" s="4"/>
      <c r="K68" s="4"/>
      <c r="L68" s="4"/>
      <c r="M68" s="4"/>
    </row>
    <row r="69" spans="1:13" x14ac:dyDescent="0.2">
      <c r="A69" s="25"/>
      <c r="D69" s="4"/>
      <c r="E69" s="4"/>
      <c r="F69" s="4"/>
      <c r="G69" s="4"/>
      <c r="H69" s="4"/>
      <c r="K69" s="4"/>
      <c r="L69" s="4"/>
      <c r="M69" s="4"/>
    </row>
    <row r="70" spans="1:13" x14ac:dyDescent="0.2">
      <c r="A70" s="25"/>
      <c r="D70" s="4"/>
      <c r="E70" s="4"/>
      <c r="F70" s="4"/>
      <c r="G70" s="4"/>
      <c r="H70" s="4"/>
      <c r="K70" s="4"/>
      <c r="L70" s="4"/>
      <c r="M70" s="4"/>
    </row>
    <row r="71" spans="1:13" x14ac:dyDescent="0.2">
      <c r="A71" s="25"/>
      <c r="D71" s="4"/>
      <c r="E71" s="4"/>
      <c r="F71" s="4"/>
      <c r="G71" s="4"/>
      <c r="H71" s="4"/>
      <c r="K71" s="4"/>
      <c r="L71" s="4"/>
      <c r="M71" s="4"/>
    </row>
    <row r="72" spans="1:13" x14ac:dyDescent="0.2">
      <c r="A72" s="25"/>
      <c r="D72" s="4"/>
      <c r="E72" s="4"/>
      <c r="F72" s="4"/>
      <c r="G72" s="4"/>
      <c r="H72" s="4"/>
      <c r="K72" s="4"/>
      <c r="L72" s="4"/>
      <c r="M72" s="4"/>
    </row>
    <row r="73" spans="1:13" x14ac:dyDescent="0.2">
      <c r="A73" s="25"/>
      <c r="D73" s="4"/>
      <c r="E73" s="4"/>
      <c r="F73" s="4"/>
      <c r="G73" s="4"/>
      <c r="H73" s="4"/>
      <c r="K73" s="4"/>
      <c r="L73" s="4"/>
      <c r="M73" s="4"/>
    </row>
    <row r="74" spans="1:13" x14ac:dyDescent="0.2">
      <c r="A74" s="25"/>
      <c r="D74" s="4"/>
      <c r="E74" s="4"/>
      <c r="F74" s="4"/>
      <c r="G74" s="4"/>
      <c r="H74" s="4"/>
      <c r="K74" s="4"/>
      <c r="L74" s="4"/>
      <c r="M74" s="4"/>
    </row>
    <row r="75" spans="1:13" x14ac:dyDescent="0.2">
      <c r="A75" s="25"/>
      <c r="D75" s="4"/>
      <c r="E75" s="4"/>
      <c r="F75" s="4"/>
      <c r="G75" s="4"/>
      <c r="H75" s="4"/>
      <c r="K75" s="4"/>
      <c r="L75" s="4"/>
      <c r="M75" s="4"/>
    </row>
    <row r="76" spans="1:13" x14ac:dyDescent="0.2">
      <c r="A76" s="25"/>
      <c r="D76" s="4"/>
      <c r="E76" s="4"/>
      <c r="F76" s="4"/>
      <c r="G76" s="4"/>
      <c r="H76" s="4"/>
      <c r="K76" s="4"/>
      <c r="L76" s="4"/>
      <c r="M76" s="4"/>
    </row>
    <row r="77" spans="1:13" x14ac:dyDescent="0.2">
      <c r="A77" s="25"/>
      <c r="D77" s="4"/>
      <c r="E77" s="4"/>
      <c r="F77" s="4"/>
      <c r="G77" s="4"/>
      <c r="H77" s="4"/>
      <c r="K77" s="4"/>
      <c r="L77" s="4"/>
      <c r="M77" s="4"/>
    </row>
    <row r="78" spans="1:13" x14ac:dyDescent="0.2">
      <c r="A78" s="25"/>
      <c r="D78" s="4"/>
      <c r="E78" s="4"/>
      <c r="F78" s="4"/>
      <c r="G78" s="4"/>
      <c r="H78" s="4"/>
      <c r="K78" s="4"/>
      <c r="L78" s="4"/>
      <c r="M78" s="4"/>
    </row>
    <row r="79" spans="1:13" x14ac:dyDescent="0.2">
      <c r="A79" s="25"/>
      <c r="D79" s="4"/>
      <c r="E79" s="4"/>
      <c r="F79" s="4"/>
      <c r="G79" s="4"/>
      <c r="H79" s="4"/>
      <c r="K79" s="4"/>
      <c r="L79" s="4"/>
      <c r="M79" s="4"/>
    </row>
    <row r="80" spans="1:13" x14ac:dyDescent="0.2">
      <c r="A80" s="25"/>
      <c r="D80" s="4"/>
      <c r="E80" s="4"/>
      <c r="F80" s="4"/>
      <c r="G80" s="4"/>
      <c r="H80" s="4"/>
      <c r="K80" s="4"/>
      <c r="L80" s="4"/>
      <c r="M80" s="4"/>
    </row>
    <row r="81" spans="1:13" x14ac:dyDescent="0.2">
      <c r="A81" s="25"/>
      <c r="D81" s="4"/>
      <c r="E81" s="4"/>
      <c r="F81" s="4"/>
      <c r="G81" s="4"/>
      <c r="H81" s="4"/>
      <c r="K81" s="4"/>
      <c r="L81" s="4"/>
      <c r="M81" s="4"/>
    </row>
    <row r="82" spans="1:13" x14ac:dyDescent="0.2">
      <c r="A82" s="25"/>
      <c r="D82" s="4"/>
      <c r="E82" s="4"/>
      <c r="F82" s="4"/>
      <c r="G82" s="4"/>
      <c r="H82" s="4"/>
      <c r="K82" s="4"/>
      <c r="L82" s="4"/>
      <c r="M82" s="4"/>
    </row>
    <row r="83" spans="1:13" x14ac:dyDescent="0.2">
      <c r="A83" s="25"/>
      <c r="D83" s="4"/>
      <c r="E83" s="4"/>
      <c r="F83" s="4"/>
      <c r="G83" s="4"/>
      <c r="H83" s="4"/>
      <c r="K83" s="4"/>
      <c r="L83" s="4"/>
      <c r="M83" s="4"/>
    </row>
    <row r="84" spans="1:13" x14ac:dyDescent="0.2">
      <c r="A84" s="25"/>
      <c r="D84" s="4"/>
      <c r="E84" s="4"/>
      <c r="F84" s="4"/>
      <c r="G84" s="4"/>
      <c r="H84" s="4"/>
      <c r="K84" s="4"/>
      <c r="L84" s="4"/>
      <c r="M84" s="4"/>
    </row>
    <row r="85" spans="1:13" x14ac:dyDescent="0.2">
      <c r="A85" s="25"/>
      <c r="D85" s="4"/>
      <c r="E85" s="4"/>
      <c r="F85" s="4"/>
      <c r="G85" s="4"/>
      <c r="H85" s="4"/>
      <c r="K85" s="4"/>
      <c r="L85" s="4"/>
      <c r="M85" s="4"/>
    </row>
    <row r="86" spans="1:13" x14ac:dyDescent="0.2">
      <c r="A86" s="25"/>
      <c r="D86" s="4"/>
      <c r="E86" s="4"/>
      <c r="F86" s="4"/>
      <c r="G86" s="4"/>
      <c r="H86" s="4"/>
      <c r="K86" s="4"/>
      <c r="L86" s="4"/>
      <c r="M86" s="4"/>
    </row>
    <row r="87" spans="1:13" x14ac:dyDescent="0.2">
      <c r="A87" s="25"/>
      <c r="D87" s="4"/>
      <c r="E87" s="4"/>
      <c r="F87" s="4"/>
      <c r="G87" s="4"/>
      <c r="H87" s="4"/>
      <c r="K87" s="4"/>
      <c r="L87" s="4"/>
      <c r="M87" s="4"/>
    </row>
    <row r="88" spans="1:13" x14ac:dyDescent="0.2">
      <c r="A88" s="25"/>
      <c r="D88" s="4"/>
      <c r="E88" s="4"/>
      <c r="F88" s="4"/>
      <c r="G88" s="4"/>
      <c r="H88" s="4"/>
      <c r="K88" s="4"/>
      <c r="L88" s="4"/>
      <c r="M88" s="4"/>
    </row>
    <row r="89" spans="1:13" x14ac:dyDescent="0.2">
      <c r="A89" s="25"/>
      <c r="D89" s="4"/>
      <c r="E89" s="4"/>
      <c r="F89" s="4"/>
      <c r="G89" s="4"/>
      <c r="H89" s="4"/>
      <c r="K89" s="4"/>
      <c r="L89" s="4"/>
      <c r="M89" s="4"/>
    </row>
    <row r="90" spans="1:13" x14ac:dyDescent="0.2">
      <c r="A90" s="25"/>
      <c r="D90" s="4"/>
      <c r="E90" s="4"/>
      <c r="F90" s="4"/>
      <c r="G90" s="4"/>
      <c r="H90" s="4"/>
      <c r="K90" s="4"/>
      <c r="L90" s="4"/>
      <c r="M90" s="4"/>
    </row>
    <row r="91" spans="1:13" x14ac:dyDescent="0.2">
      <c r="A91" s="25"/>
      <c r="D91" s="4"/>
      <c r="E91" s="4"/>
      <c r="F91" s="4"/>
      <c r="G91" s="4"/>
      <c r="H91" s="4"/>
      <c r="K91" s="4"/>
      <c r="L91" s="4"/>
      <c r="M91" s="4"/>
    </row>
    <row r="92" spans="1:13" x14ac:dyDescent="0.2">
      <c r="A92" s="25"/>
      <c r="D92" s="4"/>
      <c r="E92" s="4"/>
      <c r="F92" s="4"/>
      <c r="G92" s="4"/>
      <c r="H92" s="4"/>
      <c r="K92" s="4"/>
      <c r="L92" s="4"/>
      <c r="M92" s="4"/>
    </row>
    <row r="93" spans="1:13" x14ac:dyDescent="0.2">
      <c r="A93" s="25"/>
      <c r="D93" s="4"/>
      <c r="E93" s="4"/>
      <c r="F93" s="4"/>
      <c r="G93" s="4"/>
      <c r="H93" s="4"/>
      <c r="K93" s="4"/>
      <c r="L93" s="4"/>
      <c r="M93" s="4"/>
    </row>
    <row r="94" spans="1:13" x14ac:dyDescent="0.2">
      <c r="A94" s="25"/>
      <c r="D94" s="4"/>
      <c r="E94" s="4"/>
      <c r="F94" s="4"/>
      <c r="G94" s="4"/>
      <c r="H94" s="4"/>
      <c r="K94" s="4"/>
      <c r="L94" s="4"/>
      <c r="M94" s="4"/>
    </row>
    <row r="95" spans="1:13" x14ac:dyDescent="0.2">
      <c r="A95" s="25"/>
      <c r="D95" s="4"/>
      <c r="E95" s="4"/>
      <c r="F95" s="4"/>
      <c r="G95" s="4"/>
      <c r="H95" s="4"/>
      <c r="K95" s="4"/>
      <c r="L95" s="4"/>
      <c r="M95" s="4"/>
    </row>
    <row r="96" spans="1:13" x14ac:dyDescent="0.2">
      <c r="A96" s="25"/>
      <c r="D96" s="4"/>
      <c r="E96" s="4"/>
      <c r="F96" s="4"/>
      <c r="G96" s="4"/>
      <c r="H96" s="4"/>
      <c r="K96" s="4"/>
      <c r="L96" s="4"/>
      <c r="M96" s="4"/>
    </row>
    <row r="97" spans="1:13" x14ac:dyDescent="0.2">
      <c r="A97" s="25"/>
      <c r="D97" s="4"/>
      <c r="E97" s="4"/>
      <c r="F97" s="4"/>
      <c r="G97" s="4"/>
      <c r="H97" s="4"/>
      <c r="K97" s="4"/>
      <c r="L97" s="4"/>
      <c r="M97" s="4"/>
    </row>
    <row r="98" spans="1:13" x14ac:dyDescent="0.2">
      <c r="A98" s="25"/>
      <c r="D98" s="4"/>
      <c r="E98" s="4"/>
      <c r="F98" s="4"/>
      <c r="G98" s="4"/>
      <c r="H98" s="4"/>
      <c r="K98" s="4"/>
      <c r="L98" s="4"/>
      <c r="M98" s="4"/>
    </row>
    <row r="99" spans="1:13" x14ac:dyDescent="0.2">
      <c r="A99" s="25"/>
      <c r="D99" s="4"/>
      <c r="E99" s="4"/>
      <c r="F99" s="4"/>
      <c r="G99" s="4"/>
      <c r="H99" s="4"/>
      <c r="K99" s="4"/>
      <c r="L99" s="4"/>
      <c r="M99" s="4"/>
    </row>
    <row r="100" spans="1:13" x14ac:dyDescent="0.2">
      <c r="A100" s="25"/>
      <c r="D100" s="4"/>
      <c r="E100" s="4"/>
      <c r="F100" s="4"/>
      <c r="G100" s="4"/>
      <c r="H100" s="4"/>
      <c r="K100" s="4"/>
      <c r="L100" s="4"/>
      <c r="M100" s="4"/>
    </row>
    <row r="101" spans="1:13" x14ac:dyDescent="0.2">
      <c r="A101" s="25"/>
      <c r="D101" s="4"/>
      <c r="E101" s="4"/>
      <c r="F101" s="4"/>
      <c r="G101" s="4"/>
      <c r="H101" s="4"/>
      <c r="K101" s="4"/>
      <c r="L101" s="4"/>
      <c r="M101" s="4"/>
    </row>
    <row r="102" spans="1:13" x14ac:dyDescent="0.2">
      <c r="A102" s="25"/>
      <c r="D102" s="4"/>
      <c r="E102" s="4"/>
      <c r="F102" s="4"/>
      <c r="G102" s="4"/>
      <c r="H102" s="4"/>
      <c r="K102" s="4"/>
      <c r="L102" s="4"/>
      <c r="M102" s="4"/>
    </row>
    <row r="103" spans="1:13" x14ac:dyDescent="0.2">
      <c r="A103" s="25"/>
      <c r="D103" s="4"/>
      <c r="E103" s="4"/>
      <c r="F103" s="4"/>
      <c r="G103" s="4"/>
      <c r="H103" s="4"/>
      <c r="K103" s="4"/>
      <c r="L103" s="4"/>
      <c r="M103" s="4"/>
    </row>
    <row r="104" spans="1:13" x14ac:dyDescent="0.2">
      <c r="A104" s="25"/>
      <c r="D104" s="4"/>
      <c r="E104" s="4"/>
      <c r="F104" s="4"/>
      <c r="G104" s="4"/>
      <c r="H104" s="4"/>
      <c r="K104" s="4"/>
      <c r="L104" s="4"/>
      <c r="M104" s="4"/>
    </row>
    <row r="105" spans="1:13" x14ac:dyDescent="0.2">
      <c r="A105" s="25"/>
      <c r="D105" s="4"/>
      <c r="E105" s="4"/>
      <c r="F105" s="4"/>
      <c r="G105" s="4"/>
      <c r="H105" s="4"/>
      <c r="K105" s="4"/>
      <c r="L105" s="4"/>
      <c r="M105" s="4"/>
    </row>
    <row r="106" spans="1:13" x14ac:dyDescent="0.2">
      <c r="A106" s="25"/>
      <c r="D106" s="4"/>
      <c r="E106" s="4"/>
      <c r="F106" s="4"/>
      <c r="G106" s="4"/>
      <c r="H106" s="4"/>
      <c r="K106" s="4"/>
      <c r="L106" s="4"/>
      <c r="M106" s="4"/>
    </row>
    <row r="107" spans="1:13" x14ac:dyDescent="0.2">
      <c r="A107" s="25"/>
      <c r="D107" s="4"/>
      <c r="E107" s="4"/>
      <c r="F107" s="4"/>
      <c r="G107" s="4"/>
      <c r="H107" s="4"/>
      <c r="K107" s="4"/>
      <c r="L107" s="4"/>
      <c r="M107" s="4"/>
    </row>
    <row r="108" spans="1:13" x14ac:dyDescent="0.2">
      <c r="A108" s="25"/>
      <c r="D108" s="4"/>
      <c r="E108" s="4"/>
      <c r="F108" s="4"/>
      <c r="G108" s="4"/>
      <c r="H108" s="4"/>
      <c r="K108" s="4"/>
      <c r="L108" s="4"/>
      <c r="M108" s="4"/>
    </row>
    <row r="109" spans="1:13" x14ac:dyDescent="0.2">
      <c r="A109" s="25"/>
      <c r="D109" s="4"/>
      <c r="E109" s="4"/>
      <c r="F109" s="4"/>
      <c r="G109" s="4"/>
      <c r="H109" s="4"/>
      <c r="K109" s="4"/>
      <c r="L109" s="4"/>
      <c r="M109" s="4"/>
    </row>
    <row r="110" spans="1:13" x14ac:dyDescent="0.2">
      <c r="A110" s="25"/>
      <c r="D110" s="4"/>
      <c r="E110" s="4"/>
      <c r="F110" s="4"/>
      <c r="G110" s="4"/>
      <c r="H110" s="4"/>
      <c r="K110" s="4"/>
      <c r="L110" s="4"/>
      <c r="M110" s="4"/>
    </row>
    <row r="111" spans="1:13" x14ac:dyDescent="0.2">
      <c r="A111" s="25"/>
      <c r="D111" s="4"/>
      <c r="E111" s="4"/>
      <c r="F111" s="4"/>
      <c r="G111" s="4"/>
      <c r="H111" s="4"/>
      <c r="K111" s="4"/>
      <c r="L111" s="4"/>
      <c r="M111" s="4"/>
    </row>
    <row r="112" spans="1:13" x14ac:dyDescent="0.2">
      <c r="A112" s="25"/>
      <c r="D112" s="4"/>
      <c r="E112" s="4"/>
      <c r="F112" s="4"/>
      <c r="G112" s="4"/>
      <c r="H112" s="4"/>
      <c r="K112" s="4"/>
      <c r="L112" s="4"/>
      <c r="M112" s="4"/>
    </row>
    <row r="113" spans="1:13" x14ac:dyDescent="0.2">
      <c r="A113" s="25"/>
      <c r="D113" s="4"/>
      <c r="E113" s="4"/>
      <c r="F113" s="4"/>
      <c r="G113" s="4"/>
      <c r="H113" s="4"/>
      <c r="K113" s="4"/>
      <c r="L113" s="4"/>
      <c r="M113" s="4"/>
    </row>
    <row r="114" spans="1:13" x14ac:dyDescent="0.2">
      <c r="A114" s="25"/>
      <c r="D114" s="4"/>
      <c r="E114" s="4"/>
      <c r="F114" s="4"/>
      <c r="G114" s="4"/>
      <c r="H114" s="4"/>
      <c r="K114" s="4"/>
      <c r="L114" s="4"/>
      <c r="M114" s="4"/>
    </row>
    <row r="115" spans="1:13" x14ac:dyDescent="0.2">
      <c r="A115" s="25"/>
      <c r="D115" s="4"/>
      <c r="E115" s="4"/>
      <c r="F115" s="4"/>
      <c r="G115" s="4"/>
      <c r="H115" s="4"/>
      <c r="K115" s="4"/>
      <c r="L115" s="4"/>
      <c r="M115" s="4"/>
    </row>
    <row r="116" spans="1:13" x14ac:dyDescent="0.2">
      <c r="A116" s="25"/>
      <c r="D116" s="4"/>
      <c r="E116" s="4"/>
      <c r="F116" s="4"/>
      <c r="G116" s="4"/>
      <c r="H116" s="4"/>
      <c r="K116" s="4"/>
      <c r="L116" s="4"/>
      <c r="M116" s="4"/>
    </row>
    <row r="117" spans="1:13" x14ac:dyDescent="0.2">
      <c r="A117" s="25"/>
      <c r="D117" s="4"/>
      <c r="E117" s="4"/>
      <c r="F117" s="4"/>
      <c r="G117" s="4"/>
      <c r="H117" s="4"/>
      <c r="K117" s="4"/>
      <c r="L117" s="4"/>
      <c r="M117" s="4"/>
    </row>
    <row r="118" spans="1:13" x14ac:dyDescent="0.2">
      <c r="A118" s="25"/>
      <c r="D118" s="4"/>
      <c r="E118" s="4"/>
      <c r="F118" s="4"/>
      <c r="G118" s="4"/>
      <c r="H118" s="4"/>
      <c r="K118" s="4"/>
      <c r="L118" s="4"/>
      <c r="M118" s="4"/>
    </row>
    <row r="119" spans="1:13" x14ac:dyDescent="0.2">
      <c r="A119" s="25"/>
      <c r="D119" s="4"/>
      <c r="E119" s="4"/>
      <c r="F119" s="4"/>
      <c r="G119" s="4"/>
      <c r="H119" s="4"/>
      <c r="K119" s="4"/>
      <c r="L119" s="4"/>
      <c r="M119" s="4"/>
    </row>
    <row r="120" spans="1:13" x14ac:dyDescent="0.2">
      <c r="A120" s="25"/>
      <c r="D120" s="4"/>
      <c r="E120" s="4"/>
      <c r="F120" s="4"/>
      <c r="G120" s="4"/>
      <c r="H120" s="4"/>
      <c r="K120" s="4"/>
      <c r="L120" s="4"/>
      <c r="M120" s="4"/>
    </row>
    <row r="121" spans="1:13" x14ac:dyDescent="0.2">
      <c r="A121" s="25"/>
      <c r="D121" s="4"/>
      <c r="E121" s="4"/>
      <c r="F121" s="4"/>
      <c r="G121" s="4"/>
      <c r="H121" s="4"/>
      <c r="K121" s="4"/>
      <c r="L121" s="4"/>
      <c r="M121" s="4"/>
    </row>
    <row r="122" spans="1:13" x14ac:dyDescent="0.2">
      <c r="A122" s="25"/>
      <c r="D122" s="4"/>
      <c r="E122" s="4"/>
      <c r="F122" s="4"/>
      <c r="G122" s="4"/>
      <c r="H122" s="4"/>
      <c r="K122" s="4"/>
      <c r="L122" s="4"/>
      <c r="M122" s="4"/>
    </row>
    <row r="123" spans="1:13" x14ac:dyDescent="0.2">
      <c r="A123" s="25"/>
      <c r="D123" s="4"/>
      <c r="E123" s="4"/>
      <c r="F123" s="4"/>
      <c r="G123" s="4"/>
      <c r="H123" s="4"/>
      <c r="K123" s="4"/>
      <c r="L123" s="4"/>
      <c r="M123" s="4"/>
    </row>
    <row r="124" spans="1:13" x14ac:dyDescent="0.2">
      <c r="A124" s="25"/>
      <c r="D124" s="4"/>
      <c r="E124" s="4"/>
      <c r="F124" s="4"/>
      <c r="G124" s="4"/>
      <c r="H124" s="4"/>
      <c r="K124" s="4"/>
      <c r="L124" s="4"/>
      <c r="M124" s="4"/>
    </row>
    <row r="125" spans="1:13" x14ac:dyDescent="0.2">
      <c r="A125" s="25"/>
      <c r="D125" s="4"/>
      <c r="E125" s="4"/>
      <c r="F125" s="4"/>
      <c r="G125" s="4"/>
      <c r="H125" s="4"/>
      <c r="K125" s="4"/>
      <c r="L125" s="4"/>
      <c r="M125" s="4"/>
    </row>
    <row r="126" spans="1:13" x14ac:dyDescent="0.2">
      <c r="A126" s="25"/>
      <c r="D126" s="4"/>
      <c r="E126" s="4"/>
      <c r="F126" s="4"/>
      <c r="G126" s="4"/>
      <c r="H126" s="4"/>
      <c r="K126" s="4"/>
      <c r="L126" s="4"/>
      <c r="M126" s="4"/>
    </row>
    <row r="127" spans="1:13" x14ac:dyDescent="0.2">
      <c r="A127" s="25"/>
      <c r="D127" s="4"/>
      <c r="E127" s="4"/>
      <c r="F127" s="4"/>
      <c r="G127" s="4"/>
      <c r="H127" s="4"/>
      <c r="K127" s="4"/>
      <c r="L127" s="4"/>
      <c r="M127" s="4"/>
    </row>
    <row r="128" spans="1:13" x14ac:dyDescent="0.2">
      <c r="A128" s="25"/>
      <c r="D128" s="4"/>
      <c r="E128" s="4"/>
      <c r="F128" s="4"/>
      <c r="G128" s="4"/>
      <c r="H128" s="4"/>
      <c r="K128" s="4"/>
      <c r="L128" s="4"/>
      <c r="M128" s="4"/>
    </row>
    <row r="129" spans="1:13" x14ac:dyDescent="0.2">
      <c r="A129" s="25"/>
      <c r="D129" s="4"/>
      <c r="E129" s="4"/>
      <c r="F129" s="4"/>
      <c r="G129" s="4"/>
      <c r="H129" s="4"/>
      <c r="K129" s="4"/>
      <c r="L129" s="4"/>
      <c r="M129" s="4"/>
    </row>
    <row r="130" spans="1:13" x14ac:dyDescent="0.2">
      <c r="A130" s="25"/>
      <c r="D130" s="4"/>
      <c r="E130" s="4"/>
      <c r="F130" s="4"/>
      <c r="G130" s="4"/>
      <c r="H130" s="4"/>
      <c r="K130" s="4"/>
      <c r="L130" s="4"/>
      <c r="M130" s="4"/>
    </row>
    <row r="131" spans="1:13" x14ac:dyDescent="0.2">
      <c r="A131" s="25"/>
      <c r="D131" s="4"/>
      <c r="E131" s="4"/>
      <c r="F131" s="4"/>
      <c r="G131" s="4"/>
      <c r="H131" s="4"/>
      <c r="K131" s="4"/>
      <c r="L131" s="4"/>
      <c r="M131" s="4"/>
    </row>
    <row r="132" spans="1:13" x14ac:dyDescent="0.2">
      <c r="A132" s="25"/>
      <c r="D132" s="4"/>
      <c r="E132" s="4"/>
      <c r="F132" s="4"/>
      <c r="G132" s="4"/>
      <c r="H132" s="4"/>
      <c r="K132" s="4"/>
      <c r="L132" s="4"/>
      <c r="M132" s="4"/>
    </row>
    <row r="133" spans="1:13" x14ac:dyDescent="0.2">
      <c r="A133" s="25"/>
      <c r="D133" s="4"/>
      <c r="E133" s="4"/>
      <c r="F133" s="4"/>
      <c r="G133" s="4"/>
      <c r="H133" s="4"/>
      <c r="K133" s="4"/>
      <c r="L133" s="4"/>
      <c r="M133" s="4"/>
    </row>
    <row r="134" spans="1:13" x14ac:dyDescent="0.2">
      <c r="A134" s="25"/>
      <c r="D134" s="4"/>
      <c r="E134" s="4"/>
      <c r="F134" s="4"/>
      <c r="G134" s="4"/>
      <c r="H134" s="4"/>
      <c r="K134" s="4"/>
      <c r="L134" s="4"/>
      <c r="M134" s="4"/>
    </row>
    <row r="135" spans="1:13" x14ac:dyDescent="0.2">
      <c r="A135" s="25"/>
      <c r="D135" s="4"/>
      <c r="E135" s="4"/>
      <c r="F135" s="4"/>
      <c r="G135" s="4"/>
      <c r="H135" s="4"/>
      <c r="K135" s="4"/>
      <c r="L135" s="4"/>
      <c r="M135" s="4"/>
    </row>
    <row r="136" spans="1:13" x14ac:dyDescent="0.2">
      <c r="A136" s="25"/>
      <c r="D136" s="4"/>
      <c r="E136" s="4"/>
      <c r="F136" s="4"/>
      <c r="G136" s="4"/>
      <c r="H136" s="4"/>
      <c r="K136" s="4"/>
      <c r="L136" s="4"/>
      <c r="M136" s="4"/>
    </row>
    <row r="137" spans="1:13" x14ac:dyDescent="0.2">
      <c r="A137" s="25"/>
      <c r="D137" s="4"/>
      <c r="E137" s="4"/>
      <c r="F137" s="4"/>
      <c r="G137" s="4"/>
      <c r="H137" s="4"/>
      <c r="K137" s="4"/>
      <c r="L137" s="4"/>
      <c r="M137" s="4"/>
    </row>
    <row r="138" spans="1:13" x14ac:dyDescent="0.2">
      <c r="A138" s="25"/>
      <c r="D138" s="4"/>
      <c r="E138" s="4"/>
      <c r="F138" s="4"/>
      <c r="G138" s="4"/>
      <c r="H138" s="4"/>
      <c r="K138" s="4"/>
      <c r="L138" s="4"/>
      <c r="M138" s="4"/>
    </row>
    <row r="139" spans="1:13" x14ac:dyDescent="0.2">
      <c r="A139" s="25"/>
      <c r="D139" s="4"/>
      <c r="E139" s="4"/>
      <c r="F139" s="4"/>
      <c r="G139" s="4"/>
      <c r="H139" s="4"/>
      <c r="K139" s="4"/>
      <c r="L139" s="4"/>
      <c r="M139" s="4"/>
    </row>
    <row r="140" spans="1:13" x14ac:dyDescent="0.2">
      <c r="A140" s="25"/>
      <c r="D140" s="4"/>
      <c r="E140" s="4"/>
      <c r="F140" s="4"/>
      <c r="G140" s="4"/>
      <c r="H140" s="4"/>
      <c r="K140" s="4"/>
      <c r="L140" s="4"/>
      <c r="M140" s="4"/>
    </row>
    <row r="141" spans="1:13" x14ac:dyDescent="0.2">
      <c r="A141" s="25"/>
      <c r="D141" s="4"/>
      <c r="E141" s="4"/>
      <c r="F141" s="4"/>
      <c r="G141" s="4"/>
      <c r="H141" s="4"/>
      <c r="K141" s="4"/>
      <c r="L141" s="4"/>
      <c r="M141" s="4"/>
    </row>
    <row r="142" spans="1:13" x14ac:dyDescent="0.2">
      <c r="A142" s="25"/>
      <c r="D142" s="4"/>
      <c r="E142" s="4"/>
      <c r="F142" s="4"/>
      <c r="G142" s="4"/>
      <c r="H142" s="4"/>
      <c r="K142" s="4"/>
      <c r="L142" s="4"/>
      <c r="M142" s="4"/>
    </row>
    <row r="143" spans="1:13" x14ac:dyDescent="0.2">
      <c r="A143" s="25"/>
      <c r="D143" s="4"/>
      <c r="E143" s="4"/>
      <c r="F143" s="4"/>
      <c r="G143" s="4"/>
      <c r="H143" s="4"/>
      <c r="K143" s="4"/>
      <c r="L143" s="4"/>
      <c r="M143" s="4"/>
    </row>
    <row r="144" spans="1:13" x14ac:dyDescent="0.2">
      <c r="A144" s="25"/>
      <c r="D144" s="4"/>
      <c r="E144" s="4"/>
      <c r="F144" s="4"/>
      <c r="G144" s="4"/>
      <c r="H144" s="4"/>
      <c r="K144" s="4"/>
      <c r="L144" s="4"/>
      <c r="M144" s="4"/>
    </row>
    <row r="145" spans="1:13" x14ac:dyDescent="0.2">
      <c r="A145" s="25"/>
      <c r="D145" s="4"/>
      <c r="E145" s="4"/>
      <c r="F145" s="4"/>
      <c r="G145" s="4"/>
      <c r="H145" s="4"/>
      <c r="K145" s="4"/>
      <c r="L145" s="4"/>
      <c r="M145" s="4"/>
    </row>
    <row r="146" spans="1:13" x14ac:dyDescent="0.2">
      <c r="A146" s="25"/>
      <c r="D146" s="4"/>
      <c r="E146" s="4"/>
      <c r="F146" s="4"/>
      <c r="G146" s="4"/>
      <c r="H146" s="4"/>
      <c r="K146" s="4"/>
      <c r="L146" s="4"/>
      <c r="M146" s="4"/>
    </row>
    <row r="147" spans="1:13" x14ac:dyDescent="0.2">
      <c r="A147" s="25"/>
      <c r="D147" s="4"/>
      <c r="E147" s="4"/>
      <c r="F147" s="4"/>
      <c r="G147" s="4"/>
      <c r="H147" s="4"/>
      <c r="K147" s="4"/>
      <c r="L147" s="4"/>
      <c r="M147" s="4"/>
    </row>
    <row r="148" spans="1:13" x14ac:dyDescent="0.2">
      <c r="A148" s="25"/>
      <c r="D148" s="4"/>
      <c r="E148" s="4"/>
      <c r="F148" s="4"/>
      <c r="G148" s="4"/>
      <c r="H148" s="4"/>
      <c r="K148" s="4"/>
      <c r="L148" s="4"/>
      <c r="M148" s="4"/>
    </row>
    <row r="149" spans="1:13" x14ac:dyDescent="0.2">
      <c r="A149" s="25"/>
      <c r="D149" s="4"/>
      <c r="E149" s="4"/>
      <c r="F149" s="4"/>
      <c r="G149" s="4"/>
      <c r="H149" s="4"/>
      <c r="K149" s="4"/>
      <c r="L149" s="4"/>
      <c r="M149" s="4"/>
    </row>
    <row r="150" spans="1:13" x14ac:dyDescent="0.2">
      <c r="A150" s="25"/>
      <c r="D150" s="4"/>
      <c r="E150" s="4"/>
      <c r="F150" s="4"/>
      <c r="G150" s="4"/>
      <c r="H150" s="4"/>
      <c r="K150" s="4"/>
      <c r="L150" s="4"/>
      <c r="M150" s="4"/>
    </row>
    <row r="151" spans="1:13" x14ac:dyDescent="0.2">
      <c r="A151" s="25"/>
      <c r="D151" s="4"/>
      <c r="E151" s="4"/>
      <c r="F151" s="4"/>
      <c r="G151" s="4"/>
      <c r="H151" s="4"/>
      <c r="K151" s="4"/>
      <c r="L151" s="4"/>
      <c r="M151" s="4"/>
    </row>
    <row r="152" spans="1:13" x14ac:dyDescent="0.2">
      <c r="A152" s="25"/>
      <c r="D152" s="4"/>
      <c r="E152" s="4"/>
      <c r="F152" s="4"/>
      <c r="G152" s="4"/>
      <c r="H152" s="4"/>
      <c r="K152" s="4"/>
      <c r="L152" s="4"/>
      <c r="M152" s="4"/>
    </row>
    <row r="153" spans="1:13" x14ac:dyDescent="0.2">
      <c r="A153" s="25"/>
      <c r="D153" s="4"/>
      <c r="E153" s="4"/>
      <c r="F153" s="4"/>
      <c r="G153" s="4"/>
      <c r="H153" s="4"/>
      <c r="K153" s="4"/>
      <c r="L153" s="4"/>
      <c r="M153" s="4"/>
    </row>
    <row r="154" spans="1:13" x14ac:dyDescent="0.2">
      <c r="A154" s="25"/>
      <c r="D154" s="4"/>
      <c r="E154" s="4"/>
      <c r="F154" s="4"/>
      <c r="G154" s="4"/>
      <c r="H154" s="4"/>
      <c r="K154" s="4"/>
      <c r="L154" s="4"/>
      <c r="M154" s="4"/>
    </row>
    <row r="155" spans="1:13" x14ac:dyDescent="0.2">
      <c r="A155" s="25"/>
      <c r="D155" s="4"/>
      <c r="E155" s="4"/>
      <c r="F155" s="4"/>
      <c r="G155" s="4"/>
      <c r="H155" s="4"/>
      <c r="K155" s="4"/>
      <c r="L155" s="4"/>
      <c r="M155" s="4"/>
    </row>
    <row r="156" spans="1:13" x14ac:dyDescent="0.2">
      <c r="A156" s="25"/>
      <c r="D156" s="4"/>
      <c r="E156" s="4"/>
      <c r="F156" s="4"/>
      <c r="G156" s="4"/>
      <c r="H156" s="4"/>
      <c r="K156" s="4"/>
      <c r="L156" s="4"/>
      <c r="M156" s="4"/>
    </row>
    <row r="157" spans="1:13" x14ac:dyDescent="0.2">
      <c r="A157" s="25"/>
      <c r="D157" s="4"/>
      <c r="E157" s="4"/>
      <c r="F157" s="4"/>
      <c r="G157" s="4"/>
      <c r="H157" s="4"/>
      <c r="K157" s="4"/>
      <c r="L157" s="4"/>
      <c r="M157" s="4"/>
    </row>
    <row r="158" spans="1:13" x14ac:dyDescent="0.2">
      <c r="A158" s="25"/>
      <c r="D158" s="4"/>
      <c r="E158" s="4"/>
      <c r="F158" s="4"/>
      <c r="G158" s="4"/>
      <c r="H158" s="4"/>
      <c r="K158" s="4"/>
      <c r="L158" s="4"/>
      <c r="M158" s="4"/>
    </row>
    <row r="159" spans="1:13" x14ac:dyDescent="0.2">
      <c r="A159" s="25"/>
      <c r="D159" s="4"/>
      <c r="E159" s="4"/>
      <c r="F159" s="4"/>
      <c r="G159" s="4"/>
      <c r="H159" s="4"/>
      <c r="K159" s="4"/>
      <c r="L159" s="4"/>
      <c r="M159" s="4"/>
    </row>
    <row r="160" spans="1:13" x14ac:dyDescent="0.2">
      <c r="A160" s="25"/>
      <c r="D160" s="4"/>
      <c r="E160" s="4"/>
      <c r="F160" s="4"/>
      <c r="G160" s="4"/>
      <c r="H160" s="4"/>
      <c r="K160" s="4"/>
      <c r="L160" s="4"/>
      <c r="M160" s="4"/>
    </row>
    <row r="161" spans="1:13" x14ac:dyDescent="0.2">
      <c r="A161" s="25"/>
      <c r="D161" s="4"/>
      <c r="E161" s="4"/>
      <c r="F161" s="4"/>
      <c r="G161" s="4"/>
      <c r="H161" s="4"/>
      <c r="K161" s="4"/>
      <c r="L161" s="4"/>
      <c r="M161" s="4"/>
    </row>
    <row r="162" spans="1:13" x14ac:dyDescent="0.2">
      <c r="A162" s="25"/>
      <c r="D162" s="4"/>
      <c r="E162" s="4"/>
      <c r="F162" s="4"/>
      <c r="G162" s="4"/>
      <c r="H162" s="4"/>
      <c r="K162" s="4"/>
      <c r="L162" s="4"/>
      <c r="M162" s="4"/>
    </row>
    <row r="163" spans="1:13" x14ac:dyDescent="0.2">
      <c r="A163" s="25"/>
      <c r="D163" s="4"/>
      <c r="E163" s="4"/>
      <c r="F163" s="4"/>
      <c r="G163" s="4"/>
      <c r="H163" s="4"/>
      <c r="K163" s="4"/>
      <c r="L163" s="4"/>
      <c r="M163" s="4"/>
    </row>
    <row r="164" spans="1:13" x14ac:dyDescent="0.2">
      <c r="A164" s="25"/>
      <c r="D164" s="4"/>
      <c r="E164" s="4"/>
      <c r="F164" s="4"/>
      <c r="G164" s="4"/>
      <c r="H164" s="4"/>
      <c r="K164" s="4"/>
      <c r="L164" s="4"/>
      <c r="M164" s="4"/>
    </row>
    <row r="165" spans="1:13" x14ac:dyDescent="0.2">
      <c r="A165" s="25"/>
      <c r="D165" s="4"/>
      <c r="E165" s="4"/>
      <c r="F165" s="4"/>
      <c r="G165" s="4"/>
      <c r="H165" s="4"/>
      <c r="K165" s="4"/>
      <c r="L165" s="4"/>
      <c r="M165" s="4"/>
    </row>
    <row r="166" spans="1:13" x14ac:dyDescent="0.2">
      <c r="A166" s="25"/>
      <c r="D166" s="4"/>
      <c r="E166" s="4"/>
      <c r="F166" s="4"/>
      <c r="G166" s="4"/>
      <c r="H166" s="4"/>
      <c r="K166" s="4"/>
      <c r="L166" s="4"/>
      <c r="M166" s="4"/>
    </row>
    <row r="167" spans="1:13" x14ac:dyDescent="0.2">
      <c r="A167" s="25"/>
      <c r="D167" s="4"/>
      <c r="E167" s="4"/>
      <c r="F167" s="4"/>
      <c r="G167" s="4"/>
      <c r="H167" s="4"/>
      <c r="K167" s="4"/>
      <c r="L167" s="4"/>
      <c r="M167" s="4"/>
    </row>
    <row r="168" spans="1:13" x14ac:dyDescent="0.2">
      <c r="A168" s="25"/>
      <c r="D168" s="4"/>
      <c r="E168" s="4"/>
      <c r="F168" s="4"/>
      <c r="G168" s="4"/>
      <c r="H168" s="4"/>
      <c r="K168" s="4"/>
      <c r="L168" s="4"/>
      <c r="M168" s="4"/>
    </row>
    <row r="169" spans="1:13" x14ac:dyDescent="0.2">
      <c r="A169" s="25"/>
      <c r="D169" s="4"/>
      <c r="E169" s="4"/>
      <c r="F169" s="4"/>
      <c r="G169" s="4"/>
      <c r="H169" s="4"/>
      <c r="K169" s="4"/>
      <c r="L169" s="4"/>
      <c r="M169" s="4"/>
    </row>
    <row r="170" spans="1:13" x14ac:dyDescent="0.2">
      <c r="A170" s="25"/>
      <c r="D170" s="4"/>
      <c r="E170" s="4"/>
      <c r="F170" s="4"/>
      <c r="G170" s="4"/>
      <c r="H170" s="4"/>
      <c r="K170" s="4"/>
      <c r="L170" s="4"/>
      <c r="M170" s="4"/>
    </row>
    <row r="171" spans="1:13" x14ac:dyDescent="0.2">
      <c r="A171" s="25"/>
      <c r="D171" s="4"/>
      <c r="E171" s="4"/>
      <c r="F171" s="4"/>
      <c r="G171" s="4"/>
      <c r="H171" s="4"/>
      <c r="K171" s="4"/>
      <c r="L171" s="4"/>
      <c r="M171" s="4"/>
    </row>
    <row r="172" spans="1:13" x14ac:dyDescent="0.2">
      <c r="A172" s="25"/>
      <c r="D172" s="4"/>
      <c r="E172" s="4"/>
      <c r="F172" s="4"/>
      <c r="G172" s="4"/>
      <c r="H172" s="4"/>
      <c r="K172" s="4"/>
      <c r="L172" s="4"/>
      <c r="M172" s="4"/>
    </row>
    <row r="173" spans="1:13" x14ac:dyDescent="0.2">
      <c r="A173" s="25"/>
      <c r="D173" s="4"/>
      <c r="E173" s="4"/>
      <c r="F173" s="4"/>
      <c r="G173" s="4"/>
      <c r="H173" s="4"/>
      <c r="K173" s="4"/>
      <c r="L173" s="4"/>
      <c r="M173" s="4"/>
    </row>
    <row r="174" spans="1:13" x14ac:dyDescent="0.2">
      <c r="A174" s="25"/>
      <c r="D174" s="4"/>
      <c r="E174" s="4"/>
      <c r="F174" s="4"/>
      <c r="G174" s="4"/>
      <c r="H174" s="4"/>
      <c r="K174" s="4"/>
      <c r="L174" s="4"/>
      <c r="M174" s="4"/>
    </row>
    <row r="175" spans="1:13" x14ac:dyDescent="0.2">
      <c r="A175" s="25"/>
      <c r="D175" s="4"/>
      <c r="E175" s="4"/>
      <c r="F175" s="4"/>
      <c r="G175" s="4"/>
      <c r="H175" s="4"/>
      <c r="K175" s="4"/>
      <c r="L175" s="4"/>
      <c r="M175" s="4"/>
    </row>
    <row r="176" spans="1:13" x14ac:dyDescent="0.2">
      <c r="A176" s="25"/>
      <c r="D176" s="4"/>
      <c r="E176" s="4"/>
      <c r="F176" s="4"/>
      <c r="G176" s="4"/>
      <c r="H176" s="4"/>
      <c r="K176" s="4"/>
      <c r="L176" s="4"/>
      <c r="M176" s="4"/>
    </row>
    <row r="177" spans="1:13" x14ac:dyDescent="0.2">
      <c r="A177" s="25"/>
      <c r="D177" s="4"/>
      <c r="E177" s="4"/>
      <c r="F177" s="4"/>
      <c r="G177" s="4"/>
      <c r="H177" s="4"/>
      <c r="K177" s="4"/>
      <c r="L177" s="4"/>
      <c r="M177" s="4"/>
    </row>
    <row r="178" spans="1:13" x14ac:dyDescent="0.2">
      <c r="A178" s="25"/>
      <c r="D178" s="4"/>
      <c r="E178" s="4"/>
      <c r="F178" s="4"/>
      <c r="G178" s="4"/>
      <c r="H178" s="4"/>
      <c r="K178" s="4"/>
      <c r="L178" s="4"/>
      <c r="M178" s="4"/>
    </row>
    <row r="179" spans="1:13" x14ac:dyDescent="0.2">
      <c r="A179" s="25"/>
      <c r="D179" s="4"/>
      <c r="E179" s="4"/>
      <c r="F179" s="4"/>
      <c r="G179" s="4"/>
      <c r="H179" s="4"/>
      <c r="K179" s="4"/>
      <c r="L179" s="4"/>
      <c r="M179" s="4"/>
    </row>
    <row r="180" spans="1:13" x14ac:dyDescent="0.2">
      <c r="A180" s="25"/>
      <c r="D180" s="4"/>
      <c r="E180" s="4"/>
      <c r="F180" s="4"/>
      <c r="G180" s="4"/>
      <c r="H180" s="4"/>
      <c r="K180" s="4"/>
      <c r="L180" s="4"/>
      <c r="M180" s="4"/>
    </row>
    <row r="181" spans="1:13" x14ac:dyDescent="0.2">
      <c r="A181" s="25"/>
      <c r="D181" s="4"/>
      <c r="E181" s="4"/>
      <c r="F181" s="4"/>
      <c r="G181" s="4"/>
      <c r="H181" s="4"/>
      <c r="K181" s="4"/>
      <c r="L181" s="4"/>
      <c r="M181" s="4"/>
    </row>
    <row r="182" spans="1:13" x14ac:dyDescent="0.2">
      <c r="A182" s="25"/>
      <c r="D182" s="4"/>
      <c r="E182" s="4"/>
      <c r="F182" s="4"/>
      <c r="G182" s="4"/>
      <c r="H182" s="4"/>
      <c r="K182" s="4"/>
      <c r="L182" s="4"/>
      <c r="M182" s="4"/>
    </row>
    <row r="183" spans="1:13" x14ac:dyDescent="0.2">
      <c r="A183" s="25"/>
      <c r="D183" s="4"/>
      <c r="E183" s="4"/>
      <c r="F183" s="4"/>
      <c r="G183" s="4"/>
      <c r="H183" s="4"/>
      <c r="K183" s="4"/>
      <c r="L183" s="4"/>
      <c r="M183" s="4"/>
    </row>
    <row r="184" spans="1:13" x14ac:dyDescent="0.2">
      <c r="A184" s="25"/>
      <c r="D184" s="4"/>
      <c r="E184" s="4"/>
      <c r="F184" s="4"/>
      <c r="G184" s="4"/>
      <c r="H184" s="4"/>
      <c r="K184" s="4"/>
      <c r="L184" s="4"/>
      <c r="M184" s="4"/>
    </row>
    <row r="185" spans="1:13" x14ac:dyDescent="0.2">
      <c r="A185" s="25"/>
      <c r="D185" s="4"/>
      <c r="E185" s="4"/>
      <c r="F185" s="4"/>
      <c r="G185" s="4"/>
      <c r="H185" s="4"/>
      <c r="K185" s="4"/>
      <c r="L185" s="4"/>
      <c r="M185" s="4"/>
    </row>
    <row r="186" spans="1:13" x14ac:dyDescent="0.2">
      <c r="A186" s="25"/>
      <c r="D186" s="4"/>
      <c r="E186" s="4"/>
      <c r="F186" s="4"/>
      <c r="G186" s="4"/>
      <c r="H186" s="4"/>
      <c r="K186" s="4"/>
      <c r="L186" s="4"/>
      <c r="M186" s="4"/>
    </row>
    <row r="187" spans="1:13" x14ac:dyDescent="0.2">
      <c r="A187" s="25"/>
      <c r="D187" s="4"/>
      <c r="E187" s="4"/>
      <c r="F187" s="4"/>
      <c r="G187" s="4"/>
      <c r="H187" s="4"/>
      <c r="K187" s="4"/>
      <c r="L187" s="4"/>
      <c r="M187" s="4"/>
    </row>
    <row r="188" spans="1:13" x14ac:dyDescent="0.2">
      <c r="A188" s="25"/>
      <c r="D188" s="4"/>
      <c r="E188" s="4"/>
      <c r="F188" s="4"/>
      <c r="G188" s="4"/>
      <c r="H188" s="4"/>
      <c r="K188" s="4"/>
      <c r="L188" s="4"/>
      <c r="M188" s="4"/>
    </row>
    <row r="189" spans="1:13" x14ac:dyDescent="0.2">
      <c r="A189" s="25"/>
      <c r="D189" s="4"/>
      <c r="E189" s="4"/>
      <c r="F189" s="4"/>
      <c r="G189" s="4"/>
      <c r="H189" s="4"/>
      <c r="K189" s="4"/>
      <c r="L189" s="4"/>
      <c r="M189" s="4"/>
    </row>
    <row r="190" spans="1:13" x14ac:dyDescent="0.2">
      <c r="A190" s="25"/>
      <c r="D190" s="4"/>
      <c r="E190" s="4"/>
      <c r="F190" s="4"/>
      <c r="G190" s="4"/>
      <c r="H190" s="4"/>
      <c r="K190" s="4"/>
      <c r="L190" s="4"/>
      <c r="M190" s="4"/>
    </row>
    <row r="191" spans="1:13" x14ac:dyDescent="0.2">
      <c r="A191" s="25"/>
      <c r="D191" s="4"/>
      <c r="E191" s="4"/>
      <c r="F191" s="4"/>
      <c r="G191" s="4"/>
      <c r="H191" s="4"/>
      <c r="K191" s="4"/>
      <c r="L191" s="4"/>
      <c r="M191" s="4"/>
    </row>
    <row r="192" spans="1:13" x14ac:dyDescent="0.2">
      <c r="A192" s="25"/>
      <c r="D192" s="4"/>
      <c r="E192" s="4"/>
      <c r="F192" s="4"/>
      <c r="G192" s="4"/>
      <c r="H192" s="4"/>
      <c r="K192" s="4"/>
      <c r="L192" s="4"/>
      <c r="M192" s="4"/>
    </row>
    <row r="193" spans="1:13" x14ac:dyDescent="0.2">
      <c r="A193" s="25"/>
      <c r="D193" s="4"/>
      <c r="E193" s="4"/>
      <c r="F193" s="4"/>
      <c r="G193" s="4"/>
      <c r="H193" s="4"/>
      <c r="K193" s="4"/>
      <c r="L193" s="4"/>
      <c r="M193" s="4"/>
    </row>
    <row r="194" spans="1:13" x14ac:dyDescent="0.2">
      <c r="A194" s="25"/>
      <c r="D194" s="4"/>
      <c r="E194" s="4"/>
      <c r="F194" s="4"/>
      <c r="G194" s="4"/>
      <c r="H194" s="4"/>
      <c r="K194" s="4"/>
      <c r="L194" s="4"/>
      <c r="M194" s="4"/>
    </row>
    <row r="195" spans="1:13" x14ac:dyDescent="0.2">
      <c r="A195" s="25"/>
      <c r="D195" s="4"/>
      <c r="E195" s="4"/>
      <c r="F195" s="4"/>
      <c r="G195" s="4"/>
      <c r="H195" s="4"/>
      <c r="K195" s="4"/>
      <c r="L195" s="4"/>
      <c r="M195" s="4"/>
    </row>
    <row r="196" spans="1:13" x14ac:dyDescent="0.2">
      <c r="A196" s="25"/>
      <c r="D196" s="4"/>
      <c r="E196" s="4"/>
      <c r="F196" s="4"/>
      <c r="G196" s="4"/>
      <c r="H196" s="4"/>
      <c r="K196" s="4"/>
      <c r="L196" s="4"/>
      <c r="M196" s="4"/>
    </row>
    <row r="197" spans="1:13" x14ac:dyDescent="0.2">
      <c r="A197" s="25"/>
      <c r="D197" s="4"/>
      <c r="E197" s="4"/>
      <c r="F197" s="4"/>
      <c r="G197" s="4"/>
      <c r="H197" s="4"/>
      <c r="K197" s="4"/>
      <c r="L197" s="4"/>
      <c r="M197" s="4"/>
    </row>
    <row r="198" spans="1:13" x14ac:dyDescent="0.2">
      <c r="A198" s="25"/>
      <c r="D198" s="4"/>
      <c r="E198" s="4"/>
      <c r="F198" s="4"/>
      <c r="G198" s="4"/>
      <c r="H198" s="4"/>
      <c r="K198" s="4"/>
      <c r="L198" s="4"/>
      <c r="M198" s="4"/>
    </row>
    <row r="199" spans="1:13" x14ac:dyDescent="0.2">
      <c r="A199" s="25"/>
      <c r="D199" s="4"/>
      <c r="E199" s="4"/>
      <c r="F199" s="4"/>
      <c r="G199" s="4"/>
      <c r="H199" s="4"/>
      <c r="K199" s="4"/>
      <c r="L199" s="4"/>
      <c r="M199" s="4"/>
    </row>
    <row r="200" spans="1:13" x14ac:dyDescent="0.2">
      <c r="D200" s="4"/>
      <c r="E200" s="4"/>
      <c r="F200" s="4"/>
      <c r="G200" s="4"/>
      <c r="H200" s="4"/>
      <c r="K200" s="4"/>
      <c r="L200" s="4"/>
      <c r="M200" s="4"/>
    </row>
  </sheetData>
  <mergeCells count="1">
    <mergeCell ref="B46:O46"/>
  </mergeCells>
  <printOptions horizontalCentered="1"/>
  <pageMargins left="0.7" right="0.7" top="0.75" bottom="0.75" header="0.3" footer="0.3"/>
  <pageSetup scale="72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"/>
  <sheetViews>
    <sheetView workbookViewId="0">
      <selection activeCell="B18" sqref="B18"/>
    </sheetView>
  </sheetViews>
  <sheetFormatPr defaultRowHeight="12.75" x14ac:dyDescent="0.2"/>
  <cols>
    <col min="1" max="16384" width="9.140625" style="149"/>
  </cols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A317-A026-4968-A129-2C43AD7FF38B}">
  <sheetPr>
    <tabColor theme="6" tint="0.79998168889431442"/>
  </sheetPr>
  <dimension ref="A1:M55"/>
  <sheetViews>
    <sheetView zoomScaleNormal="100" workbookViewId="0">
      <pane ySplit="8" topLeftCell="A9" activePane="bottomLeft" state="frozen"/>
      <selection activeCell="B18" sqref="B18"/>
      <selection pane="bottomLeft" activeCell="B18" sqref="B18"/>
    </sheetView>
  </sheetViews>
  <sheetFormatPr defaultColWidth="9.140625" defaultRowHeight="11.25" x14ac:dyDescent="0.2"/>
  <cols>
    <col min="1" max="1" width="6.140625" style="4" bestFit="1" customWidth="1"/>
    <col min="2" max="2" width="49.42578125" style="4" customWidth="1"/>
    <col min="3" max="3" width="14.42578125" style="13" bestFit="1" customWidth="1"/>
    <col min="4" max="8" width="14.42578125" style="13" customWidth="1"/>
    <col min="9" max="10" width="12.42578125" style="29" customWidth="1"/>
    <col min="11" max="16384" width="9.140625" style="4"/>
  </cols>
  <sheetData>
    <row r="1" spans="1:13" s="15" customFormat="1" x14ac:dyDescent="0.2">
      <c r="A1" s="31" t="str">
        <f>'Rate Impacts'!A1</f>
        <v>PUGET SOUND ENERGY</v>
      </c>
      <c r="B1" s="31"/>
      <c r="C1" s="31"/>
      <c r="D1" s="31"/>
      <c r="E1" s="31"/>
      <c r="F1" s="31"/>
      <c r="G1" s="31"/>
      <c r="H1" s="31"/>
      <c r="I1" s="31"/>
      <c r="J1" s="31"/>
    </row>
    <row r="2" spans="1:13" s="15" customFormat="1" x14ac:dyDescent="0.2">
      <c r="A2" s="31" t="str">
        <f>'Rate Impacts'!A2</f>
        <v xml:space="preserve">Schedule 141PFG - Intervenor Funding </v>
      </c>
      <c r="B2" s="31"/>
      <c r="C2" s="31"/>
      <c r="D2" s="31"/>
      <c r="E2" s="31"/>
      <c r="F2" s="31"/>
      <c r="G2" s="31"/>
      <c r="H2" s="31"/>
      <c r="I2" s="31"/>
      <c r="J2" s="31"/>
    </row>
    <row r="3" spans="1:13" s="15" customFormat="1" x14ac:dyDescent="0.2">
      <c r="A3" s="31" t="str">
        <f>Inputs!B2&amp;" Forecasted Rate-Year Ended "&amp;TEXT(Inputs!B4,"mmmm d, yyyy")</f>
        <v>F2023 Forecasted Rate-Year Ended April 30, 2025</v>
      </c>
      <c r="B3" s="31"/>
      <c r="C3" s="31"/>
      <c r="D3" s="31"/>
      <c r="E3" s="31"/>
      <c r="F3" s="31"/>
      <c r="G3" s="31"/>
      <c r="H3" s="31"/>
      <c r="I3" s="31"/>
      <c r="J3" s="31"/>
      <c r="M3" s="4"/>
    </row>
    <row r="4" spans="1:13" s="15" customFormat="1" x14ac:dyDescent="0.2">
      <c r="A4" s="31" t="str">
        <f>"Proposed Rate Effective "&amp;TEXT(Inputs!B1,"mmmm d, yyyy")</f>
        <v>Proposed Rate Effective May 1, 2024</v>
      </c>
      <c r="B4" s="31"/>
      <c r="C4" s="31"/>
      <c r="D4" s="31"/>
      <c r="E4" s="31"/>
      <c r="F4" s="31"/>
      <c r="G4" s="31"/>
      <c r="H4" s="31"/>
      <c r="I4" s="31"/>
      <c r="J4" s="31"/>
      <c r="M4" s="4"/>
    </row>
    <row r="5" spans="1:13" s="15" customFormat="1" x14ac:dyDescent="0.2">
      <c r="A5" s="31" t="s">
        <v>198</v>
      </c>
      <c r="B5" s="31"/>
      <c r="C5" s="31"/>
      <c r="D5" s="31"/>
      <c r="E5" s="31"/>
      <c r="F5" s="31"/>
      <c r="G5" s="31"/>
      <c r="H5" s="31"/>
      <c r="I5" s="31"/>
      <c r="J5" s="31"/>
    </row>
    <row r="7" spans="1:13" s="69" customFormat="1" ht="57" thickBot="1" x14ac:dyDescent="0.25">
      <c r="A7" s="97" t="s">
        <v>4</v>
      </c>
      <c r="B7" s="97" t="s">
        <v>10</v>
      </c>
      <c r="C7" s="97" t="s">
        <v>0</v>
      </c>
      <c r="D7" s="97" t="str">
        <f>'Rate Impacts'!G7</f>
        <v>F2023 Forecast Energy (kWh) 5/01/24 - 04/30/25</v>
      </c>
      <c r="E7" s="97" t="s">
        <v>185</v>
      </c>
      <c r="F7" s="97" t="s">
        <v>159</v>
      </c>
      <c r="G7" s="97" t="s">
        <v>160</v>
      </c>
      <c r="H7" s="97" t="s">
        <v>163</v>
      </c>
      <c r="I7" s="155" t="s">
        <v>158</v>
      </c>
      <c r="J7" s="155" t="s">
        <v>164</v>
      </c>
    </row>
    <row r="8" spans="1:13" s="65" customFormat="1" x14ac:dyDescent="0.2">
      <c r="A8" s="13">
        <v>1</v>
      </c>
      <c r="B8" s="91"/>
      <c r="D8" s="100" t="s">
        <v>73</v>
      </c>
      <c r="E8" s="100" t="s">
        <v>72</v>
      </c>
      <c r="F8" s="100" t="s">
        <v>171</v>
      </c>
      <c r="G8" s="100" t="s">
        <v>172</v>
      </c>
      <c r="H8" s="100" t="s">
        <v>176</v>
      </c>
      <c r="I8" s="100" t="s">
        <v>173</v>
      </c>
      <c r="J8" s="100" t="s">
        <v>174</v>
      </c>
    </row>
    <row r="9" spans="1:13" x14ac:dyDescent="0.2">
      <c r="A9" s="13">
        <f t="shared" ref="A9:A53" si="0">+A8+1</f>
        <v>2</v>
      </c>
      <c r="D9" s="7"/>
      <c r="E9" s="7"/>
      <c r="F9" s="7"/>
      <c r="G9" s="7"/>
      <c r="H9" s="7"/>
      <c r="I9" s="101"/>
      <c r="J9" s="101"/>
    </row>
    <row r="10" spans="1:13" x14ac:dyDescent="0.2">
      <c r="A10" s="13">
        <f t="shared" si="0"/>
        <v>3</v>
      </c>
      <c r="B10" s="12" t="str">
        <f>'Rate Impacts'!B10</f>
        <v>Residential</v>
      </c>
      <c r="C10" s="13" t="str">
        <f>'Rate Impacts'!C10</f>
        <v>7 (307) (317) (327)</v>
      </c>
      <c r="D10" s="135">
        <v>11203510559.836071</v>
      </c>
      <c r="E10" s="156">
        <f>D10/$D$35</f>
        <v>0.47798778978391937</v>
      </c>
      <c r="F10" s="103">
        <f>E10*$C$40</f>
        <v>56698.316750636106</v>
      </c>
      <c r="G10" s="103">
        <f>C38</f>
        <v>43557.96957184808</v>
      </c>
      <c r="H10" s="103">
        <v>0</v>
      </c>
      <c r="I10" s="102">
        <f>SUM(F10:H10)</f>
        <v>100256.28632248419</v>
      </c>
      <c r="J10" s="136">
        <f>I10/D10</f>
        <v>8.9486492458798665E-6</v>
      </c>
      <c r="K10" s="103"/>
    </row>
    <row r="11" spans="1:13" x14ac:dyDescent="0.2">
      <c r="A11" s="13">
        <f t="shared" si="0"/>
        <v>4</v>
      </c>
      <c r="B11" s="12"/>
      <c r="D11" s="7"/>
      <c r="E11" s="103"/>
      <c r="F11" s="103"/>
      <c r="G11" s="103"/>
      <c r="H11" s="103"/>
      <c r="I11" s="101"/>
      <c r="J11" s="101"/>
      <c r="K11" s="103"/>
    </row>
    <row r="12" spans="1:13" x14ac:dyDescent="0.2">
      <c r="A12" s="13">
        <f t="shared" si="0"/>
        <v>5</v>
      </c>
      <c r="B12" s="142" t="str">
        <f>'Sch 149PFG Rates'!B13</f>
        <v>Secondary Voltage:</v>
      </c>
      <c r="D12" s="7"/>
      <c r="E12" s="103"/>
      <c r="F12" s="103"/>
      <c r="G12" s="103"/>
      <c r="H12" s="103"/>
      <c r="I12" s="101"/>
      <c r="J12" s="101"/>
      <c r="K12" s="103"/>
    </row>
    <row r="13" spans="1:13" x14ac:dyDescent="0.2">
      <c r="A13" s="13">
        <f t="shared" si="0"/>
        <v>6</v>
      </c>
      <c r="B13" s="5" t="str">
        <f>'Sch 149PFG Rates'!B14</f>
        <v>General Service: Demand &lt;= 50 kW</v>
      </c>
      <c r="C13" s="13" t="str">
        <f>'Sch 149PFG Rates'!C14</f>
        <v>08 (24) (324)</v>
      </c>
      <c r="D13" s="135">
        <v>2760323642.6246891</v>
      </c>
      <c r="E13" s="156">
        <f>D13/$D$35</f>
        <v>0.11776674730476426</v>
      </c>
      <c r="F13" s="103">
        <f>E13*$C$40</f>
        <v>13969.345000206282</v>
      </c>
      <c r="G13" s="103">
        <v>0</v>
      </c>
      <c r="H13" s="103">
        <f>E46*$C$39</f>
        <v>3340.2512029189152</v>
      </c>
      <c r="I13" s="102">
        <f t="shared" ref="I13" si="1">SUM(F13:H13)</f>
        <v>17309.596203125198</v>
      </c>
      <c r="J13" s="136">
        <f t="shared" ref="J13:J16" si="2">I13/D13</f>
        <v>6.2708574950530607E-6</v>
      </c>
      <c r="K13" s="103"/>
    </row>
    <row r="14" spans="1:13" x14ac:dyDescent="0.2">
      <c r="A14" s="13">
        <f t="shared" si="0"/>
        <v>7</v>
      </c>
      <c r="B14" s="5" t="str">
        <f>'Sch 149PFG Rates'!B15</f>
        <v>Small General Service: Demand &gt; 50 kW but &lt;= 350 kW</v>
      </c>
      <c r="C14" s="30" t="s">
        <v>192</v>
      </c>
      <c r="D14" s="135">
        <v>2959045827.7728415</v>
      </c>
      <c r="E14" s="156">
        <f>D14/$D$35</f>
        <v>0.12624505216757378</v>
      </c>
      <c r="F14" s="103">
        <f>E14*$C$40</f>
        <v>14975.030971467895</v>
      </c>
      <c r="G14" s="103">
        <v>0</v>
      </c>
      <c r="H14" s="103">
        <f>E47*$C$39</f>
        <v>6159.8514294963197</v>
      </c>
      <c r="I14" s="102">
        <f t="shared" ref="I14:I16" si="3">SUM(F14:H14)</f>
        <v>21134.882400964216</v>
      </c>
      <c r="J14" s="136">
        <f t="shared" si="2"/>
        <v>7.1424653861720072E-6</v>
      </c>
      <c r="K14" s="103"/>
    </row>
    <row r="15" spans="1:13" x14ac:dyDescent="0.2">
      <c r="A15" s="13">
        <f t="shared" si="0"/>
        <v>8</v>
      </c>
      <c r="B15" s="5" t="str">
        <f>'Sch 149PFG Rates'!B16</f>
        <v>Large General Service: Demand &gt; 350 kW</v>
      </c>
      <c r="C15" s="13" t="str">
        <f>'Sch 149PFG Rates'!C16</f>
        <v>12 (26) (26P)</v>
      </c>
      <c r="D15" s="135">
        <v>1976059702.4320197</v>
      </c>
      <c r="E15" s="156">
        <f>D15/$D$35</f>
        <v>8.4306825490274795E-2</v>
      </c>
      <c r="F15" s="103">
        <f>E15*$C$40</f>
        <v>10000.370716685229</v>
      </c>
      <c r="G15" s="103">
        <v>0</v>
      </c>
      <c r="H15" s="103">
        <f>E48*$C$39</f>
        <v>7906.758460828235</v>
      </c>
      <c r="I15" s="102">
        <f t="shared" si="3"/>
        <v>17907.129177513463</v>
      </c>
      <c r="J15" s="136">
        <f t="shared" si="2"/>
        <v>9.0620385383469985E-6</v>
      </c>
      <c r="K15" s="103"/>
    </row>
    <row r="16" spans="1:13" x14ac:dyDescent="0.2">
      <c r="A16" s="13">
        <f t="shared" si="0"/>
        <v>9</v>
      </c>
      <c r="B16" s="5" t="str">
        <f>'Sch 149PFG Rates'!B17</f>
        <v>Irrigation &amp; Pumping Service: Demand &gt; 50 kW but &lt;= 350 kW</v>
      </c>
      <c r="C16" s="13">
        <f>'Sch 149PFG Rates'!C17</f>
        <v>29</v>
      </c>
      <c r="D16" s="135">
        <v>15030637.337107176</v>
      </c>
      <c r="E16" s="156">
        <f>D16/$D$35</f>
        <v>6.4126874174273436E-4</v>
      </c>
      <c r="F16" s="103">
        <f>E16*$C$40</f>
        <v>76.066500062790126</v>
      </c>
      <c r="G16" s="103">
        <v>0</v>
      </c>
      <c r="H16" s="103">
        <v>0</v>
      </c>
      <c r="I16" s="102">
        <f t="shared" si="3"/>
        <v>76.066500062790126</v>
      </c>
      <c r="J16" s="136">
        <f t="shared" si="2"/>
        <v>5.0607634497972678E-6</v>
      </c>
      <c r="K16" s="103"/>
    </row>
    <row r="17" spans="1:11" x14ac:dyDescent="0.2">
      <c r="A17" s="13">
        <f t="shared" si="0"/>
        <v>10</v>
      </c>
      <c r="B17" s="5"/>
      <c r="D17" s="7"/>
      <c r="E17" s="156"/>
      <c r="F17" s="103"/>
      <c r="G17" s="103"/>
      <c r="H17" s="103"/>
      <c r="I17" s="101"/>
      <c r="J17" s="136"/>
      <c r="K17" s="103"/>
    </row>
    <row r="18" spans="1:11" x14ac:dyDescent="0.2">
      <c r="A18" s="13">
        <f t="shared" si="0"/>
        <v>11</v>
      </c>
      <c r="B18" s="142" t="str">
        <f>'Sch 149PFG Rates'!B20</f>
        <v>Primary Voltage:</v>
      </c>
      <c r="D18" s="7"/>
      <c r="E18" s="156"/>
      <c r="F18" s="103"/>
      <c r="G18" s="103"/>
      <c r="H18" s="103"/>
      <c r="I18" s="101"/>
      <c r="J18" s="136"/>
      <c r="K18" s="103"/>
    </row>
    <row r="19" spans="1:11" x14ac:dyDescent="0.2">
      <c r="A19" s="13">
        <f t="shared" si="0"/>
        <v>12</v>
      </c>
      <c r="B19" s="5" t="str">
        <f>'Sch 149PFG Rates'!B21</f>
        <v>General Service</v>
      </c>
      <c r="C19" s="13" t="str">
        <f>'Sch 149PFG Rates'!C21</f>
        <v>10 (31)</v>
      </c>
      <c r="D19" s="135">
        <v>1414726531.7689974</v>
      </c>
      <c r="E19" s="156">
        <f>D19/$D$35</f>
        <v>6.0358046208582976E-2</v>
      </c>
      <c r="F19" s="103">
        <f>E19*$C$40</f>
        <v>7159.5963234349947</v>
      </c>
      <c r="G19" s="103">
        <v>0</v>
      </c>
      <c r="H19" s="103">
        <f>E49*$C$39</f>
        <v>20459.597429055015</v>
      </c>
      <c r="I19" s="102">
        <f t="shared" ref="I19" si="4">SUM(F19:H19)</f>
        <v>27619.19375249001</v>
      </c>
      <c r="J19" s="136">
        <f>I19/D19</f>
        <v>1.9522637861293597E-5</v>
      </c>
      <c r="K19" s="103"/>
    </row>
    <row r="20" spans="1:11" x14ac:dyDescent="0.2">
      <c r="A20" s="13">
        <f t="shared" si="0"/>
        <v>13</v>
      </c>
      <c r="B20" s="5" t="str">
        <f>'Sch 149PFG Rates'!B22</f>
        <v>Irrigation &amp; Pumping Service</v>
      </c>
      <c r="C20" s="13">
        <f>'Sch 149PFG Rates'!C22</f>
        <v>35</v>
      </c>
      <c r="D20" s="135">
        <v>4440266.6219169199</v>
      </c>
      <c r="E20" s="156">
        <f>D20/$D$35</f>
        <v>1.8944001679884463E-4</v>
      </c>
      <c r="F20" s="103">
        <f>E20*$C$40</f>
        <v>22.471139027551928</v>
      </c>
      <c r="G20" s="103">
        <v>0</v>
      </c>
      <c r="H20" s="103">
        <v>0</v>
      </c>
      <c r="I20" s="102">
        <f t="shared" ref="I20:I21" si="5">SUM(F20:H20)</f>
        <v>22.471139027551928</v>
      </c>
      <c r="J20" s="136">
        <f>I20/D20</f>
        <v>5.060763449797267E-6</v>
      </c>
      <c r="K20" s="103"/>
    </row>
    <row r="21" spans="1:11" x14ac:dyDescent="0.2">
      <c r="A21" s="13">
        <f t="shared" si="0"/>
        <v>14</v>
      </c>
      <c r="B21" s="5" t="str">
        <f>'Sch 149PFG Rates'!B23</f>
        <v>All Electric Schools</v>
      </c>
      <c r="C21" s="13">
        <f>'Sch 149PFG Rates'!C23</f>
        <v>43</v>
      </c>
      <c r="D21" s="135">
        <v>122744427.38210531</v>
      </c>
      <c r="E21" s="156">
        <f>D21/$D$35</f>
        <v>5.2367815640746596E-3</v>
      </c>
      <c r="F21" s="103">
        <f>E21*$C$40</f>
        <v>621.18051176165341</v>
      </c>
      <c r="G21" s="103">
        <v>0</v>
      </c>
      <c r="H21" s="103">
        <v>0</v>
      </c>
      <c r="I21" s="102">
        <f t="shared" si="5"/>
        <v>621.18051176165341</v>
      </c>
      <c r="J21" s="136">
        <f>I21/D21</f>
        <v>5.060763449797267E-6</v>
      </c>
      <c r="K21" s="103"/>
    </row>
    <row r="22" spans="1:11" x14ac:dyDescent="0.2">
      <c r="A22" s="13">
        <f t="shared" si="0"/>
        <v>15</v>
      </c>
      <c r="B22" s="5"/>
      <c r="D22" s="7"/>
      <c r="E22" s="156"/>
      <c r="F22" s="103"/>
      <c r="G22" s="103"/>
      <c r="H22" s="103"/>
      <c r="I22" s="101"/>
      <c r="J22" s="136"/>
      <c r="K22" s="103"/>
    </row>
    <row r="23" spans="1:11" x14ac:dyDescent="0.2">
      <c r="A23" s="13">
        <f t="shared" si="0"/>
        <v>16</v>
      </c>
      <c r="B23" s="142" t="str">
        <f>'Sch 149PFG Rates'!B26</f>
        <v>High Voltage:</v>
      </c>
      <c r="D23" s="7"/>
      <c r="E23" s="156"/>
      <c r="F23" s="103"/>
      <c r="G23" s="103"/>
      <c r="H23" s="103"/>
      <c r="I23" s="101"/>
      <c r="J23" s="136"/>
      <c r="K23" s="103"/>
    </row>
    <row r="24" spans="1:11" x14ac:dyDescent="0.2">
      <c r="A24" s="13">
        <f t="shared" si="0"/>
        <v>17</v>
      </c>
      <c r="B24" s="5" t="str">
        <f>'Sch 149PFG Rates'!B27</f>
        <v>Interruptible Service</v>
      </c>
      <c r="C24" s="13">
        <f>'Sch 149PFG Rates'!C27</f>
        <v>46</v>
      </c>
      <c r="D24" s="135">
        <v>96942309.823676795</v>
      </c>
      <c r="E24" s="156">
        <f t="shared" ref="E24:E25" si="6">D24/$D$35</f>
        <v>4.1359572217732803E-3</v>
      </c>
      <c r="F24" s="103">
        <f>E24*$C$40</f>
        <v>490.60209829458609</v>
      </c>
      <c r="G24" s="103">
        <v>0</v>
      </c>
      <c r="H24" s="103">
        <f>E50*$C$39</f>
        <v>3263.6611848255543</v>
      </c>
      <c r="I24" s="102">
        <f t="shared" ref="I24:I25" si="7">SUM(F24:H24)</f>
        <v>3754.2632831201404</v>
      </c>
      <c r="J24" s="136">
        <f>I24/D24</f>
        <v>3.8726777708810222E-5</v>
      </c>
      <c r="K24" s="103"/>
    </row>
    <row r="25" spans="1:11" x14ac:dyDescent="0.2">
      <c r="A25" s="13">
        <f t="shared" si="0"/>
        <v>18</v>
      </c>
      <c r="B25" s="5" t="str">
        <f>'Sch 149PFG Rates'!B28</f>
        <v>General Service</v>
      </c>
      <c r="C25" s="13">
        <f>'Sch 149PFG Rates'!C28</f>
        <v>49</v>
      </c>
      <c r="D25" s="135">
        <v>534795351.78868973</v>
      </c>
      <c r="E25" s="156">
        <f t="shared" si="6"/>
        <v>2.2816566898646251E-2</v>
      </c>
      <c r="F25" s="103">
        <f>E25*$C$40</f>
        <v>2706.4727694536723</v>
      </c>
      <c r="G25" s="103">
        <v>0</v>
      </c>
      <c r="H25" s="103">
        <f>E51*$C$39</f>
        <v>4449.5294845404915</v>
      </c>
      <c r="I25" s="102">
        <f t="shared" si="7"/>
        <v>7156.0022539941638</v>
      </c>
      <c r="J25" s="136">
        <f>I25/D25</f>
        <v>1.3380823580571563E-5</v>
      </c>
      <c r="K25" s="103"/>
    </row>
    <row r="26" spans="1:11" x14ac:dyDescent="0.2">
      <c r="A26" s="13">
        <f t="shared" si="0"/>
        <v>19</v>
      </c>
      <c r="D26" s="7"/>
      <c r="E26" s="156"/>
      <c r="F26" s="103"/>
      <c r="G26" s="103"/>
      <c r="H26" s="103"/>
      <c r="I26" s="101"/>
      <c r="J26" s="136"/>
      <c r="K26" s="103"/>
    </row>
    <row r="27" spans="1:11" x14ac:dyDescent="0.2">
      <c r="A27" s="13">
        <f t="shared" si="0"/>
        <v>20</v>
      </c>
      <c r="B27" s="5" t="str">
        <f>'Sch 149PFG Rates'!B31</f>
        <v>Choice / Retail Wheeling</v>
      </c>
      <c r="C27" s="13" t="str">
        <f>'Sch 149PFG Rates'!C31</f>
        <v>448 - 459</v>
      </c>
      <c r="D27" s="135">
        <v>1972429157.4558516</v>
      </c>
      <c r="E27" s="156">
        <f>D27/$D$35</f>
        <v>8.4151931525601714E-2</v>
      </c>
      <c r="F27" s="103">
        <f>E27*$C$40</f>
        <v>9981.9973873669933</v>
      </c>
      <c r="G27" s="103">
        <v>0</v>
      </c>
      <c r="H27" s="103">
        <v>0</v>
      </c>
      <c r="I27" s="102">
        <f>SUM(F27:H27)</f>
        <v>9981.9973873669933</v>
      </c>
      <c r="J27" s="136">
        <f>I27/D27</f>
        <v>5.0607634497972678E-6</v>
      </c>
      <c r="K27" s="103"/>
    </row>
    <row r="28" spans="1:11" x14ac:dyDescent="0.2">
      <c r="A28" s="13">
        <f t="shared" si="0"/>
        <v>21</v>
      </c>
      <c r="D28" s="7"/>
      <c r="E28" s="156"/>
      <c r="F28" s="103"/>
      <c r="G28" s="103"/>
      <c r="H28" s="103"/>
      <c r="I28" s="101"/>
      <c r="J28" s="136"/>
      <c r="K28" s="103"/>
    </row>
    <row r="29" spans="1:11" x14ac:dyDescent="0.2">
      <c r="A29" s="13">
        <f t="shared" si="0"/>
        <v>22</v>
      </c>
      <c r="B29" s="12" t="s">
        <v>126</v>
      </c>
      <c r="C29" s="13" t="str">
        <f>'Sch 149PFG Rates'!C32</f>
        <v>Special Contract</v>
      </c>
      <c r="D29" s="135">
        <v>304684283.88728809</v>
      </c>
      <c r="E29" s="156">
        <f>D29/$D$35</f>
        <v>1.2999083337259959E-2</v>
      </c>
      <c r="F29" s="103">
        <f>E29*$C$40</f>
        <v>1541.9350876244421</v>
      </c>
      <c r="G29" s="103">
        <v>0</v>
      </c>
      <c r="H29" s="103">
        <v>0</v>
      </c>
      <c r="I29" s="102">
        <f>SUM(F29:H29)</f>
        <v>1541.9350876244421</v>
      </c>
      <c r="J29" s="136">
        <f>I29/D29</f>
        <v>5.0607634497972678E-6</v>
      </c>
      <c r="K29" s="103"/>
    </row>
    <row r="30" spans="1:11" x14ac:dyDescent="0.2">
      <c r="A30" s="13">
        <f t="shared" si="0"/>
        <v>23</v>
      </c>
      <c r="D30" s="135"/>
      <c r="E30" s="156"/>
      <c r="F30" s="103"/>
      <c r="G30" s="103"/>
      <c r="H30" s="103"/>
      <c r="I30" s="101"/>
      <c r="J30" s="136"/>
      <c r="K30" s="103"/>
    </row>
    <row r="31" spans="1:11" x14ac:dyDescent="0.2">
      <c r="A31" s="13">
        <f t="shared" si="0"/>
        <v>24</v>
      </c>
      <c r="B31" s="12" t="str">
        <f>'Sch 149PFG Rates'!B33</f>
        <v>Lighting</v>
      </c>
      <c r="C31" s="13" t="str">
        <f>'Sch 149PFG Rates'!C33</f>
        <v>50 - 59</v>
      </c>
      <c r="D31" s="135">
        <v>67443601.461170837</v>
      </c>
      <c r="E31" s="156">
        <f>D31/$D$35</f>
        <v>2.8774211284328236E-3</v>
      </c>
      <c r="F31" s="103">
        <f>E31*$C$40</f>
        <v>341.31611319738693</v>
      </c>
      <c r="G31" s="103">
        <v>0</v>
      </c>
      <c r="H31" s="103">
        <v>0</v>
      </c>
      <c r="I31" s="102">
        <f>SUM(F31:H31)</f>
        <v>341.31611319738693</v>
      </c>
      <c r="J31" s="136">
        <f>I31/D31</f>
        <v>5.060763449797267E-6</v>
      </c>
      <c r="K31" s="103"/>
    </row>
    <row r="32" spans="1:11" x14ac:dyDescent="0.2">
      <c r="A32" s="13">
        <f t="shared" si="0"/>
        <v>25</v>
      </c>
      <c r="D32" s="7"/>
      <c r="E32" s="156"/>
      <c r="F32" s="103"/>
      <c r="G32" s="103"/>
      <c r="H32" s="103"/>
      <c r="I32" s="101"/>
      <c r="J32" s="136"/>
      <c r="K32" s="103"/>
    </row>
    <row r="33" spans="1:11" x14ac:dyDescent="0.2">
      <c r="A33" s="13">
        <f t="shared" si="0"/>
        <v>26</v>
      </c>
      <c r="B33" s="12" t="str">
        <f>'Sch 149PFG Rates'!B37</f>
        <v>Firm Resale</v>
      </c>
      <c r="C33" s="13">
        <f>'Sch 149PFG Rates'!C37</f>
        <v>5</v>
      </c>
      <c r="D33" s="135">
        <v>6729042.7678309083</v>
      </c>
      <c r="E33" s="156">
        <f>D33/$D$35</f>
        <v>2.8708861055458542E-4</v>
      </c>
      <c r="F33" s="103">
        <f>E33*$C$40</f>
        <v>34.054093691561299</v>
      </c>
      <c r="G33" s="103">
        <v>0</v>
      </c>
      <c r="H33" s="103">
        <v>0</v>
      </c>
      <c r="I33" s="102">
        <f>SUM(F33:H33)</f>
        <v>34.054093691561299</v>
      </c>
      <c r="J33" s="136">
        <f>I33/D33</f>
        <v>5.060763449797267E-6</v>
      </c>
      <c r="K33" s="103"/>
    </row>
    <row r="34" spans="1:11" x14ac:dyDescent="0.2">
      <c r="A34" s="13">
        <f t="shared" si="0"/>
        <v>27</v>
      </c>
      <c r="D34" s="7"/>
      <c r="E34" s="103"/>
      <c r="F34" s="103"/>
      <c r="G34" s="103"/>
      <c r="H34" s="103"/>
      <c r="I34" s="101"/>
      <c r="J34" s="101"/>
      <c r="K34" s="103"/>
    </row>
    <row r="35" spans="1:11" ht="12" thickBot="1" x14ac:dyDescent="0.25">
      <c r="A35" s="13">
        <f t="shared" si="0"/>
        <v>28</v>
      </c>
      <c r="B35" s="4" t="s">
        <v>9</v>
      </c>
      <c r="D35" s="99">
        <f t="shared" ref="D35:I35" si="8">SUM(D10:D33)</f>
        <v>23438905342.960255</v>
      </c>
      <c r="E35" s="134">
        <f t="shared" si="8"/>
        <v>1</v>
      </c>
      <c r="F35" s="99">
        <f t="shared" si="8"/>
        <v>118618.75546291115</v>
      </c>
      <c r="G35" s="99">
        <f t="shared" si="8"/>
        <v>43557.96957184808</v>
      </c>
      <c r="H35" s="99">
        <f t="shared" si="8"/>
        <v>45579.649191664539</v>
      </c>
      <c r="I35" s="99">
        <f t="shared" si="8"/>
        <v>207756.3742264238</v>
      </c>
      <c r="J35" s="135"/>
      <c r="K35" s="103"/>
    </row>
    <row r="36" spans="1:11" ht="12" thickTop="1" x14ac:dyDescent="0.2">
      <c r="A36" s="13">
        <f t="shared" si="0"/>
        <v>29</v>
      </c>
      <c r="D36" s="29"/>
      <c r="E36" s="98"/>
      <c r="F36" s="98"/>
      <c r="G36" s="98"/>
      <c r="H36" s="98"/>
      <c r="I36" s="84"/>
      <c r="J36" s="84"/>
    </row>
    <row r="37" spans="1:11" x14ac:dyDescent="0.2">
      <c r="A37" s="13">
        <f t="shared" si="0"/>
        <v>30</v>
      </c>
      <c r="B37" s="5" t="s">
        <v>155</v>
      </c>
      <c r="D37" s="4"/>
      <c r="E37" s="55"/>
      <c r="F37" s="55"/>
      <c r="G37" s="55"/>
      <c r="H37" s="55"/>
      <c r="I37" s="84"/>
      <c r="J37" s="84"/>
    </row>
    <row r="38" spans="1:11" x14ac:dyDescent="0.2">
      <c r="A38" s="13">
        <f t="shared" si="0"/>
        <v>31</v>
      </c>
      <c r="B38" s="5" t="s">
        <v>156</v>
      </c>
      <c r="C38" s="157">
        <f>RevReq!E39</f>
        <v>43557.96957184808</v>
      </c>
      <c r="D38" s="4" t="s">
        <v>168</v>
      </c>
      <c r="E38" s="55"/>
      <c r="F38" s="55"/>
      <c r="G38" s="55"/>
      <c r="H38" s="55"/>
      <c r="I38" s="84"/>
      <c r="J38" s="84"/>
    </row>
    <row r="39" spans="1:11" x14ac:dyDescent="0.2">
      <c r="A39" s="13">
        <f t="shared" si="0"/>
        <v>32</v>
      </c>
      <c r="B39" s="5" t="s">
        <v>161</v>
      </c>
      <c r="C39" s="157">
        <f>RevReq!F39</f>
        <v>45579.649191664532</v>
      </c>
      <c r="D39" s="4" t="s">
        <v>169</v>
      </c>
      <c r="E39" s="55"/>
      <c r="F39" s="55"/>
      <c r="G39" s="55"/>
      <c r="H39" s="55"/>
      <c r="I39" s="84"/>
      <c r="J39" s="84"/>
    </row>
    <row r="40" spans="1:11" x14ac:dyDescent="0.2">
      <c r="A40" s="13">
        <f t="shared" si="0"/>
        <v>33</v>
      </c>
      <c r="B40" s="5" t="s">
        <v>157</v>
      </c>
      <c r="C40" s="157">
        <f>RevReq!G39</f>
        <v>118618.75546291114</v>
      </c>
      <c r="D40" s="4" t="s">
        <v>170</v>
      </c>
      <c r="E40" s="55"/>
      <c r="F40" s="55"/>
      <c r="G40" s="55"/>
      <c r="H40" s="55"/>
      <c r="I40" s="84"/>
      <c r="J40" s="84"/>
    </row>
    <row r="41" spans="1:11" ht="12" thickBot="1" x14ac:dyDescent="0.25">
      <c r="A41" s="13">
        <f t="shared" si="0"/>
        <v>34</v>
      </c>
      <c r="B41" s="90"/>
      <c r="C41" s="133">
        <f>SUM(C38:C40)</f>
        <v>207756.37422642374</v>
      </c>
      <c r="D41" s="89"/>
      <c r="E41" s="89"/>
      <c r="F41" s="89"/>
      <c r="G41" s="89"/>
      <c r="H41" s="89"/>
      <c r="I41" s="88"/>
      <c r="J41" s="88"/>
    </row>
    <row r="42" spans="1:11" ht="12" thickTop="1" x14ac:dyDescent="0.2">
      <c r="A42" s="13">
        <f t="shared" si="0"/>
        <v>35</v>
      </c>
      <c r="B42" s="158" t="s">
        <v>132</v>
      </c>
      <c r="C42" s="157">
        <f>RevReq!H39-C41</f>
        <v>0</v>
      </c>
      <c r="D42" s="24">
        <f>D35-'Rate Impacts'!G38</f>
        <v>0</v>
      </c>
      <c r="F42" s="159">
        <f>F35-C40</f>
        <v>0</v>
      </c>
      <c r="G42" s="159">
        <f>G35-C38</f>
        <v>0</v>
      </c>
      <c r="H42" s="159">
        <f>H35-C39</f>
        <v>0</v>
      </c>
      <c r="I42" s="159">
        <f>I35-C41</f>
        <v>0</v>
      </c>
      <c r="J42" s="159"/>
    </row>
    <row r="43" spans="1:11" x14ac:dyDescent="0.2">
      <c r="A43" s="13">
        <f t="shared" si="0"/>
        <v>36</v>
      </c>
      <c r="B43" s="4" t="s">
        <v>162</v>
      </c>
      <c r="D43" s="65"/>
    </row>
    <row r="44" spans="1:11" x14ac:dyDescent="0.2">
      <c r="A44" s="13">
        <f t="shared" si="0"/>
        <v>37</v>
      </c>
      <c r="D44" s="65"/>
    </row>
    <row r="45" spans="1:11" ht="56.25" x14ac:dyDescent="0.2">
      <c r="A45" s="13">
        <f t="shared" si="0"/>
        <v>38</v>
      </c>
      <c r="D45" s="160" t="s">
        <v>178</v>
      </c>
      <c r="E45" s="161" t="s">
        <v>175</v>
      </c>
    </row>
    <row r="46" spans="1:11" x14ac:dyDescent="0.2">
      <c r="A46" s="13">
        <f t="shared" si="0"/>
        <v>39</v>
      </c>
      <c r="C46" s="13" t="s">
        <v>179</v>
      </c>
      <c r="D46" s="162">
        <v>77947480.517072991</v>
      </c>
      <c r="E46" s="137">
        <f>D46/$D$52</f>
        <v>7.3283828685758515E-2</v>
      </c>
    </row>
    <row r="47" spans="1:11" x14ac:dyDescent="0.2">
      <c r="A47" s="13">
        <f t="shared" si="0"/>
        <v>40</v>
      </c>
      <c r="C47" s="13" t="s">
        <v>180</v>
      </c>
      <c r="D47" s="162">
        <v>143745146.73302078</v>
      </c>
      <c r="E47" s="137">
        <f t="shared" ref="E47:E51" si="9">D47/$D$52</f>
        <v>0.13514477488832483</v>
      </c>
    </row>
    <row r="48" spans="1:11" x14ac:dyDescent="0.2">
      <c r="A48" s="13">
        <f t="shared" si="0"/>
        <v>41</v>
      </c>
      <c r="C48" s="13" t="s">
        <v>181</v>
      </c>
      <c r="D48" s="162">
        <v>184510644.15156561</v>
      </c>
      <c r="E48" s="137">
        <f t="shared" si="9"/>
        <v>0.17347124431739153</v>
      </c>
    </row>
    <row r="49" spans="1:5" x14ac:dyDescent="0.2">
      <c r="A49" s="13">
        <f t="shared" si="0"/>
        <v>42</v>
      </c>
      <c r="C49" s="13" t="s">
        <v>182</v>
      </c>
      <c r="D49" s="162">
        <v>477441358.48070693</v>
      </c>
      <c r="E49" s="137">
        <f t="shared" si="9"/>
        <v>0.44887571080289496</v>
      </c>
    </row>
    <row r="50" spans="1:5" x14ac:dyDescent="0.2">
      <c r="A50" s="13">
        <f t="shared" si="0"/>
        <v>43</v>
      </c>
      <c r="C50" s="13" t="s">
        <v>183</v>
      </c>
      <c r="D50" s="162">
        <v>76160190.106723756</v>
      </c>
      <c r="E50" s="137">
        <f t="shared" si="9"/>
        <v>7.1603473100499485E-2</v>
      </c>
    </row>
    <row r="51" spans="1:5" x14ac:dyDescent="0.2">
      <c r="A51" s="13">
        <f t="shared" si="0"/>
        <v>44</v>
      </c>
      <c r="C51" s="13" t="s">
        <v>184</v>
      </c>
      <c r="D51" s="162">
        <v>103833392.08239217</v>
      </c>
      <c r="E51" s="137">
        <f t="shared" si="9"/>
        <v>9.7620968205130637E-2</v>
      </c>
    </row>
    <row r="52" spans="1:5" ht="12" thickBot="1" x14ac:dyDescent="0.25">
      <c r="A52" s="13">
        <f t="shared" si="0"/>
        <v>45</v>
      </c>
      <c r="D52" s="99">
        <f>SUM(D46:D51)</f>
        <v>1063638212.0714823</v>
      </c>
      <c r="E52" s="138">
        <f>SUM(E46:E51)</f>
        <v>1</v>
      </c>
    </row>
    <row r="53" spans="1:5" ht="12" thickTop="1" x14ac:dyDescent="0.2">
      <c r="A53" s="13">
        <f t="shared" si="0"/>
        <v>46</v>
      </c>
    </row>
    <row r="54" spans="1:5" x14ac:dyDescent="0.2">
      <c r="A54" s="13"/>
    </row>
    <row r="55" spans="1:5" x14ac:dyDescent="0.2">
      <c r="A55" s="13"/>
    </row>
  </sheetData>
  <printOptions horizontalCentered="1"/>
  <pageMargins left="0.7" right="0.7" top="0.75" bottom="0.75" header="0.3" footer="0.3"/>
  <pageSetup scale="55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AE3D-6509-4D75-BDB5-A93A3746DC74}">
  <sheetPr>
    <tabColor theme="6" tint="0.79998168889431442"/>
  </sheetPr>
  <dimension ref="A1:H171"/>
  <sheetViews>
    <sheetView workbookViewId="0">
      <pane ySplit="8" topLeftCell="A9" activePane="bottomLeft" state="frozen"/>
      <selection activeCell="B18" sqref="B18"/>
      <selection pane="bottomLeft" activeCell="B18" sqref="B18"/>
    </sheetView>
  </sheetViews>
  <sheetFormatPr defaultColWidth="8.85546875" defaultRowHeight="11.25" x14ac:dyDescent="0.2"/>
  <cols>
    <col min="1" max="1" width="6.7109375" style="4" bestFit="1" customWidth="1"/>
    <col min="2" max="2" width="20.140625" style="4" customWidth="1"/>
    <col min="3" max="3" width="16.42578125" style="4" customWidth="1"/>
    <col min="4" max="4" width="16.7109375" style="4" customWidth="1"/>
    <col min="5" max="5" width="15" style="4" customWidth="1"/>
    <col min="6" max="6" width="11.42578125" style="4" customWidth="1"/>
    <col min="7" max="7" width="8.85546875" style="4" customWidth="1"/>
    <col min="8" max="8" width="12.28515625" style="4" customWidth="1"/>
    <col min="9" max="16384" width="8.85546875" style="4"/>
  </cols>
  <sheetData>
    <row r="1" spans="1:8" s="15" customFormat="1" x14ac:dyDescent="0.2">
      <c r="A1" s="31" t="str">
        <f>'Sch 149PFG Rates'!A1</f>
        <v>PUGET SOUND ENERGY</v>
      </c>
      <c r="B1" s="31"/>
      <c r="C1" s="31"/>
      <c r="D1" s="31"/>
      <c r="E1" s="31"/>
      <c r="F1" s="31"/>
      <c r="G1" s="31"/>
      <c r="H1" s="31"/>
    </row>
    <row r="2" spans="1:8" s="15" customFormat="1" x14ac:dyDescent="0.2">
      <c r="A2" s="31" t="str">
        <f>'Sch 149PFG Rates'!A2</f>
        <v xml:space="preserve">Schedule 141PFG - Intervenor Funding </v>
      </c>
      <c r="B2" s="31"/>
      <c r="C2" s="31"/>
      <c r="D2" s="31"/>
      <c r="E2" s="31"/>
      <c r="F2" s="31"/>
      <c r="G2" s="31"/>
      <c r="H2" s="31"/>
    </row>
    <row r="3" spans="1:8" s="15" customFormat="1" x14ac:dyDescent="0.2">
      <c r="A3" s="31" t="str">
        <f>Inputs!B2&amp;" Forecasted Rate-Year Ended "&amp;TEXT(Inputs!B4,"mmmm d, yyyy")</f>
        <v>F2023 Forecasted Rate-Year Ended April 30, 2025</v>
      </c>
      <c r="B3" s="31"/>
      <c r="C3" s="31"/>
      <c r="D3" s="31"/>
      <c r="E3" s="31"/>
      <c r="F3" s="31"/>
      <c r="G3" s="31"/>
      <c r="H3" s="31"/>
    </row>
    <row r="4" spans="1:8" s="15" customFormat="1" x14ac:dyDescent="0.2">
      <c r="A4" s="31" t="str">
        <f>"Proposed Rate Effective "&amp;TEXT(Inputs!B1,"mmmm d, yyyy")</f>
        <v>Proposed Rate Effective May 1, 2024</v>
      </c>
      <c r="B4" s="31"/>
      <c r="C4" s="31"/>
      <c r="D4" s="31"/>
      <c r="E4" s="31"/>
      <c r="F4" s="31"/>
      <c r="G4" s="31"/>
      <c r="H4" s="31"/>
    </row>
    <row r="5" spans="1:8" s="15" customFormat="1" x14ac:dyDescent="0.2">
      <c r="A5" s="31" t="s">
        <v>125</v>
      </c>
      <c r="B5" s="31"/>
      <c r="C5" s="31"/>
      <c r="D5" s="31"/>
      <c r="E5" s="31"/>
      <c r="F5" s="31"/>
      <c r="G5" s="31"/>
      <c r="H5" s="31"/>
    </row>
    <row r="6" spans="1:8" s="15" customFormat="1" x14ac:dyDescent="0.2">
      <c r="A6" s="6"/>
    </row>
    <row r="7" spans="1:8" s="6" customFormat="1" ht="33.75" x14ac:dyDescent="0.2">
      <c r="A7" s="32" t="s">
        <v>4</v>
      </c>
      <c r="B7" s="32" t="s">
        <v>0</v>
      </c>
      <c r="C7" s="32" t="s">
        <v>5</v>
      </c>
      <c r="D7" s="32" t="s">
        <v>50</v>
      </c>
      <c r="E7" s="73" t="s">
        <v>124</v>
      </c>
      <c r="F7" s="73" t="s">
        <v>133</v>
      </c>
      <c r="G7" s="73" t="s">
        <v>123</v>
      </c>
      <c r="H7" s="73" t="s">
        <v>134</v>
      </c>
    </row>
    <row r="8" spans="1:8" s="8" customFormat="1" x14ac:dyDescent="0.2">
      <c r="A8" s="87"/>
      <c r="B8" s="86" t="s">
        <v>73</v>
      </c>
      <c r="C8" s="86" t="s">
        <v>72</v>
      </c>
      <c r="D8" s="85" t="s">
        <v>71</v>
      </c>
      <c r="E8" s="85" t="s">
        <v>70</v>
      </c>
      <c r="F8" s="85" t="s">
        <v>69</v>
      </c>
      <c r="G8" s="85" t="s">
        <v>68</v>
      </c>
      <c r="H8" s="85" t="s">
        <v>122</v>
      </c>
    </row>
    <row r="9" spans="1:8" x14ac:dyDescent="0.2">
      <c r="A9" s="13">
        <v>1</v>
      </c>
      <c r="B9" s="13"/>
      <c r="C9" s="13"/>
      <c r="D9" s="23"/>
      <c r="F9" s="83"/>
      <c r="G9" s="84"/>
      <c r="H9" s="83"/>
    </row>
    <row r="10" spans="1:8" ht="13.5" x14ac:dyDescent="0.35">
      <c r="A10" s="13">
        <f t="shared" ref="A10:A41" si="0">+A9+1</f>
        <v>2</v>
      </c>
      <c r="B10" s="28" t="s">
        <v>105</v>
      </c>
    </row>
    <row r="11" spans="1:8" x14ac:dyDescent="0.2">
      <c r="A11" s="13">
        <f t="shared" si="0"/>
        <v>3</v>
      </c>
      <c r="B11" s="63" t="s">
        <v>49</v>
      </c>
      <c r="C11" s="5" t="s">
        <v>48</v>
      </c>
      <c r="D11" s="82">
        <v>22</v>
      </c>
      <c r="E11" s="38">
        <v>0.5</v>
      </c>
      <c r="F11" s="38">
        <f>ROUND(E11*$H$168,2)</f>
        <v>0</v>
      </c>
      <c r="G11" s="151">
        <v>649</v>
      </c>
      <c r="H11" s="55">
        <f>F11*G11</f>
        <v>0</v>
      </c>
    </row>
    <row r="12" spans="1:8" x14ac:dyDescent="0.2">
      <c r="A12" s="13">
        <f t="shared" si="0"/>
        <v>4</v>
      </c>
      <c r="B12" s="65"/>
      <c r="C12" s="23"/>
      <c r="D12" s="82"/>
      <c r="E12" s="38"/>
      <c r="F12" s="38"/>
      <c r="G12" s="151"/>
      <c r="H12" s="29"/>
    </row>
    <row r="13" spans="1:8" x14ac:dyDescent="0.2">
      <c r="A13" s="13">
        <f t="shared" si="0"/>
        <v>5</v>
      </c>
      <c r="B13" s="63" t="s">
        <v>64</v>
      </c>
      <c r="C13" s="29" t="s">
        <v>6</v>
      </c>
      <c r="D13" s="78">
        <v>100</v>
      </c>
      <c r="E13" s="38">
        <v>2.2799999999999998</v>
      </c>
      <c r="F13" s="38">
        <f t="shared" ref="F13:F16" si="1">ROUND(E13*$H$168,2)</f>
        <v>0</v>
      </c>
      <c r="G13" s="151">
        <v>33</v>
      </c>
      <c r="H13" s="55">
        <f>F13*G13</f>
        <v>0</v>
      </c>
    </row>
    <row r="14" spans="1:8" x14ac:dyDescent="0.2">
      <c r="A14" s="13">
        <f t="shared" si="0"/>
        <v>6</v>
      </c>
      <c r="B14" s="63" t="str">
        <f>+B13</f>
        <v>50E</v>
      </c>
      <c r="C14" s="29" t="s">
        <v>6</v>
      </c>
      <c r="D14" s="78">
        <v>175</v>
      </c>
      <c r="E14" s="38">
        <v>3.98</v>
      </c>
      <c r="F14" s="38">
        <f t="shared" si="1"/>
        <v>0</v>
      </c>
      <c r="G14" s="151">
        <v>240</v>
      </c>
      <c r="H14" s="55">
        <f>F14*G14</f>
        <v>0</v>
      </c>
    </row>
    <row r="15" spans="1:8" x14ac:dyDescent="0.2">
      <c r="A15" s="13">
        <f t="shared" si="0"/>
        <v>7</v>
      </c>
      <c r="B15" s="63" t="str">
        <f>+B14</f>
        <v>50E</v>
      </c>
      <c r="C15" s="29" t="s">
        <v>6</v>
      </c>
      <c r="D15" s="78">
        <v>400</v>
      </c>
      <c r="E15" s="38">
        <v>9.1</v>
      </c>
      <c r="F15" s="38">
        <f t="shared" si="1"/>
        <v>0</v>
      </c>
      <c r="G15" s="151">
        <v>229</v>
      </c>
      <c r="H15" s="55">
        <f>F15*G15</f>
        <v>0</v>
      </c>
    </row>
    <row r="16" spans="1:8" x14ac:dyDescent="0.2">
      <c r="A16" s="13">
        <f t="shared" si="0"/>
        <v>8</v>
      </c>
      <c r="B16" s="63" t="str">
        <f>+B15</f>
        <v>50E</v>
      </c>
      <c r="C16" s="29" t="s">
        <v>6</v>
      </c>
      <c r="D16" s="78">
        <v>700</v>
      </c>
      <c r="E16" s="38">
        <v>15.93</v>
      </c>
      <c r="F16" s="38">
        <f t="shared" si="1"/>
        <v>0.01</v>
      </c>
      <c r="G16" s="151">
        <v>0</v>
      </c>
      <c r="H16" s="55">
        <f>F16*G16</f>
        <v>0</v>
      </c>
    </row>
    <row r="17" spans="1:8" x14ac:dyDescent="0.2">
      <c r="A17" s="13">
        <f t="shared" si="0"/>
        <v>9</v>
      </c>
      <c r="D17" s="39"/>
      <c r="E17" s="38"/>
      <c r="F17" s="38"/>
      <c r="G17" s="151"/>
      <c r="H17" s="29"/>
    </row>
    <row r="18" spans="1:8" ht="13.5" x14ac:dyDescent="0.35">
      <c r="A18" s="13">
        <f t="shared" si="0"/>
        <v>10</v>
      </c>
      <c r="B18" s="28" t="s">
        <v>47</v>
      </c>
      <c r="D18" s="39"/>
      <c r="E18" s="38"/>
      <c r="F18" s="38"/>
      <c r="G18" s="151"/>
      <c r="H18" s="29"/>
    </row>
    <row r="19" spans="1:8" x14ac:dyDescent="0.2">
      <c r="A19" s="13">
        <f t="shared" si="0"/>
        <v>11</v>
      </c>
      <c r="B19" s="63" t="s">
        <v>46</v>
      </c>
      <c r="C19" s="29" t="s">
        <v>22</v>
      </c>
      <c r="D19" s="39" t="s">
        <v>61</v>
      </c>
      <c r="E19" s="38">
        <v>0.33999999999999997</v>
      </c>
      <c r="F19" s="38">
        <f t="shared" ref="F19:F28" si="2">ROUND(E19*$H$168,2)</f>
        <v>0</v>
      </c>
      <c r="G19" s="151">
        <v>408</v>
      </c>
      <c r="H19" s="55">
        <f t="shared" ref="H19:H29" si="3">F19*G19</f>
        <v>0</v>
      </c>
    </row>
    <row r="20" spans="1:8" x14ac:dyDescent="0.2">
      <c r="A20" s="13">
        <f t="shared" si="0"/>
        <v>12</v>
      </c>
      <c r="B20" s="63" t="s">
        <v>46</v>
      </c>
      <c r="C20" s="29" t="s">
        <v>22</v>
      </c>
      <c r="D20" s="79" t="s">
        <v>60</v>
      </c>
      <c r="E20" s="38">
        <v>1.02</v>
      </c>
      <c r="F20" s="38">
        <f t="shared" si="2"/>
        <v>0</v>
      </c>
      <c r="G20" s="151">
        <v>62884</v>
      </c>
      <c r="H20" s="55">
        <f t="shared" si="3"/>
        <v>0</v>
      </c>
    </row>
    <row r="21" spans="1:8" x14ac:dyDescent="0.2">
      <c r="A21" s="13">
        <f t="shared" si="0"/>
        <v>13</v>
      </c>
      <c r="B21" s="63" t="s">
        <v>46</v>
      </c>
      <c r="C21" s="29" t="s">
        <v>22</v>
      </c>
      <c r="D21" s="78" t="s">
        <v>35</v>
      </c>
      <c r="E21" s="38">
        <v>1.7</v>
      </c>
      <c r="F21" s="38">
        <f t="shared" si="2"/>
        <v>0</v>
      </c>
      <c r="G21" s="151">
        <v>35897</v>
      </c>
      <c r="H21" s="55">
        <f t="shared" si="3"/>
        <v>0</v>
      </c>
    </row>
    <row r="22" spans="1:8" x14ac:dyDescent="0.2">
      <c r="A22" s="13">
        <f t="shared" si="0"/>
        <v>14</v>
      </c>
      <c r="B22" s="63" t="s">
        <v>46</v>
      </c>
      <c r="C22" s="29" t="s">
        <v>22</v>
      </c>
      <c r="D22" s="78" t="s">
        <v>34</v>
      </c>
      <c r="E22" s="38">
        <v>2.38</v>
      </c>
      <c r="F22" s="38">
        <f t="shared" si="2"/>
        <v>0</v>
      </c>
      <c r="G22" s="151">
        <v>15040</v>
      </c>
      <c r="H22" s="55">
        <f t="shared" si="3"/>
        <v>0</v>
      </c>
    </row>
    <row r="23" spans="1:8" x14ac:dyDescent="0.2">
      <c r="A23" s="13">
        <f t="shared" si="0"/>
        <v>15</v>
      </c>
      <c r="B23" s="63" t="s">
        <v>46</v>
      </c>
      <c r="C23" s="29" t="s">
        <v>22</v>
      </c>
      <c r="D23" s="78" t="s">
        <v>33</v>
      </c>
      <c r="E23" s="38">
        <v>3.0700000000000003</v>
      </c>
      <c r="F23" s="38">
        <f t="shared" si="2"/>
        <v>0</v>
      </c>
      <c r="G23" s="151">
        <v>7113</v>
      </c>
      <c r="H23" s="55">
        <f t="shared" si="3"/>
        <v>0</v>
      </c>
    </row>
    <row r="24" spans="1:8" x14ac:dyDescent="0.2">
      <c r="A24" s="13">
        <f t="shared" si="0"/>
        <v>16</v>
      </c>
      <c r="B24" s="63" t="s">
        <v>46</v>
      </c>
      <c r="C24" s="29" t="s">
        <v>22</v>
      </c>
      <c r="D24" s="78" t="s">
        <v>32</v>
      </c>
      <c r="E24" s="38">
        <v>3.75</v>
      </c>
      <c r="F24" s="38">
        <f t="shared" si="2"/>
        <v>0</v>
      </c>
      <c r="G24" s="151">
        <v>905</v>
      </c>
      <c r="H24" s="55">
        <f t="shared" si="3"/>
        <v>0</v>
      </c>
    </row>
    <row r="25" spans="1:8" x14ac:dyDescent="0.2">
      <c r="A25" s="13">
        <f t="shared" si="0"/>
        <v>17</v>
      </c>
      <c r="B25" s="63" t="s">
        <v>46</v>
      </c>
      <c r="C25" s="29" t="s">
        <v>22</v>
      </c>
      <c r="D25" s="78" t="s">
        <v>31</v>
      </c>
      <c r="E25" s="38">
        <v>4.43</v>
      </c>
      <c r="F25" s="38">
        <f t="shared" si="2"/>
        <v>0</v>
      </c>
      <c r="G25" s="151">
        <v>2319</v>
      </c>
      <c r="H25" s="55">
        <f t="shared" si="3"/>
        <v>0</v>
      </c>
    </row>
    <row r="26" spans="1:8" x14ac:dyDescent="0.2">
      <c r="A26" s="13">
        <f t="shared" si="0"/>
        <v>18</v>
      </c>
      <c r="B26" s="63" t="s">
        <v>46</v>
      </c>
      <c r="C26" s="29" t="s">
        <v>22</v>
      </c>
      <c r="D26" s="78" t="s">
        <v>30</v>
      </c>
      <c r="E26" s="38">
        <v>5.12</v>
      </c>
      <c r="F26" s="38">
        <f t="shared" si="2"/>
        <v>0</v>
      </c>
      <c r="G26" s="151">
        <v>959</v>
      </c>
      <c r="H26" s="55">
        <f t="shared" si="3"/>
        <v>0</v>
      </c>
    </row>
    <row r="27" spans="1:8" x14ac:dyDescent="0.2">
      <c r="A27" s="13">
        <f t="shared" si="0"/>
        <v>19</v>
      </c>
      <c r="B27" s="63" t="s">
        <v>46</v>
      </c>
      <c r="C27" s="29" t="s">
        <v>22</v>
      </c>
      <c r="D27" s="78" t="s">
        <v>29</v>
      </c>
      <c r="E27" s="38">
        <v>5.8</v>
      </c>
      <c r="F27" s="38">
        <f t="shared" si="2"/>
        <v>0</v>
      </c>
      <c r="G27" s="151">
        <v>74</v>
      </c>
      <c r="H27" s="55">
        <f t="shared" si="3"/>
        <v>0</v>
      </c>
    </row>
    <row r="28" spans="1:8" x14ac:dyDescent="0.2">
      <c r="A28" s="13">
        <f t="shared" si="0"/>
        <v>20</v>
      </c>
      <c r="B28" s="63" t="s">
        <v>46</v>
      </c>
      <c r="C28" s="29" t="s">
        <v>22</v>
      </c>
      <c r="D28" s="78" t="s">
        <v>28</v>
      </c>
      <c r="E28" s="38">
        <v>6.48</v>
      </c>
      <c r="F28" s="38">
        <f t="shared" si="2"/>
        <v>0</v>
      </c>
      <c r="G28" s="151">
        <v>947</v>
      </c>
      <c r="H28" s="55">
        <f t="shared" si="3"/>
        <v>0</v>
      </c>
    </row>
    <row r="29" spans="1:8" x14ac:dyDescent="0.2">
      <c r="A29" s="13">
        <f t="shared" si="0"/>
        <v>21</v>
      </c>
      <c r="B29" s="63" t="s">
        <v>121</v>
      </c>
      <c r="C29" s="29" t="s">
        <v>57</v>
      </c>
      <c r="D29" s="81" t="s">
        <v>58</v>
      </c>
      <c r="E29" s="14">
        <v>6.4988000000000004E-2</v>
      </c>
      <c r="F29" s="14">
        <f>ROUND(E29*$H$168,6)</f>
        <v>3.6000000000000001E-5</v>
      </c>
      <c r="G29" s="151">
        <v>152499</v>
      </c>
      <c r="H29" s="55">
        <f t="shared" si="3"/>
        <v>5.4899640000000005</v>
      </c>
    </row>
    <row r="30" spans="1:8" x14ac:dyDescent="0.2">
      <c r="A30" s="13">
        <f t="shared" si="0"/>
        <v>22</v>
      </c>
      <c r="D30" s="39"/>
      <c r="E30" s="38"/>
      <c r="F30" s="38"/>
      <c r="G30" s="151"/>
      <c r="H30" s="29"/>
    </row>
    <row r="31" spans="1:8" ht="13.5" x14ac:dyDescent="0.35">
      <c r="A31" s="13">
        <f t="shared" si="0"/>
        <v>23</v>
      </c>
      <c r="B31" s="28" t="s">
        <v>99</v>
      </c>
      <c r="D31" s="39"/>
      <c r="E31" s="38"/>
      <c r="F31" s="38"/>
      <c r="G31" s="151"/>
      <c r="H31" s="29"/>
    </row>
    <row r="32" spans="1:8" x14ac:dyDescent="0.2">
      <c r="A32" s="13">
        <f t="shared" si="0"/>
        <v>24</v>
      </c>
      <c r="B32" s="63" t="s">
        <v>45</v>
      </c>
      <c r="C32" s="29" t="s">
        <v>7</v>
      </c>
      <c r="D32" s="78">
        <v>50</v>
      </c>
      <c r="E32" s="38">
        <v>1.1299999999999999</v>
      </c>
      <c r="F32" s="38">
        <f t="shared" ref="F32:F39" si="4">ROUND(E32*$H$168,2)</f>
        <v>0</v>
      </c>
      <c r="G32" s="151">
        <v>0</v>
      </c>
      <c r="H32" s="55">
        <f t="shared" ref="H32:H39" si="5">F32*G32</f>
        <v>0</v>
      </c>
    </row>
    <row r="33" spans="1:8" x14ac:dyDescent="0.2">
      <c r="A33" s="13">
        <f t="shared" si="0"/>
        <v>25</v>
      </c>
      <c r="B33" s="63" t="str">
        <f t="shared" ref="B33:B39" si="6">+B32</f>
        <v xml:space="preserve">52E </v>
      </c>
      <c r="C33" s="29" t="s">
        <v>7</v>
      </c>
      <c r="D33" s="78">
        <v>70</v>
      </c>
      <c r="E33" s="38">
        <v>1.6</v>
      </c>
      <c r="F33" s="38">
        <f t="shared" si="4"/>
        <v>0</v>
      </c>
      <c r="G33" s="151">
        <v>7987</v>
      </c>
      <c r="H33" s="55">
        <f t="shared" si="5"/>
        <v>0</v>
      </c>
    </row>
    <row r="34" spans="1:8" x14ac:dyDescent="0.2">
      <c r="A34" s="13">
        <f t="shared" si="0"/>
        <v>26</v>
      </c>
      <c r="B34" s="63" t="str">
        <f t="shared" si="6"/>
        <v xml:space="preserve">52E </v>
      </c>
      <c r="C34" s="29" t="s">
        <v>7</v>
      </c>
      <c r="D34" s="78">
        <v>100</v>
      </c>
      <c r="E34" s="38">
        <v>2.2799999999999998</v>
      </c>
      <c r="F34" s="38">
        <f t="shared" si="4"/>
        <v>0</v>
      </c>
      <c r="G34" s="151">
        <v>112813</v>
      </c>
      <c r="H34" s="55">
        <f t="shared" si="5"/>
        <v>0</v>
      </c>
    </row>
    <row r="35" spans="1:8" x14ac:dyDescent="0.2">
      <c r="A35" s="13">
        <f t="shared" si="0"/>
        <v>27</v>
      </c>
      <c r="B35" s="63" t="str">
        <f t="shared" si="6"/>
        <v xml:space="preserve">52E </v>
      </c>
      <c r="C35" s="29" t="s">
        <v>7</v>
      </c>
      <c r="D35" s="78">
        <v>150</v>
      </c>
      <c r="E35" s="38">
        <v>3.41</v>
      </c>
      <c r="F35" s="38">
        <f t="shared" si="4"/>
        <v>0</v>
      </c>
      <c r="G35" s="151">
        <v>52631</v>
      </c>
      <c r="H35" s="55">
        <f t="shared" si="5"/>
        <v>0</v>
      </c>
    </row>
    <row r="36" spans="1:8" x14ac:dyDescent="0.2">
      <c r="A36" s="13">
        <f t="shared" si="0"/>
        <v>28</v>
      </c>
      <c r="B36" s="63" t="str">
        <f t="shared" si="6"/>
        <v xml:space="preserve">52E </v>
      </c>
      <c r="C36" s="29" t="s">
        <v>7</v>
      </c>
      <c r="D36" s="78">
        <v>200</v>
      </c>
      <c r="E36" s="38">
        <v>4.55</v>
      </c>
      <c r="F36" s="38">
        <f t="shared" si="4"/>
        <v>0</v>
      </c>
      <c r="G36" s="151">
        <v>10988</v>
      </c>
      <c r="H36" s="55">
        <f t="shared" si="5"/>
        <v>0</v>
      </c>
    </row>
    <row r="37" spans="1:8" x14ac:dyDescent="0.2">
      <c r="A37" s="13">
        <f t="shared" si="0"/>
        <v>29</v>
      </c>
      <c r="B37" s="63" t="str">
        <f t="shared" si="6"/>
        <v xml:space="preserve">52E </v>
      </c>
      <c r="C37" s="29" t="s">
        <v>7</v>
      </c>
      <c r="D37" s="78">
        <v>250</v>
      </c>
      <c r="E37" s="38">
        <v>5.68</v>
      </c>
      <c r="F37" s="38">
        <f t="shared" si="4"/>
        <v>0</v>
      </c>
      <c r="G37" s="151">
        <v>16314</v>
      </c>
      <c r="H37" s="55">
        <f t="shared" si="5"/>
        <v>0</v>
      </c>
    </row>
    <row r="38" spans="1:8" x14ac:dyDescent="0.2">
      <c r="A38" s="13">
        <f t="shared" si="0"/>
        <v>30</v>
      </c>
      <c r="B38" s="63" t="str">
        <f t="shared" si="6"/>
        <v xml:space="preserve">52E </v>
      </c>
      <c r="C38" s="29" t="s">
        <v>7</v>
      </c>
      <c r="D38" s="78">
        <v>310</v>
      </c>
      <c r="E38" s="38">
        <v>7.05</v>
      </c>
      <c r="F38" s="38">
        <f t="shared" si="4"/>
        <v>0</v>
      </c>
      <c r="G38" s="151">
        <v>1679</v>
      </c>
      <c r="H38" s="55">
        <f t="shared" si="5"/>
        <v>0</v>
      </c>
    </row>
    <row r="39" spans="1:8" x14ac:dyDescent="0.2">
      <c r="A39" s="13">
        <f t="shared" si="0"/>
        <v>31</v>
      </c>
      <c r="B39" s="63" t="str">
        <f t="shared" si="6"/>
        <v xml:space="preserve">52E </v>
      </c>
      <c r="C39" s="29" t="s">
        <v>7</v>
      </c>
      <c r="D39" s="78">
        <v>400</v>
      </c>
      <c r="E39" s="38">
        <v>9.1</v>
      </c>
      <c r="F39" s="38">
        <f t="shared" si="4"/>
        <v>0</v>
      </c>
      <c r="G39" s="151">
        <v>6867</v>
      </c>
      <c r="H39" s="55">
        <f t="shared" si="5"/>
        <v>0</v>
      </c>
    </row>
    <row r="40" spans="1:8" x14ac:dyDescent="0.2">
      <c r="A40" s="13">
        <f t="shared" si="0"/>
        <v>32</v>
      </c>
      <c r="B40" s="12"/>
      <c r="C40" s="29"/>
      <c r="D40" s="78"/>
      <c r="E40" s="38"/>
      <c r="F40" s="38"/>
      <c r="G40" s="151"/>
      <c r="H40" s="29"/>
    </row>
    <row r="41" spans="1:8" x14ac:dyDescent="0.2">
      <c r="A41" s="13">
        <f t="shared" si="0"/>
        <v>33</v>
      </c>
      <c r="B41" s="63" t="str">
        <f>+B36</f>
        <v xml:space="preserve">52E </v>
      </c>
      <c r="C41" s="29" t="s">
        <v>38</v>
      </c>
      <c r="D41" s="78">
        <v>70</v>
      </c>
      <c r="E41" s="38">
        <v>1.6</v>
      </c>
      <c r="F41" s="38">
        <f t="shared" ref="F41:F47" si="7">ROUND(E41*$H$168,2)</f>
        <v>0</v>
      </c>
      <c r="G41" s="151">
        <v>838</v>
      </c>
      <c r="H41" s="55">
        <f t="shared" ref="H41:H47" si="8">F41*G41</f>
        <v>0</v>
      </c>
    </row>
    <row r="42" spans="1:8" x14ac:dyDescent="0.2">
      <c r="A42" s="13">
        <f t="shared" ref="A42:A73" si="9">+A41+1</f>
        <v>34</v>
      </c>
      <c r="B42" s="63" t="str">
        <f>+B37</f>
        <v xml:space="preserve">52E </v>
      </c>
      <c r="C42" s="29" t="s">
        <v>38</v>
      </c>
      <c r="D42" s="78">
        <v>100</v>
      </c>
      <c r="E42" s="38">
        <v>2.2799999999999998</v>
      </c>
      <c r="F42" s="38">
        <f t="shared" si="7"/>
        <v>0</v>
      </c>
      <c r="G42" s="151">
        <v>50</v>
      </c>
      <c r="H42" s="55">
        <f t="shared" si="8"/>
        <v>0</v>
      </c>
    </row>
    <row r="43" spans="1:8" x14ac:dyDescent="0.2">
      <c r="A43" s="13">
        <f t="shared" si="9"/>
        <v>35</v>
      </c>
      <c r="B43" s="63" t="str">
        <f>+B38</f>
        <v xml:space="preserve">52E </v>
      </c>
      <c r="C43" s="29" t="s">
        <v>38</v>
      </c>
      <c r="D43" s="78">
        <v>150</v>
      </c>
      <c r="E43" s="38">
        <v>3.41</v>
      </c>
      <c r="F43" s="38">
        <f t="shared" si="7"/>
        <v>0</v>
      </c>
      <c r="G43" s="151">
        <v>2364</v>
      </c>
      <c r="H43" s="55">
        <f t="shared" si="8"/>
        <v>0</v>
      </c>
    </row>
    <row r="44" spans="1:8" x14ac:dyDescent="0.2">
      <c r="A44" s="13">
        <f t="shared" si="9"/>
        <v>36</v>
      </c>
      <c r="B44" s="63" t="str">
        <f>+B39</f>
        <v xml:space="preserve">52E </v>
      </c>
      <c r="C44" s="29" t="s">
        <v>38</v>
      </c>
      <c r="D44" s="78">
        <v>175</v>
      </c>
      <c r="E44" s="38">
        <v>3.98</v>
      </c>
      <c r="F44" s="38">
        <f t="shared" si="7"/>
        <v>0</v>
      </c>
      <c r="G44" s="151">
        <v>2450</v>
      </c>
      <c r="H44" s="55">
        <f t="shared" si="8"/>
        <v>0</v>
      </c>
    </row>
    <row r="45" spans="1:8" x14ac:dyDescent="0.2">
      <c r="A45" s="13">
        <f t="shared" si="9"/>
        <v>37</v>
      </c>
      <c r="B45" s="63" t="str">
        <f t="shared" ref="B45:C47" si="10">+B44</f>
        <v xml:space="preserve">52E </v>
      </c>
      <c r="C45" s="29" t="str">
        <f t="shared" si="10"/>
        <v>Metal Halide</v>
      </c>
      <c r="D45" s="78">
        <v>250</v>
      </c>
      <c r="E45" s="38">
        <v>5.68</v>
      </c>
      <c r="F45" s="38">
        <f t="shared" si="7"/>
        <v>0</v>
      </c>
      <c r="G45" s="151">
        <v>404</v>
      </c>
      <c r="H45" s="55">
        <f t="shared" si="8"/>
        <v>0</v>
      </c>
    </row>
    <row r="46" spans="1:8" x14ac:dyDescent="0.2">
      <c r="A46" s="13">
        <f t="shared" si="9"/>
        <v>38</v>
      </c>
      <c r="B46" s="63" t="str">
        <f t="shared" si="10"/>
        <v xml:space="preserve">52E </v>
      </c>
      <c r="C46" s="29" t="str">
        <f t="shared" si="10"/>
        <v>Metal Halide</v>
      </c>
      <c r="D46" s="78">
        <v>400</v>
      </c>
      <c r="E46" s="38">
        <v>9.1</v>
      </c>
      <c r="F46" s="38">
        <f t="shared" si="7"/>
        <v>0</v>
      </c>
      <c r="G46" s="151">
        <v>684</v>
      </c>
      <c r="H46" s="55">
        <f t="shared" si="8"/>
        <v>0</v>
      </c>
    </row>
    <row r="47" spans="1:8" x14ac:dyDescent="0.2">
      <c r="A47" s="13">
        <f t="shared" si="9"/>
        <v>39</v>
      </c>
      <c r="B47" s="63" t="str">
        <f t="shared" si="10"/>
        <v xml:space="preserve">52E </v>
      </c>
      <c r="C47" s="29" t="str">
        <f t="shared" si="10"/>
        <v>Metal Halide</v>
      </c>
      <c r="D47" s="78">
        <v>1000</v>
      </c>
      <c r="E47" s="38">
        <v>22.74</v>
      </c>
      <c r="F47" s="38">
        <f t="shared" si="7"/>
        <v>0.01</v>
      </c>
      <c r="G47" s="151">
        <v>216</v>
      </c>
      <c r="H47" s="55">
        <f t="shared" si="8"/>
        <v>2.16</v>
      </c>
    </row>
    <row r="48" spans="1:8" x14ac:dyDescent="0.2">
      <c r="A48" s="13">
        <f t="shared" si="9"/>
        <v>40</v>
      </c>
      <c r="D48" s="39"/>
      <c r="E48" s="38"/>
      <c r="F48" s="38"/>
      <c r="G48" s="151"/>
      <c r="H48" s="29"/>
    </row>
    <row r="49" spans="1:8" ht="13.5" x14ac:dyDescent="0.35">
      <c r="A49" s="13">
        <f t="shared" si="9"/>
        <v>41</v>
      </c>
      <c r="B49" s="28" t="s">
        <v>96</v>
      </c>
      <c r="D49" s="39"/>
      <c r="E49" s="38"/>
      <c r="F49" s="38"/>
      <c r="G49" s="151"/>
      <c r="H49" s="29"/>
    </row>
    <row r="50" spans="1:8" x14ac:dyDescent="0.2">
      <c r="A50" s="13">
        <f t="shared" si="9"/>
        <v>42</v>
      </c>
      <c r="B50" s="63" t="s">
        <v>63</v>
      </c>
      <c r="C50" s="29" t="s">
        <v>7</v>
      </c>
      <c r="D50" s="78">
        <v>50</v>
      </c>
      <c r="E50" s="38">
        <v>1.1299999999999999</v>
      </c>
      <c r="F50" s="38">
        <f t="shared" ref="F50:F58" si="11">ROUND(E50*$H$168,2)</f>
        <v>0</v>
      </c>
      <c r="G50" s="151">
        <v>0</v>
      </c>
      <c r="H50" s="55">
        <f t="shared" ref="H50:H58" si="12">F50*G50</f>
        <v>0</v>
      </c>
    </row>
    <row r="51" spans="1:8" x14ac:dyDescent="0.2">
      <c r="A51" s="13">
        <f t="shared" si="9"/>
        <v>43</v>
      </c>
      <c r="B51" s="63" t="str">
        <f t="shared" ref="B51:B58" si="13">+B50</f>
        <v>53E</v>
      </c>
      <c r="C51" s="29" t="s">
        <v>7</v>
      </c>
      <c r="D51" s="78">
        <v>70</v>
      </c>
      <c r="E51" s="38">
        <v>1.6</v>
      </c>
      <c r="F51" s="38">
        <f t="shared" si="11"/>
        <v>0</v>
      </c>
      <c r="G51" s="151">
        <v>42559</v>
      </c>
      <c r="H51" s="55">
        <f t="shared" si="12"/>
        <v>0</v>
      </c>
    </row>
    <row r="52" spans="1:8" x14ac:dyDescent="0.2">
      <c r="A52" s="13">
        <f t="shared" si="9"/>
        <v>44</v>
      </c>
      <c r="B52" s="63" t="str">
        <f t="shared" si="13"/>
        <v>53E</v>
      </c>
      <c r="C52" s="29" t="s">
        <v>7</v>
      </c>
      <c r="D52" s="78">
        <v>100</v>
      </c>
      <c r="E52" s="38">
        <v>2.2799999999999998</v>
      </c>
      <c r="F52" s="38">
        <f t="shared" si="11"/>
        <v>0</v>
      </c>
      <c r="G52" s="151">
        <v>325021</v>
      </c>
      <c r="H52" s="55">
        <f t="shared" si="12"/>
        <v>0</v>
      </c>
    </row>
    <row r="53" spans="1:8" x14ac:dyDescent="0.2">
      <c r="A53" s="13">
        <f t="shared" si="9"/>
        <v>45</v>
      </c>
      <c r="B53" s="63" t="str">
        <f t="shared" si="13"/>
        <v>53E</v>
      </c>
      <c r="C53" s="29" t="s">
        <v>7</v>
      </c>
      <c r="D53" s="78">
        <v>150</v>
      </c>
      <c r="E53" s="38">
        <v>3.41</v>
      </c>
      <c r="F53" s="38">
        <f t="shared" si="11"/>
        <v>0</v>
      </c>
      <c r="G53" s="151">
        <v>39168</v>
      </c>
      <c r="H53" s="55">
        <f t="shared" si="12"/>
        <v>0</v>
      </c>
    </row>
    <row r="54" spans="1:8" x14ac:dyDescent="0.2">
      <c r="A54" s="13">
        <f t="shared" si="9"/>
        <v>46</v>
      </c>
      <c r="B54" s="63" t="str">
        <f t="shared" si="13"/>
        <v>53E</v>
      </c>
      <c r="C54" s="29" t="s">
        <v>7</v>
      </c>
      <c r="D54" s="78">
        <v>200</v>
      </c>
      <c r="E54" s="38">
        <v>4.55</v>
      </c>
      <c r="F54" s="38">
        <f t="shared" si="11"/>
        <v>0</v>
      </c>
      <c r="G54" s="151">
        <v>52444</v>
      </c>
      <c r="H54" s="55">
        <f t="shared" si="12"/>
        <v>0</v>
      </c>
    </row>
    <row r="55" spans="1:8" x14ac:dyDescent="0.2">
      <c r="A55" s="13">
        <f t="shared" si="9"/>
        <v>47</v>
      </c>
      <c r="B55" s="63" t="str">
        <f t="shared" si="13"/>
        <v>53E</v>
      </c>
      <c r="C55" s="29" t="s">
        <v>7</v>
      </c>
      <c r="D55" s="78">
        <v>250</v>
      </c>
      <c r="E55" s="38">
        <v>5.68</v>
      </c>
      <c r="F55" s="38">
        <f t="shared" si="11"/>
        <v>0</v>
      </c>
      <c r="G55" s="151">
        <v>20979</v>
      </c>
      <c r="H55" s="55">
        <f t="shared" si="12"/>
        <v>0</v>
      </c>
    </row>
    <row r="56" spans="1:8" x14ac:dyDescent="0.2">
      <c r="A56" s="13">
        <f t="shared" si="9"/>
        <v>48</v>
      </c>
      <c r="B56" s="63" t="str">
        <f t="shared" si="13"/>
        <v>53E</v>
      </c>
      <c r="C56" s="29" t="s">
        <v>7</v>
      </c>
      <c r="D56" s="78">
        <v>310</v>
      </c>
      <c r="E56" s="38">
        <v>7.05</v>
      </c>
      <c r="F56" s="38">
        <f t="shared" si="11"/>
        <v>0</v>
      </c>
      <c r="G56" s="151">
        <v>235</v>
      </c>
      <c r="H56" s="55">
        <f t="shared" si="12"/>
        <v>0</v>
      </c>
    </row>
    <row r="57" spans="1:8" x14ac:dyDescent="0.2">
      <c r="A57" s="13">
        <f t="shared" si="9"/>
        <v>49</v>
      </c>
      <c r="B57" s="63" t="str">
        <f t="shared" si="13"/>
        <v>53E</v>
      </c>
      <c r="C57" s="29" t="s">
        <v>7</v>
      </c>
      <c r="D57" s="78">
        <v>400</v>
      </c>
      <c r="E57" s="38">
        <v>9.1</v>
      </c>
      <c r="F57" s="38">
        <f t="shared" si="11"/>
        <v>0</v>
      </c>
      <c r="G57" s="151">
        <v>14431</v>
      </c>
      <c r="H57" s="55">
        <f t="shared" si="12"/>
        <v>0</v>
      </c>
    </row>
    <row r="58" spans="1:8" x14ac:dyDescent="0.2">
      <c r="A58" s="13">
        <f t="shared" si="9"/>
        <v>50</v>
      </c>
      <c r="B58" s="63" t="str">
        <f t="shared" si="13"/>
        <v>53E</v>
      </c>
      <c r="C58" s="29" t="s">
        <v>7</v>
      </c>
      <c r="D58" s="78">
        <v>1000</v>
      </c>
      <c r="E58" s="38">
        <v>22.74</v>
      </c>
      <c r="F58" s="38">
        <f t="shared" si="11"/>
        <v>0.01</v>
      </c>
      <c r="G58" s="151">
        <v>0</v>
      </c>
      <c r="H58" s="55">
        <f t="shared" si="12"/>
        <v>0</v>
      </c>
    </row>
    <row r="59" spans="1:8" x14ac:dyDescent="0.2">
      <c r="A59" s="13">
        <f t="shared" si="9"/>
        <v>51</v>
      </c>
      <c r="B59" s="63"/>
      <c r="C59" s="29"/>
      <c r="D59" s="78"/>
      <c r="E59" s="38"/>
      <c r="F59" s="38"/>
      <c r="G59" s="151"/>
      <c r="H59" s="29"/>
    </row>
    <row r="60" spans="1:8" x14ac:dyDescent="0.2">
      <c r="A60" s="13">
        <f t="shared" si="9"/>
        <v>52</v>
      </c>
      <c r="B60" s="63" t="str">
        <f>+B58</f>
        <v>53E</v>
      </c>
      <c r="C60" s="29" t="s">
        <v>38</v>
      </c>
      <c r="D60" s="78">
        <v>70</v>
      </c>
      <c r="E60" s="38">
        <v>1.6</v>
      </c>
      <c r="F60" s="38">
        <f t="shared" ref="F60:F65" si="14">ROUND(E60*$H$168,2)</f>
        <v>0</v>
      </c>
      <c r="G60" s="151">
        <v>0</v>
      </c>
      <c r="H60" s="55">
        <f t="shared" ref="H60:H65" si="15">F60*G60</f>
        <v>0</v>
      </c>
    </row>
    <row r="61" spans="1:8" x14ac:dyDescent="0.2">
      <c r="A61" s="13">
        <f t="shared" si="9"/>
        <v>53</v>
      </c>
      <c r="B61" s="63" t="str">
        <f>+B60</f>
        <v>53E</v>
      </c>
      <c r="C61" s="29" t="s">
        <v>38</v>
      </c>
      <c r="D61" s="78">
        <v>100</v>
      </c>
      <c r="E61" s="38">
        <v>2.2799999999999998</v>
      </c>
      <c r="F61" s="38">
        <f t="shared" si="14"/>
        <v>0</v>
      </c>
      <c r="G61" s="151">
        <v>0</v>
      </c>
      <c r="H61" s="55">
        <f t="shared" si="15"/>
        <v>0</v>
      </c>
    </row>
    <row r="62" spans="1:8" x14ac:dyDescent="0.2">
      <c r="A62" s="13">
        <f t="shared" si="9"/>
        <v>54</v>
      </c>
      <c r="B62" s="63" t="str">
        <f>+B61</f>
        <v>53E</v>
      </c>
      <c r="C62" s="29" t="s">
        <v>38</v>
      </c>
      <c r="D62" s="78">
        <v>150</v>
      </c>
      <c r="E62" s="38">
        <v>3.41</v>
      </c>
      <c r="F62" s="38">
        <f t="shared" si="14"/>
        <v>0</v>
      </c>
      <c r="G62" s="151">
        <v>0</v>
      </c>
      <c r="H62" s="55">
        <f t="shared" si="15"/>
        <v>0</v>
      </c>
    </row>
    <row r="63" spans="1:8" x14ac:dyDescent="0.2">
      <c r="A63" s="13">
        <f t="shared" si="9"/>
        <v>55</v>
      </c>
      <c r="B63" s="63" t="str">
        <f>+B62</f>
        <v>53E</v>
      </c>
      <c r="C63" s="29" t="s">
        <v>38</v>
      </c>
      <c r="D63" s="78">
        <v>175</v>
      </c>
      <c r="E63" s="38">
        <v>3.98</v>
      </c>
      <c r="F63" s="38">
        <f t="shared" si="14"/>
        <v>0</v>
      </c>
      <c r="G63" s="151">
        <v>48</v>
      </c>
      <c r="H63" s="55">
        <f t="shared" si="15"/>
        <v>0</v>
      </c>
    </row>
    <row r="64" spans="1:8" x14ac:dyDescent="0.2">
      <c r="A64" s="13">
        <f t="shared" si="9"/>
        <v>56</v>
      </c>
      <c r="B64" s="63" t="str">
        <f>+B63</f>
        <v>53E</v>
      </c>
      <c r="C64" s="29" t="s">
        <v>38</v>
      </c>
      <c r="D64" s="78">
        <v>250</v>
      </c>
      <c r="E64" s="38">
        <v>5.68</v>
      </c>
      <c r="F64" s="38">
        <f t="shared" si="14"/>
        <v>0</v>
      </c>
      <c r="G64" s="151">
        <v>0</v>
      </c>
      <c r="H64" s="55">
        <f t="shared" si="15"/>
        <v>0</v>
      </c>
    </row>
    <row r="65" spans="1:8" x14ac:dyDescent="0.2">
      <c r="A65" s="13">
        <f t="shared" si="9"/>
        <v>57</v>
      </c>
      <c r="B65" s="63" t="str">
        <f>+B64</f>
        <v>53E</v>
      </c>
      <c r="C65" s="29" t="s">
        <v>38</v>
      </c>
      <c r="D65" s="78">
        <v>400</v>
      </c>
      <c r="E65" s="38">
        <v>9.1</v>
      </c>
      <c r="F65" s="38">
        <f t="shared" si="14"/>
        <v>0</v>
      </c>
      <c r="G65" s="151">
        <v>0</v>
      </c>
      <c r="H65" s="55">
        <f t="shared" si="15"/>
        <v>0</v>
      </c>
    </row>
    <row r="66" spans="1:8" x14ac:dyDescent="0.2">
      <c r="A66" s="13">
        <f t="shared" si="9"/>
        <v>58</v>
      </c>
      <c r="B66" s="63"/>
      <c r="C66" s="29"/>
      <c r="D66" s="78"/>
      <c r="E66" s="38"/>
      <c r="F66" s="38"/>
      <c r="G66" s="151"/>
      <c r="H66" s="29"/>
    </row>
    <row r="67" spans="1:8" x14ac:dyDescent="0.2">
      <c r="A67" s="13">
        <f t="shared" si="9"/>
        <v>59</v>
      </c>
      <c r="B67" s="63" t="str">
        <f>+B64</f>
        <v>53E</v>
      </c>
      <c r="C67" s="29" t="s">
        <v>22</v>
      </c>
      <c r="D67" s="39" t="s">
        <v>61</v>
      </c>
      <c r="E67" s="38">
        <v>0.33999999999999997</v>
      </c>
      <c r="F67" s="38">
        <f t="shared" ref="F67:F76" si="16">ROUND(E67*$H$168,2)</f>
        <v>0</v>
      </c>
      <c r="G67" s="151">
        <v>1595</v>
      </c>
      <c r="H67" s="55">
        <f t="shared" ref="H67:H77" si="17">F67*G67</f>
        <v>0</v>
      </c>
    </row>
    <row r="68" spans="1:8" x14ac:dyDescent="0.2">
      <c r="A68" s="13">
        <f t="shared" si="9"/>
        <v>60</v>
      </c>
      <c r="B68" s="63" t="str">
        <f>+B65</f>
        <v>53E</v>
      </c>
      <c r="C68" s="29" t="s">
        <v>22</v>
      </c>
      <c r="D68" s="79" t="s">
        <v>60</v>
      </c>
      <c r="E68" s="38">
        <v>1.02</v>
      </c>
      <c r="F68" s="38">
        <f t="shared" si="16"/>
        <v>0</v>
      </c>
      <c r="G68" s="151">
        <v>230234</v>
      </c>
      <c r="H68" s="55">
        <f t="shared" si="17"/>
        <v>0</v>
      </c>
    </row>
    <row r="69" spans="1:8" x14ac:dyDescent="0.2">
      <c r="A69" s="13">
        <f t="shared" si="9"/>
        <v>61</v>
      </c>
      <c r="B69" s="63" t="str">
        <f t="shared" ref="B69:B76" si="18">B68</f>
        <v>53E</v>
      </c>
      <c r="C69" s="29" t="s">
        <v>22</v>
      </c>
      <c r="D69" s="78" t="s">
        <v>35</v>
      </c>
      <c r="E69" s="38">
        <v>1.7</v>
      </c>
      <c r="F69" s="38">
        <f t="shared" si="16"/>
        <v>0</v>
      </c>
      <c r="G69" s="151">
        <v>14998</v>
      </c>
      <c r="H69" s="55">
        <f t="shared" si="17"/>
        <v>0</v>
      </c>
    </row>
    <row r="70" spans="1:8" x14ac:dyDescent="0.2">
      <c r="A70" s="13">
        <f t="shared" si="9"/>
        <v>62</v>
      </c>
      <c r="B70" s="63" t="str">
        <f t="shared" si="18"/>
        <v>53E</v>
      </c>
      <c r="C70" s="29" t="s">
        <v>22</v>
      </c>
      <c r="D70" s="78" t="s">
        <v>34</v>
      </c>
      <c r="E70" s="38">
        <v>2.38</v>
      </c>
      <c r="F70" s="38">
        <f t="shared" si="16"/>
        <v>0</v>
      </c>
      <c r="G70" s="151">
        <v>34477</v>
      </c>
      <c r="H70" s="55">
        <f t="shared" si="17"/>
        <v>0</v>
      </c>
    </row>
    <row r="71" spans="1:8" x14ac:dyDescent="0.2">
      <c r="A71" s="13">
        <f t="shared" si="9"/>
        <v>63</v>
      </c>
      <c r="B71" s="63" t="str">
        <f t="shared" si="18"/>
        <v>53E</v>
      </c>
      <c r="C71" s="29" t="s">
        <v>22</v>
      </c>
      <c r="D71" s="78" t="s">
        <v>33</v>
      </c>
      <c r="E71" s="38">
        <v>3.0700000000000003</v>
      </c>
      <c r="F71" s="38">
        <f t="shared" si="16"/>
        <v>0</v>
      </c>
      <c r="G71" s="151">
        <v>21256</v>
      </c>
      <c r="H71" s="55">
        <f t="shared" si="17"/>
        <v>0</v>
      </c>
    </row>
    <row r="72" spans="1:8" x14ac:dyDescent="0.2">
      <c r="A72" s="13">
        <f t="shared" si="9"/>
        <v>64</v>
      </c>
      <c r="B72" s="63" t="str">
        <f t="shared" si="18"/>
        <v>53E</v>
      </c>
      <c r="C72" s="29" t="s">
        <v>22</v>
      </c>
      <c r="D72" s="78" t="s">
        <v>32</v>
      </c>
      <c r="E72" s="38">
        <v>3.75</v>
      </c>
      <c r="F72" s="38">
        <f t="shared" si="16"/>
        <v>0</v>
      </c>
      <c r="G72" s="151">
        <v>17354</v>
      </c>
      <c r="H72" s="55">
        <f t="shared" si="17"/>
        <v>0</v>
      </c>
    </row>
    <row r="73" spans="1:8" x14ac:dyDescent="0.2">
      <c r="A73" s="13">
        <f t="shared" si="9"/>
        <v>65</v>
      </c>
      <c r="B73" s="63" t="str">
        <f t="shared" si="18"/>
        <v>53E</v>
      </c>
      <c r="C73" s="29" t="s">
        <v>22</v>
      </c>
      <c r="D73" s="78" t="s">
        <v>31</v>
      </c>
      <c r="E73" s="38">
        <v>4.43</v>
      </c>
      <c r="F73" s="38">
        <f t="shared" si="16"/>
        <v>0</v>
      </c>
      <c r="G73" s="151">
        <v>5552</v>
      </c>
      <c r="H73" s="55">
        <f t="shared" si="17"/>
        <v>0</v>
      </c>
    </row>
    <row r="74" spans="1:8" x14ac:dyDescent="0.2">
      <c r="A74" s="13">
        <f t="shared" ref="A74:A105" si="19">+A73+1</f>
        <v>66</v>
      </c>
      <c r="B74" s="63" t="str">
        <f t="shared" si="18"/>
        <v>53E</v>
      </c>
      <c r="C74" s="29" t="s">
        <v>22</v>
      </c>
      <c r="D74" s="78" t="s">
        <v>30</v>
      </c>
      <c r="E74" s="38">
        <v>5.12</v>
      </c>
      <c r="F74" s="38">
        <f t="shared" si="16"/>
        <v>0</v>
      </c>
      <c r="G74" s="151">
        <v>778</v>
      </c>
      <c r="H74" s="55">
        <f t="shared" si="17"/>
        <v>0</v>
      </c>
    </row>
    <row r="75" spans="1:8" x14ac:dyDescent="0.2">
      <c r="A75" s="13">
        <f t="shared" si="19"/>
        <v>67</v>
      </c>
      <c r="B75" s="63" t="str">
        <f t="shared" si="18"/>
        <v>53E</v>
      </c>
      <c r="C75" s="29" t="s">
        <v>22</v>
      </c>
      <c r="D75" s="78" t="s">
        <v>29</v>
      </c>
      <c r="E75" s="38">
        <v>5.8</v>
      </c>
      <c r="F75" s="38">
        <f t="shared" si="16"/>
        <v>0</v>
      </c>
      <c r="G75" s="151">
        <v>290</v>
      </c>
      <c r="H75" s="55">
        <f t="shared" si="17"/>
        <v>0</v>
      </c>
    </row>
    <row r="76" spans="1:8" x14ac:dyDescent="0.2">
      <c r="A76" s="13">
        <f t="shared" si="19"/>
        <v>68</v>
      </c>
      <c r="B76" s="63" t="str">
        <f t="shared" si="18"/>
        <v>53E</v>
      </c>
      <c r="C76" s="29" t="s">
        <v>22</v>
      </c>
      <c r="D76" s="78" t="s">
        <v>28</v>
      </c>
      <c r="E76" s="38">
        <v>6.48</v>
      </c>
      <c r="F76" s="38">
        <f t="shared" si="16"/>
        <v>0</v>
      </c>
      <c r="G76" s="151">
        <v>1790</v>
      </c>
      <c r="H76" s="55">
        <f t="shared" si="17"/>
        <v>0</v>
      </c>
    </row>
    <row r="77" spans="1:8" x14ac:dyDescent="0.2">
      <c r="A77" s="13">
        <f t="shared" si="19"/>
        <v>69</v>
      </c>
      <c r="B77" s="63" t="s">
        <v>120</v>
      </c>
      <c r="C77" s="29" t="s">
        <v>57</v>
      </c>
      <c r="D77" s="81" t="s">
        <v>58</v>
      </c>
      <c r="E77" s="14">
        <v>6.4988000000000004E-2</v>
      </c>
      <c r="F77" s="14">
        <f>ROUND(E77*$H$168,6)</f>
        <v>3.6000000000000001E-5</v>
      </c>
      <c r="G77" s="151">
        <v>2016760</v>
      </c>
      <c r="H77" s="55">
        <f t="shared" si="17"/>
        <v>72.603359999999995</v>
      </c>
    </row>
    <row r="78" spans="1:8" x14ac:dyDescent="0.2">
      <c r="A78" s="13">
        <f t="shared" si="19"/>
        <v>70</v>
      </c>
      <c r="B78" s="64"/>
      <c r="C78" s="29"/>
      <c r="D78" s="78"/>
      <c r="E78" s="38"/>
      <c r="F78" s="38"/>
      <c r="G78" s="151"/>
      <c r="H78" s="29"/>
    </row>
    <row r="79" spans="1:8" ht="13.5" x14ac:dyDescent="0.35">
      <c r="A79" s="13">
        <f t="shared" si="19"/>
        <v>71</v>
      </c>
      <c r="B79" s="28" t="s">
        <v>90</v>
      </c>
      <c r="D79" s="39"/>
      <c r="E79" s="38"/>
      <c r="F79" s="38"/>
      <c r="G79" s="151"/>
      <c r="H79" s="29"/>
    </row>
    <row r="80" spans="1:8" x14ac:dyDescent="0.2">
      <c r="A80" s="13">
        <f t="shared" si="19"/>
        <v>72</v>
      </c>
      <c r="B80" s="63" t="s">
        <v>44</v>
      </c>
      <c r="C80" s="29" t="s">
        <v>7</v>
      </c>
      <c r="D80" s="78">
        <v>50</v>
      </c>
      <c r="E80" s="38">
        <v>1.1299999999999999</v>
      </c>
      <c r="F80" s="38">
        <f t="shared" ref="F80:F88" si="20">ROUND(E80*$H$168,2)</f>
        <v>0</v>
      </c>
      <c r="G80" s="151">
        <v>422</v>
      </c>
      <c r="H80" s="55">
        <f t="shared" ref="H80:H88" si="21">F80*G80</f>
        <v>0</v>
      </c>
    </row>
    <row r="81" spans="1:8" x14ac:dyDescent="0.2">
      <c r="A81" s="13">
        <f t="shared" si="19"/>
        <v>73</v>
      </c>
      <c r="B81" s="63" t="str">
        <f t="shared" ref="B81:B88" si="22">+B80</f>
        <v>54E</v>
      </c>
      <c r="C81" s="29" t="s">
        <v>7</v>
      </c>
      <c r="D81" s="78">
        <v>70</v>
      </c>
      <c r="E81" s="38">
        <v>1.6</v>
      </c>
      <c r="F81" s="38">
        <f t="shared" si="20"/>
        <v>0</v>
      </c>
      <c r="G81" s="151">
        <v>1778</v>
      </c>
      <c r="H81" s="55">
        <f t="shared" si="21"/>
        <v>0</v>
      </c>
    </row>
    <row r="82" spans="1:8" x14ac:dyDescent="0.2">
      <c r="A82" s="13">
        <f t="shared" si="19"/>
        <v>74</v>
      </c>
      <c r="B82" s="63" t="str">
        <f t="shared" si="22"/>
        <v>54E</v>
      </c>
      <c r="C82" s="29" t="s">
        <v>7</v>
      </c>
      <c r="D82" s="78">
        <v>100</v>
      </c>
      <c r="E82" s="38">
        <v>2.2799999999999998</v>
      </c>
      <c r="F82" s="38">
        <f t="shared" si="20"/>
        <v>0</v>
      </c>
      <c r="G82" s="151">
        <v>9944</v>
      </c>
      <c r="H82" s="55">
        <f t="shared" si="21"/>
        <v>0</v>
      </c>
    </row>
    <row r="83" spans="1:8" x14ac:dyDescent="0.2">
      <c r="A83" s="13">
        <f t="shared" si="19"/>
        <v>75</v>
      </c>
      <c r="B83" s="63" t="str">
        <f t="shared" si="22"/>
        <v>54E</v>
      </c>
      <c r="C83" s="29" t="s">
        <v>7</v>
      </c>
      <c r="D83" s="78">
        <v>150</v>
      </c>
      <c r="E83" s="38">
        <v>3.41</v>
      </c>
      <c r="F83" s="38">
        <f t="shared" si="20"/>
        <v>0</v>
      </c>
      <c r="G83" s="151">
        <v>3449</v>
      </c>
      <c r="H83" s="55">
        <f t="shared" si="21"/>
        <v>0</v>
      </c>
    </row>
    <row r="84" spans="1:8" x14ac:dyDescent="0.2">
      <c r="A84" s="13">
        <f t="shared" si="19"/>
        <v>76</v>
      </c>
      <c r="B84" s="63" t="str">
        <f t="shared" si="22"/>
        <v>54E</v>
      </c>
      <c r="C84" s="29" t="s">
        <v>7</v>
      </c>
      <c r="D84" s="78">
        <v>200</v>
      </c>
      <c r="E84" s="38">
        <v>4.55</v>
      </c>
      <c r="F84" s="38">
        <f t="shared" si="20"/>
        <v>0</v>
      </c>
      <c r="G84" s="151">
        <v>3300</v>
      </c>
      <c r="H84" s="55">
        <f t="shared" si="21"/>
        <v>0</v>
      </c>
    </row>
    <row r="85" spans="1:8" x14ac:dyDescent="0.2">
      <c r="A85" s="13">
        <f t="shared" si="19"/>
        <v>77</v>
      </c>
      <c r="B85" s="63" t="str">
        <f t="shared" si="22"/>
        <v>54E</v>
      </c>
      <c r="C85" s="29" t="s">
        <v>7</v>
      </c>
      <c r="D85" s="78">
        <v>250</v>
      </c>
      <c r="E85" s="38">
        <v>5.68</v>
      </c>
      <c r="F85" s="38">
        <f t="shared" si="20"/>
        <v>0</v>
      </c>
      <c r="G85" s="151">
        <v>3581</v>
      </c>
      <c r="H85" s="55">
        <f t="shared" si="21"/>
        <v>0</v>
      </c>
    </row>
    <row r="86" spans="1:8" x14ac:dyDescent="0.2">
      <c r="A86" s="13">
        <f t="shared" si="19"/>
        <v>78</v>
      </c>
      <c r="B86" s="63" t="str">
        <f t="shared" si="22"/>
        <v>54E</v>
      </c>
      <c r="C86" s="29" t="s">
        <v>7</v>
      </c>
      <c r="D86" s="78">
        <v>310</v>
      </c>
      <c r="E86" s="38">
        <v>7.05</v>
      </c>
      <c r="F86" s="38">
        <f t="shared" si="20"/>
        <v>0</v>
      </c>
      <c r="G86" s="151">
        <v>670</v>
      </c>
      <c r="H86" s="55">
        <f t="shared" si="21"/>
        <v>0</v>
      </c>
    </row>
    <row r="87" spans="1:8" x14ac:dyDescent="0.2">
      <c r="A87" s="13">
        <f t="shared" si="19"/>
        <v>79</v>
      </c>
      <c r="B87" s="63" t="str">
        <f t="shared" si="22"/>
        <v>54E</v>
      </c>
      <c r="C87" s="29" t="s">
        <v>7</v>
      </c>
      <c r="D87" s="78">
        <v>400</v>
      </c>
      <c r="E87" s="38">
        <v>9.1</v>
      </c>
      <c r="F87" s="38">
        <f t="shared" si="20"/>
        <v>0</v>
      </c>
      <c r="G87" s="151">
        <v>6770</v>
      </c>
      <c r="H87" s="55">
        <f t="shared" si="21"/>
        <v>0</v>
      </c>
    </row>
    <row r="88" spans="1:8" x14ac:dyDescent="0.2">
      <c r="A88" s="13">
        <f t="shared" si="19"/>
        <v>80</v>
      </c>
      <c r="B88" s="63" t="str">
        <f t="shared" si="22"/>
        <v>54E</v>
      </c>
      <c r="C88" s="29" t="s">
        <v>7</v>
      </c>
      <c r="D88" s="78">
        <v>1000</v>
      </c>
      <c r="E88" s="38">
        <v>22.74</v>
      </c>
      <c r="F88" s="38">
        <f t="shared" si="20"/>
        <v>0.01</v>
      </c>
      <c r="G88" s="151">
        <v>0</v>
      </c>
      <c r="H88" s="55">
        <f t="shared" si="21"/>
        <v>0</v>
      </c>
    </row>
    <row r="89" spans="1:8" x14ac:dyDescent="0.2">
      <c r="A89" s="13">
        <f t="shared" si="19"/>
        <v>81</v>
      </c>
      <c r="B89" s="64"/>
      <c r="C89" s="29"/>
      <c r="D89" s="78"/>
      <c r="E89" s="38"/>
      <c r="F89" s="38"/>
      <c r="G89" s="151"/>
      <c r="H89" s="29"/>
    </row>
    <row r="90" spans="1:8" x14ac:dyDescent="0.2">
      <c r="A90" s="13">
        <f t="shared" si="19"/>
        <v>82</v>
      </c>
      <c r="B90" s="63" t="str">
        <f>+B87</f>
        <v>54E</v>
      </c>
      <c r="C90" s="29" t="s">
        <v>22</v>
      </c>
      <c r="D90" s="79" t="s">
        <v>62</v>
      </c>
      <c r="E90" s="38">
        <v>0.33999999999999997</v>
      </c>
      <c r="F90" s="38">
        <f t="shared" ref="F90:F99" si="23">ROUND(E90*$H$168,2)</f>
        <v>0</v>
      </c>
      <c r="G90" s="151">
        <v>2764</v>
      </c>
      <c r="H90" s="55">
        <f t="shared" ref="H90:H99" si="24">F90*G90</f>
        <v>0</v>
      </c>
    </row>
    <row r="91" spans="1:8" x14ac:dyDescent="0.2">
      <c r="A91" s="13">
        <f t="shared" si="19"/>
        <v>83</v>
      </c>
      <c r="B91" s="63" t="str">
        <f>+B88</f>
        <v>54E</v>
      </c>
      <c r="C91" s="29" t="s">
        <v>22</v>
      </c>
      <c r="D91" s="79" t="s">
        <v>36</v>
      </c>
      <c r="E91" s="38">
        <v>1.02</v>
      </c>
      <c r="F91" s="38">
        <f t="shared" si="23"/>
        <v>0</v>
      </c>
      <c r="G91" s="151">
        <v>31614</v>
      </c>
      <c r="H91" s="55">
        <f t="shared" si="24"/>
        <v>0</v>
      </c>
    </row>
    <row r="92" spans="1:8" x14ac:dyDescent="0.2">
      <c r="A92" s="13">
        <f t="shared" si="19"/>
        <v>84</v>
      </c>
      <c r="B92" s="63" t="str">
        <f t="shared" ref="B92:B99" si="25">+B91</f>
        <v>54E</v>
      </c>
      <c r="C92" s="29" t="s">
        <v>22</v>
      </c>
      <c r="D92" s="78" t="s">
        <v>35</v>
      </c>
      <c r="E92" s="38">
        <v>1.7</v>
      </c>
      <c r="F92" s="38">
        <f t="shared" si="23"/>
        <v>0</v>
      </c>
      <c r="G92" s="151">
        <v>2651</v>
      </c>
      <c r="H92" s="55">
        <f t="shared" si="24"/>
        <v>0</v>
      </c>
    </row>
    <row r="93" spans="1:8" x14ac:dyDescent="0.2">
      <c r="A93" s="13">
        <f t="shared" si="19"/>
        <v>85</v>
      </c>
      <c r="B93" s="63" t="str">
        <f t="shared" si="25"/>
        <v>54E</v>
      </c>
      <c r="C93" s="29" t="s">
        <v>22</v>
      </c>
      <c r="D93" s="78" t="s">
        <v>34</v>
      </c>
      <c r="E93" s="38">
        <v>2.38</v>
      </c>
      <c r="F93" s="38">
        <f t="shared" si="23"/>
        <v>0</v>
      </c>
      <c r="G93" s="151">
        <v>35407</v>
      </c>
      <c r="H93" s="55">
        <f t="shared" si="24"/>
        <v>0</v>
      </c>
    </row>
    <row r="94" spans="1:8" x14ac:dyDescent="0.2">
      <c r="A94" s="13">
        <f t="shared" si="19"/>
        <v>86</v>
      </c>
      <c r="B94" s="63" t="str">
        <f t="shared" si="25"/>
        <v>54E</v>
      </c>
      <c r="C94" s="29" t="s">
        <v>22</v>
      </c>
      <c r="D94" s="78" t="s">
        <v>33</v>
      </c>
      <c r="E94" s="38">
        <v>3.0700000000000003</v>
      </c>
      <c r="F94" s="38">
        <f t="shared" si="23"/>
        <v>0</v>
      </c>
      <c r="G94" s="151">
        <v>12747</v>
      </c>
      <c r="H94" s="55">
        <f t="shared" si="24"/>
        <v>0</v>
      </c>
    </row>
    <row r="95" spans="1:8" x14ac:dyDescent="0.2">
      <c r="A95" s="13">
        <f t="shared" si="19"/>
        <v>87</v>
      </c>
      <c r="B95" s="63" t="str">
        <f t="shared" si="25"/>
        <v>54E</v>
      </c>
      <c r="C95" s="29" t="s">
        <v>22</v>
      </c>
      <c r="D95" s="78" t="s">
        <v>32</v>
      </c>
      <c r="E95" s="38">
        <v>3.75</v>
      </c>
      <c r="F95" s="38">
        <f t="shared" si="23"/>
        <v>0</v>
      </c>
      <c r="G95" s="151">
        <v>5352</v>
      </c>
      <c r="H95" s="55">
        <f t="shared" si="24"/>
        <v>0</v>
      </c>
    </row>
    <row r="96" spans="1:8" x14ac:dyDescent="0.2">
      <c r="A96" s="13">
        <f t="shared" si="19"/>
        <v>88</v>
      </c>
      <c r="B96" s="63" t="str">
        <f t="shared" si="25"/>
        <v>54E</v>
      </c>
      <c r="C96" s="29" t="s">
        <v>22</v>
      </c>
      <c r="D96" s="78" t="s">
        <v>31</v>
      </c>
      <c r="E96" s="38">
        <v>4.43</v>
      </c>
      <c r="F96" s="38">
        <f t="shared" si="23"/>
        <v>0</v>
      </c>
      <c r="G96" s="151">
        <v>1866</v>
      </c>
      <c r="H96" s="55">
        <f t="shared" si="24"/>
        <v>0</v>
      </c>
    </row>
    <row r="97" spans="1:8" x14ac:dyDescent="0.2">
      <c r="A97" s="13">
        <f t="shared" si="19"/>
        <v>89</v>
      </c>
      <c r="B97" s="63" t="str">
        <f t="shared" si="25"/>
        <v>54E</v>
      </c>
      <c r="C97" s="29" t="s">
        <v>22</v>
      </c>
      <c r="D97" s="78" t="s">
        <v>30</v>
      </c>
      <c r="E97" s="38">
        <v>5.12</v>
      </c>
      <c r="F97" s="38">
        <f t="shared" si="23"/>
        <v>0</v>
      </c>
      <c r="G97" s="151">
        <v>468</v>
      </c>
      <c r="H97" s="55">
        <f t="shared" si="24"/>
        <v>0</v>
      </c>
    </row>
    <row r="98" spans="1:8" x14ac:dyDescent="0.2">
      <c r="A98" s="13">
        <f t="shared" si="19"/>
        <v>90</v>
      </c>
      <c r="B98" s="63" t="str">
        <f t="shared" si="25"/>
        <v>54E</v>
      </c>
      <c r="C98" s="29" t="s">
        <v>22</v>
      </c>
      <c r="D98" s="78" t="s">
        <v>29</v>
      </c>
      <c r="E98" s="38">
        <v>5.8</v>
      </c>
      <c r="F98" s="38">
        <f t="shared" si="23"/>
        <v>0</v>
      </c>
      <c r="G98" s="151">
        <v>47</v>
      </c>
      <c r="H98" s="55">
        <f t="shared" si="24"/>
        <v>0</v>
      </c>
    </row>
    <row r="99" spans="1:8" x14ac:dyDescent="0.2">
      <c r="A99" s="13">
        <f t="shared" si="19"/>
        <v>91</v>
      </c>
      <c r="B99" s="63" t="str">
        <f t="shared" si="25"/>
        <v>54E</v>
      </c>
      <c r="C99" s="29" t="s">
        <v>22</v>
      </c>
      <c r="D99" s="78" t="s">
        <v>28</v>
      </c>
      <c r="E99" s="38">
        <v>6.48</v>
      </c>
      <c r="F99" s="38">
        <f t="shared" si="23"/>
        <v>0</v>
      </c>
      <c r="G99" s="151">
        <v>0</v>
      </c>
      <c r="H99" s="55">
        <f t="shared" si="24"/>
        <v>0</v>
      </c>
    </row>
    <row r="100" spans="1:8" x14ac:dyDescent="0.2">
      <c r="A100" s="13">
        <f t="shared" si="19"/>
        <v>92</v>
      </c>
      <c r="B100" s="64"/>
      <c r="C100" s="29"/>
      <c r="D100" s="78"/>
      <c r="E100" s="38"/>
      <c r="F100" s="38"/>
      <c r="G100" s="151"/>
      <c r="H100" s="29"/>
    </row>
    <row r="101" spans="1:8" ht="13.5" x14ac:dyDescent="0.35">
      <c r="A101" s="13">
        <f t="shared" si="19"/>
        <v>93</v>
      </c>
      <c r="B101" s="28" t="s">
        <v>43</v>
      </c>
      <c r="C101" s="29"/>
      <c r="D101" s="78"/>
      <c r="E101" s="38"/>
      <c r="F101" s="38"/>
      <c r="G101" s="151"/>
      <c r="H101" s="29"/>
    </row>
    <row r="102" spans="1:8" x14ac:dyDescent="0.2">
      <c r="A102" s="13">
        <f t="shared" si="19"/>
        <v>94</v>
      </c>
      <c r="B102" s="63" t="s">
        <v>42</v>
      </c>
      <c r="C102" s="29" t="s">
        <v>7</v>
      </c>
      <c r="D102" s="78">
        <v>70</v>
      </c>
      <c r="E102" s="38">
        <v>1.6</v>
      </c>
      <c r="F102" s="38">
        <f t="shared" ref="F102:F107" si="26">ROUND(E102*$H$168,2)</f>
        <v>0</v>
      </c>
      <c r="G102" s="151">
        <v>163</v>
      </c>
      <c r="H102" s="55">
        <f t="shared" ref="H102:H107" si="27">F102*G102</f>
        <v>0</v>
      </c>
    </row>
    <row r="103" spans="1:8" x14ac:dyDescent="0.2">
      <c r="A103" s="13">
        <f t="shared" si="19"/>
        <v>95</v>
      </c>
      <c r="B103" s="64" t="str">
        <f>+B102</f>
        <v>55E &amp; 56E</v>
      </c>
      <c r="C103" s="29" t="s">
        <v>7</v>
      </c>
      <c r="D103" s="78">
        <v>100</v>
      </c>
      <c r="E103" s="38">
        <v>2.2799999999999998</v>
      </c>
      <c r="F103" s="38">
        <f t="shared" si="26"/>
        <v>0</v>
      </c>
      <c r="G103" s="151">
        <v>40180</v>
      </c>
      <c r="H103" s="55">
        <f t="shared" si="27"/>
        <v>0</v>
      </c>
    </row>
    <row r="104" spans="1:8" x14ac:dyDescent="0.2">
      <c r="A104" s="13">
        <f t="shared" si="19"/>
        <v>96</v>
      </c>
      <c r="B104" s="64" t="str">
        <f>+B103</f>
        <v>55E &amp; 56E</v>
      </c>
      <c r="C104" s="29" t="s">
        <v>7</v>
      </c>
      <c r="D104" s="78">
        <v>150</v>
      </c>
      <c r="E104" s="38">
        <v>3.42</v>
      </c>
      <c r="F104" s="38">
        <f t="shared" si="26"/>
        <v>0</v>
      </c>
      <c r="G104" s="151">
        <v>5432</v>
      </c>
      <c r="H104" s="55">
        <f t="shared" si="27"/>
        <v>0</v>
      </c>
    </row>
    <row r="105" spans="1:8" x14ac:dyDescent="0.2">
      <c r="A105" s="13">
        <f t="shared" si="19"/>
        <v>97</v>
      </c>
      <c r="B105" s="64" t="str">
        <f>+B104</f>
        <v>55E &amp; 56E</v>
      </c>
      <c r="C105" s="29" t="s">
        <v>7</v>
      </c>
      <c r="D105" s="78">
        <v>200</v>
      </c>
      <c r="E105" s="38">
        <v>4.5599999999999996</v>
      </c>
      <c r="F105" s="38">
        <f t="shared" si="26"/>
        <v>0</v>
      </c>
      <c r="G105" s="151">
        <v>11220</v>
      </c>
      <c r="H105" s="55">
        <f t="shared" si="27"/>
        <v>0</v>
      </c>
    </row>
    <row r="106" spans="1:8" x14ac:dyDescent="0.2">
      <c r="A106" s="13">
        <f t="shared" ref="A106:A137" si="28">+A105+1</f>
        <v>98</v>
      </c>
      <c r="B106" s="64" t="str">
        <f>+B105</f>
        <v>55E &amp; 56E</v>
      </c>
      <c r="C106" s="29" t="s">
        <v>7</v>
      </c>
      <c r="D106" s="78">
        <v>250</v>
      </c>
      <c r="E106" s="38">
        <v>5.6999999999999993</v>
      </c>
      <c r="F106" s="38">
        <f t="shared" si="26"/>
        <v>0</v>
      </c>
      <c r="G106" s="151">
        <v>1183</v>
      </c>
      <c r="H106" s="55">
        <f t="shared" si="27"/>
        <v>0</v>
      </c>
    </row>
    <row r="107" spans="1:8" x14ac:dyDescent="0.2">
      <c r="A107" s="13">
        <f t="shared" si="28"/>
        <v>99</v>
      </c>
      <c r="B107" s="64" t="str">
        <f>+B106</f>
        <v>55E &amp; 56E</v>
      </c>
      <c r="C107" s="29" t="s">
        <v>7</v>
      </c>
      <c r="D107" s="78">
        <v>400</v>
      </c>
      <c r="E107" s="38">
        <v>9.1199999999999992</v>
      </c>
      <c r="F107" s="38">
        <f t="shared" si="26"/>
        <v>0.01</v>
      </c>
      <c r="G107" s="151">
        <v>414</v>
      </c>
      <c r="H107" s="55">
        <f t="shared" si="27"/>
        <v>4.1399999999999997</v>
      </c>
    </row>
    <row r="108" spans="1:8" x14ac:dyDescent="0.2">
      <c r="A108" s="13">
        <f t="shared" si="28"/>
        <v>100</v>
      </c>
      <c r="B108" s="64"/>
      <c r="C108" s="29"/>
      <c r="D108" s="78"/>
      <c r="E108" s="38"/>
      <c r="F108" s="38"/>
      <c r="G108" s="151"/>
      <c r="H108" s="29"/>
    </row>
    <row r="109" spans="1:8" x14ac:dyDescent="0.2">
      <c r="A109" s="13">
        <f t="shared" si="28"/>
        <v>101</v>
      </c>
      <c r="B109" s="64" t="str">
        <f>+B107</f>
        <v>55E &amp; 56E</v>
      </c>
      <c r="C109" s="29" t="s">
        <v>38</v>
      </c>
      <c r="D109" s="78">
        <v>250</v>
      </c>
      <c r="E109" s="38">
        <v>5.6999999999999993</v>
      </c>
      <c r="F109" s="38">
        <f t="shared" ref="F109" si="29">ROUND(E109*$H$168,2)</f>
        <v>0</v>
      </c>
      <c r="G109" s="151">
        <v>80</v>
      </c>
      <c r="H109" s="55">
        <f>F109*G109</f>
        <v>0</v>
      </c>
    </row>
    <row r="110" spans="1:8" x14ac:dyDescent="0.2">
      <c r="A110" s="13">
        <f t="shared" si="28"/>
        <v>102</v>
      </c>
      <c r="B110" s="64"/>
      <c r="C110" s="29"/>
      <c r="D110" s="78"/>
      <c r="E110" s="38"/>
      <c r="F110" s="38"/>
      <c r="G110" s="151"/>
      <c r="H110" s="29"/>
    </row>
    <row r="111" spans="1:8" x14ac:dyDescent="0.2">
      <c r="A111" s="13">
        <f t="shared" si="28"/>
        <v>103</v>
      </c>
      <c r="B111" s="64" t="s">
        <v>42</v>
      </c>
      <c r="C111" s="29" t="s">
        <v>22</v>
      </c>
      <c r="D111" s="39" t="s">
        <v>61</v>
      </c>
      <c r="E111" s="38">
        <v>0.35</v>
      </c>
      <c r="F111" s="38">
        <f t="shared" ref="F111:F120" si="30">ROUND(E111*$H$168,2)</f>
        <v>0</v>
      </c>
      <c r="G111" s="151">
        <v>41</v>
      </c>
      <c r="H111" s="55">
        <f t="shared" ref="H111:H120" si="31">F111*G111</f>
        <v>0</v>
      </c>
    </row>
    <row r="112" spans="1:8" x14ac:dyDescent="0.2">
      <c r="A112" s="13">
        <f t="shared" si="28"/>
        <v>104</v>
      </c>
      <c r="B112" s="64" t="s">
        <v>42</v>
      </c>
      <c r="C112" s="29" t="s">
        <v>22</v>
      </c>
      <c r="D112" s="79" t="s">
        <v>36</v>
      </c>
      <c r="E112" s="38">
        <v>1.03</v>
      </c>
      <c r="F112" s="38">
        <f t="shared" si="30"/>
        <v>0</v>
      </c>
      <c r="G112" s="151">
        <v>9512</v>
      </c>
      <c r="H112" s="55">
        <f t="shared" si="31"/>
        <v>0</v>
      </c>
    </row>
    <row r="113" spans="1:8" x14ac:dyDescent="0.2">
      <c r="A113" s="13">
        <f t="shared" si="28"/>
        <v>105</v>
      </c>
      <c r="B113" s="64" t="s">
        <v>42</v>
      </c>
      <c r="C113" s="29" t="s">
        <v>22</v>
      </c>
      <c r="D113" s="78" t="s">
        <v>35</v>
      </c>
      <c r="E113" s="38">
        <v>1.71</v>
      </c>
      <c r="F113" s="38">
        <f t="shared" si="30"/>
        <v>0</v>
      </c>
      <c r="G113" s="151">
        <v>404</v>
      </c>
      <c r="H113" s="55">
        <f t="shared" si="31"/>
        <v>0</v>
      </c>
    </row>
    <row r="114" spans="1:8" x14ac:dyDescent="0.2">
      <c r="A114" s="13">
        <f t="shared" si="28"/>
        <v>106</v>
      </c>
      <c r="B114" s="64" t="s">
        <v>42</v>
      </c>
      <c r="C114" s="29" t="s">
        <v>22</v>
      </c>
      <c r="D114" s="78" t="s">
        <v>34</v>
      </c>
      <c r="E114" s="38">
        <v>2.39</v>
      </c>
      <c r="F114" s="38">
        <f t="shared" si="30"/>
        <v>0</v>
      </c>
      <c r="G114" s="151">
        <v>2079</v>
      </c>
      <c r="H114" s="55">
        <f t="shared" si="31"/>
        <v>0</v>
      </c>
    </row>
    <row r="115" spans="1:8" x14ac:dyDescent="0.2">
      <c r="A115" s="13">
        <f t="shared" si="28"/>
        <v>107</v>
      </c>
      <c r="B115" s="64" t="s">
        <v>42</v>
      </c>
      <c r="C115" s="29" t="s">
        <v>22</v>
      </c>
      <c r="D115" s="78" t="s">
        <v>33</v>
      </c>
      <c r="E115" s="38">
        <v>3.08</v>
      </c>
      <c r="F115" s="38">
        <f t="shared" si="30"/>
        <v>0</v>
      </c>
      <c r="G115" s="151">
        <v>0</v>
      </c>
      <c r="H115" s="55">
        <f t="shared" si="31"/>
        <v>0</v>
      </c>
    </row>
    <row r="116" spans="1:8" x14ac:dyDescent="0.2">
      <c r="A116" s="13">
        <f t="shared" si="28"/>
        <v>108</v>
      </c>
      <c r="B116" s="64" t="s">
        <v>42</v>
      </c>
      <c r="C116" s="29" t="s">
        <v>22</v>
      </c>
      <c r="D116" s="78" t="s">
        <v>32</v>
      </c>
      <c r="E116" s="38">
        <v>3.76</v>
      </c>
      <c r="F116" s="38">
        <f t="shared" si="30"/>
        <v>0</v>
      </c>
      <c r="G116" s="151">
        <v>0</v>
      </c>
      <c r="H116" s="55">
        <f t="shared" si="31"/>
        <v>0</v>
      </c>
    </row>
    <row r="117" spans="1:8" x14ac:dyDescent="0.2">
      <c r="A117" s="13">
        <f t="shared" si="28"/>
        <v>109</v>
      </c>
      <c r="B117" s="64" t="s">
        <v>42</v>
      </c>
      <c r="C117" s="29" t="s">
        <v>22</v>
      </c>
      <c r="D117" s="78" t="s">
        <v>31</v>
      </c>
      <c r="E117" s="38">
        <v>4.4400000000000004</v>
      </c>
      <c r="F117" s="38">
        <f t="shared" si="30"/>
        <v>0</v>
      </c>
      <c r="G117" s="151">
        <v>0</v>
      </c>
      <c r="H117" s="55">
        <f t="shared" si="31"/>
        <v>0</v>
      </c>
    </row>
    <row r="118" spans="1:8" x14ac:dyDescent="0.2">
      <c r="A118" s="13">
        <f t="shared" si="28"/>
        <v>110</v>
      </c>
      <c r="B118" s="64" t="s">
        <v>42</v>
      </c>
      <c r="C118" s="29" t="s">
        <v>22</v>
      </c>
      <c r="D118" s="78" t="s">
        <v>30</v>
      </c>
      <c r="E118" s="38">
        <v>5.13</v>
      </c>
      <c r="F118" s="38">
        <f t="shared" si="30"/>
        <v>0</v>
      </c>
      <c r="G118" s="151">
        <v>0</v>
      </c>
      <c r="H118" s="55">
        <f t="shared" si="31"/>
        <v>0</v>
      </c>
    </row>
    <row r="119" spans="1:8" x14ac:dyDescent="0.2">
      <c r="A119" s="13">
        <f t="shared" si="28"/>
        <v>111</v>
      </c>
      <c r="B119" s="64" t="s">
        <v>42</v>
      </c>
      <c r="C119" s="29" t="s">
        <v>22</v>
      </c>
      <c r="D119" s="78" t="s">
        <v>29</v>
      </c>
      <c r="E119" s="38">
        <v>5.8100000000000005</v>
      </c>
      <c r="F119" s="38">
        <f t="shared" si="30"/>
        <v>0</v>
      </c>
      <c r="G119" s="151">
        <v>0</v>
      </c>
      <c r="H119" s="55">
        <f t="shared" si="31"/>
        <v>0</v>
      </c>
    </row>
    <row r="120" spans="1:8" x14ac:dyDescent="0.2">
      <c r="A120" s="13">
        <f t="shared" si="28"/>
        <v>112</v>
      </c>
      <c r="B120" s="64" t="s">
        <v>42</v>
      </c>
      <c r="C120" s="29" t="s">
        <v>22</v>
      </c>
      <c r="D120" s="78" t="s">
        <v>28</v>
      </c>
      <c r="E120" s="38">
        <v>6.5</v>
      </c>
      <c r="F120" s="38">
        <f t="shared" si="30"/>
        <v>0</v>
      </c>
      <c r="G120" s="151">
        <v>0</v>
      </c>
      <c r="H120" s="55">
        <f t="shared" si="31"/>
        <v>0</v>
      </c>
    </row>
    <row r="121" spans="1:8" x14ac:dyDescent="0.2">
      <c r="A121" s="13">
        <f t="shared" si="28"/>
        <v>113</v>
      </c>
      <c r="B121" s="64"/>
      <c r="C121" s="29"/>
      <c r="D121" s="78"/>
      <c r="E121" s="38"/>
      <c r="F121" s="38"/>
      <c r="G121" s="151"/>
      <c r="H121" s="29"/>
    </row>
    <row r="122" spans="1:8" ht="13.5" x14ac:dyDescent="0.35">
      <c r="A122" s="13">
        <f t="shared" si="28"/>
        <v>114</v>
      </c>
      <c r="B122" s="28" t="s">
        <v>20</v>
      </c>
      <c r="C122" s="29"/>
      <c r="D122" s="78"/>
      <c r="E122" s="38"/>
      <c r="F122" s="38"/>
      <c r="G122" s="151"/>
      <c r="H122" s="29"/>
    </row>
    <row r="123" spans="1:8" x14ac:dyDescent="0.2">
      <c r="A123" s="13">
        <f t="shared" si="28"/>
        <v>115</v>
      </c>
      <c r="B123" s="64" t="s">
        <v>19</v>
      </c>
      <c r="C123" s="29" t="s">
        <v>18</v>
      </c>
      <c r="D123" s="78">
        <v>0</v>
      </c>
      <c r="E123" s="80">
        <v>4.2689999999999999E-2</v>
      </c>
      <c r="F123" s="80">
        <f>ROUND(E123*$H$168,5)</f>
        <v>2.0000000000000002E-5</v>
      </c>
      <c r="G123" s="151">
        <v>5266504</v>
      </c>
      <c r="H123" s="55">
        <f>F123*G123</f>
        <v>105.33008000000001</v>
      </c>
    </row>
    <row r="124" spans="1:8" x14ac:dyDescent="0.2">
      <c r="A124" s="13">
        <f t="shared" si="28"/>
        <v>116</v>
      </c>
      <c r="B124" s="64"/>
      <c r="C124" s="29"/>
      <c r="D124" s="78"/>
      <c r="E124" s="38"/>
      <c r="F124" s="38"/>
      <c r="G124" s="151"/>
      <c r="H124" s="29"/>
    </row>
    <row r="125" spans="1:8" ht="13.5" x14ac:dyDescent="0.35">
      <c r="A125" s="13">
        <f t="shared" si="28"/>
        <v>117</v>
      </c>
      <c r="B125" s="28" t="s">
        <v>41</v>
      </c>
      <c r="C125" s="29"/>
      <c r="D125" s="78"/>
      <c r="E125" s="38"/>
      <c r="F125" s="38"/>
      <c r="G125" s="151"/>
      <c r="H125" s="29"/>
    </row>
    <row r="126" spans="1:8" x14ac:dyDescent="0.2">
      <c r="A126" s="13">
        <f t="shared" si="28"/>
        <v>118</v>
      </c>
      <c r="B126" s="63" t="s">
        <v>40</v>
      </c>
      <c r="C126" s="29" t="s">
        <v>7</v>
      </c>
      <c r="D126" s="78">
        <v>70</v>
      </c>
      <c r="E126" s="38">
        <v>1.6</v>
      </c>
      <c r="F126" s="38">
        <f t="shared" ref="F126:F131" si="32">ROUND(E126*$H$168,2)</f>
        <v>0</v>
      </c>
      <c r="G126" s="151">
        <v>584</v>
      </c>
      <c r="H126" s="55">
        <f t="shared" ref="H126:H131" si="33">F126*G126</f>
        <v>0</v>
      </c>
    </row>
    <row r="127" spans="1:8" x14ac:dyDescent="0.2">
      <c r="A127" s="13">
        <f t="shared" si="28"/>
        <v>119</v>
      </c>
      <c r="B127" s="64" t="str">
        <f>+B126</f>
        <v>58E &amp; 59E - Directional</v>
      </c>
      <c r="C127" s="29" t="s">
        <v>7</v>
      </c>
      <c r="D127" s="78">
        <v>100</v>
      </c>
      <c r="E127" s="38">
        <v>2.2799999999999998</v>
      </c>
      <c r="F127" s="38">
        <f t="shared" si="32"/>
        <v>0</v>
      </c>
      <c r="G127" s="151">
        <v>119</v>
      </c>
      <c r="H127" s="55">
        <f t="shared" si="33"/>
        <v>0</v>
      </c>
    </row>
    <row r="128" spans="1:8" x14ac:dyDescent="0.2">
      <c r="A128" s="13">
        <f t="shared" si="28"/>
        <v>120</v>
      </c>
      <c r="B128" s="64" t="str">
        <f>+B127</f>
        <v>58E &amp; 59E - Directional</v>
      </c>
      <c r="C128" s="29" t="s">
        <v>7</v>
      </c>
      <c r="D128" s="78">
        <v>150</v>
      </c>
      <c r="E128" s="38">
        <v>3.42</v>
      </c>
      <c r="F128" s="38">
        <f t="shared" si="32"/>
        <v>0</v>
      </c>
      <c r="G128" s="151">
        <v>1635</v>
      </c>
      <c r="H128" s="55">
        <f t="shared" si="33"/>
        <v>0</v>
      </c>
    </row>
    <row r="129" spans="1:8" x14ac:dyDescent="0.2">
      <c r="A129" s="13">
        <f t="shared" si="28"/>
        <v>121</v>
      </c>
      <c r="B129" s="64" t="str">
        <f>+B128</f>
        <v>58E &amp; 59E - Directional</v>
      </c>
      <c r="C129" s="29" t="s">
        <v>7</v>
      </c>
      <c r="D129" s="78">
        <v>200</v>
      </c>
      <c r="E129" s="38">
        <v>4.5599999999999996</v>
      </c>
      <c r="F129" s="38">
        <f t="shared" si="32"/>
        <v>0</v>
      </c>
      <c r="G129" s="151">
        <v>2918</v>
      </c>
      <c r="H129" s="55">
        <f t="shared" si="33"/>
        <v>0</v>
      </c>
    </row>
    <row r="130" spans="1:8" x14ac:dyDescent="0.2">
      <c r="A130" s="13">
        <f t="shared" si="28"/>
        <v>122</v>
      </c>
      <c r="B130" s="64" t="str">
        <f>+B129</f>
        <v>58E &amp; 59E - Directional</v>
      </c>
      <c r="C130" s="29" t="s">
        <v>7</v>
      </c>
      <c r="D130" s="78">
        <v>250</v>
      </c>
      <c r="E130" s="38">
        <v>5.6999999999999993</v>
      </c>
      <c r="F130" s="38">
        <f t="shared" si="32"/>
        <v>0</v>
      </c>
      <c r="G130" s="151">
        <v>441</v>
      </c>
      <c r="H130" s="55">
        <f t="shared" si="33"/>
        <v>0</v>
      </c>
    </row>
    <row r="131" spans="1:8" x14ac:dyDescent="0.2">
      <c r="A131" s="13">
        <f t="shared" si="28"/>
        <v>123</v>
      </c>
      <c r="B131" s="64" t="str">
        <f>+B130</f>
        <v>58E &amp; 59E - Directional</v>
      </c>
      <c r="C131" s="29" t="s">
        <v>7</v>
      </c>
      <c r="D131" s="78">
        <v>400</v>
      </c>
      <c r="E131" s="38">
        <v>9.1199999999999992</v>
      </c>
      <c r="F131" s="38">
        <f t="shared" si="32"/>
        <v>0.01</v>
      </c>
      <c r="G131" s="151">
        <v>3843</v>
      </c>
      <c r="H131" s="55">
        <f t="shared" si="33"/>
        <v>38.43</v>
      </c>
    </row>
    <row r="132" spans="1:8" x14ac:dyDescent="0.2">
      <c r="A132" s="13">
        <f t="shared" si="28"/>
        <v>124</v>
      </c>
      <c r="B132" s="64"/>
      <c r="C132" s="29"/>
      <c r="D132" s="78"/>
      <c r="E132" s="38"/>
      <c r="F132" s="38"/>
      <c r="G132" s="151"/>
      <c r="H132" s="29"/>
    </row>
    <row r="133" spans="1:8" x14ac:dyDescent="0.2">
      <c r="A133" s="13">
        <f t="shared" si="28"/>
        <v>125</v>
      </c>
      <c r="B133" s="63" t="s">
        <v>39</v>
      </c>
      <c r="C133" s="29" t="s">
        <v>7</v>
      </c>
      <c r="D133" s="78">
        <v>100</v>
      </c>
      <c r="E133" s="38">
        <v>2.2799999999999998</v>
      </c>
      <c r="F133" s="38">
        <f t="shared" ref="F133:F137" si="34">ROUND(E133*$H$168,2)</f>
        <v>0</v>
      </c>
      <c r="G133" s="151">
        <v>0</v>
      </c>
      <c r="H133" s="55">
        <f>F133*G133</f>
        <v>0</v>
      </c>
    </row>
    <row r="134" spans="1:8" x14ac:dyDescent="0.2">
      <c r="A134" s="13">
        <f t="shared" si="28"/>
        <v>126</v>
      </c>
      <c r="B134" s="64" t="str">
        <f>B133</f>
        <v>58E &amp; 59E - Horizontal</v>
      </c>
      <c r="C134" s="29" t="s">
        <v>7</v>
      </c>
      <c r="D134" s="78">
        <v>150</v>
      </c>
      <c r="E134" s="38">
        <v>3.42</v>
      </c>
      <c r="F134" s="38">
        <f t="shared" si="34"/>
        <v>0</v>
      </c>
      <c r="G134" s="151">
        <v>163</v>
      </c>
      <c r="H134" s="55">
        <f>F134*G134</f>
        <v>0</v>
      </c>
    </row>
    <row r="135" spans="1:8" x14ac:dyDescent="0.2">
      <c r="A135" s="13">
        <f t="shared" si="28"/>
        <v>127</v>
      </c>
      <c r="B135" s="64" t="str">
        <f>B134</f>
        <v>58E &amp; 59E - Horizontal</v>
      </c>
      <c r="C135" s="29" t="s">
        <v>7</v>
      </c>
      <c r="D135" s="78">
        <v>200</v>
      </c>
      <c r="E135" s="38">
        <v>4.5599999999999996</v>
      </c>
      <c r="F135" s="38">
        <f t="shared" si="34"/>
        <v>0</v>
      </c>
      <c r="G135" s="151">
        <v>82</v>
      </c>
      <c r="H135" s="55">
        <f>F135*G135</f>
        <v>0</v>
      </c>
    </row>
    <row r="136" spans="1:8" x14ac:dyDescent="0.2">
      <c r="A136" s="13">
        <f t="shared" si="28"/>
        <v>128</v>
      </c>
      <c r="B136" s="64" t="str">
        <f>B135</f>
        <v>58E &amp; 59E - Horizontal</v>
      </c>
      <c r="C136" s="29" t="s">
        <v>7</v>
      </c>
      <c r="D136" s="78">
        <v>250</v>
      </c>
      <c r="E136" s="38">
        <v>5.6999999999999993</v>
      </c>
      <c r="F136" s="38">
        <f t="shared" si="34"/>
        <v>0</v>
      </c>
      <c r="G136" s="151">
        <v>358</v>
      </c>
      <c r="H136" s="55">
        <f>F136*G136</f>
        <v>0</v>
      </c>
    </row>
    <row r="137" spans="1:8" x14ac:dyDescent="0.2">
      <c r="A137" s="13">
        <f t="shared" si="28"/>
        <v>129</v>
      </c>
      <c r="B137" s="64" t="str">
        <f>B136</f>
        <v>58E &amp; 59E - Horizontal</v>
      </c>
      <c r="C137" s="29" t="s">
        <v>7</v>
      </c>
      <c r="D137" s="78">
        <v>400</v>
      </c>
      <c r="E137" s="38">
        <v>9.1199999999999992</v>
      </c>
      <c r="F137" s="38">
        <f t="shared" si="34"/>
        <v>0.01</v>
      </c>
      <c r="G137" s="151">
        <v>523</v>
      </c>
      <c r="H137" s="55">
        <f>F137*G137</f>
        <v>5.23</v>
      </c>
    </row>
    <row r="138" spans="1:8" x14ac:dyDescent="0.2">
      <c r="A138" s="13">
        <f t="shared" ref="A138:A170" si="35">+A137+1</f>
        <v>130</v>
      </c>
      <c r="B138" s="64"/>
      <c r="C138" s="29"/>
      <c r="D138" s="78"/>
      <c r="E138" s="38"/>
      <c r="F138" s="38"/>
      <c r="G138" s="151"/>
      <c r="H138" s="29"/>
    </row>
    <row r="139" spans="1:8" x14ac:dyDescent="0.2">
      <c r="A139" s="13">
        <f t="shared" si="35"/>
        <v>131</v>
      </c>
      <c r="B139" s="64" t="str">
        <f>B127</f>
        <v>58E &amp; 59E - Directional</v>
      </c>
      <c r="C139" s="29" t="s">
        <v>38</v>
      </c>
      <c r="D139" s="78">
        <v>175</v>
      </c>
      <c r="E139" s="38">
        <v>3.9899999999999998</v>
      </c>
      <c r="F139" s="38">
        <f t="shared" ref="F139:F142" si="36">ROUND(E139*$H$168,2)</f>
        <v>0</v>
      </c>
      <c r="G139" s="151">
        <v>36</v>
      </c>
      <c r="H139" s="55">
        <f>F139*G139</f>
        <v>0</v>
      </c>
    </row>
    <row r="140" spans="1:8" x14ac:dyDescent="0.2">
      <c r="A140" s="13">
        <f t="shared" si="35"/>
        <v>132</v>
      </c>
      <c r="B140" s="64" t="str">
        <f>B139</f>
        <v>58E &amp; 59E - Directional</v>
      </c>
      <c r="C140" s="29" t="s">
        <v>38</v>
      </c>
      <c r="D140" s="78">
        <v>250</v>
      </c>
      <c r="E140" s="38">
        <v>5.6999999999999993</v>
      </c>
      <c r="F140" s="38">
        <f t="shared" si="36"/>
        <v>0</v>
      </c>
      <c r="G140" s="151">
        <v>173</v>
      </c>
      <c r="H140" s="55">
        <f>F140*G140</f>
        <v>0</v>
      </c>
    </row>
    <row r="141" spans="1:8" x14ac:dyDescent="0.2">
      <c r="A141" s="13">
        <f t="shared" si="35"/>
        <v>133</v>
      </c>
      <c r="B141" s="64" t="str">
        <f>B140</f>
        <v>58E &amp; 59E - Directional</v>
      </c>
      <c r="C141" s="29" t="s">
        <v>38</v>
      </c>
      <c r="D141" s="78">
        <v>400</v>
      </c>
      <c r="E141" s="38">
        <v>9.1199999999999992</v>
      </c>
      <c r="F141" s="38">
        <f t="shared" si="36"/>
        <v>0.01</v>
      </c>
      <c r="G141" s="151">
        <v>907</v>
      </c>
      <c r="H141" s="55">
        <f>F141*G141</f>
        <v>9.07</v>
      </c>
    </row>
    <row r="142" spans="1:8" x14ac:dyDescent="0.2">
      <c r="A142" s="13">
        <f t="shared" si="35"/>
        <v>134</v>
      </c>
      <c r="B142" s="64" t="str">
        <f>B141</f>
        <v>58E &amp; 59E - Directional</v>
      </c>
      <c r="C142" s="29" t="s">
        <v>38</v>
      </c>
      <c r="D142" s="78">
        <v>1000</v>
      </c>
      <c r="E142" s="38">
        <v>22.79</v>
      </c>
      <c r="F142" s="38">
        <f t="shared" si="36"/>
        <v>0.01</v>
      </c>
      <c r="G142" s="151">
        <v>1361</v>
      </c>
      <c r="H142" s="55">
        <f>F142*G142</f>
        <v>13.61</v>
      </c>
    </row>
    <row r="143" spans="1:8" x14ac:dyDescent="0.2">
      <c r="A143" s="13">
        <f t="shared" si="35"/>
        <v>135</v>
      </c>
      <c r="B143" s="64"/>
      <c r="C143" s="29"/>
      <c r="D143" s="78"/>
      <c r="E143" s="38"/>
      <c r="F143" s="38"/>
      <c r="G143" s="151"/>
      <c r="H143" s="29"/>
    </row>
    <row r="144" spans="1:8" x14ac:dyDescent="0.2">
      <c r="A144" s="13">
        <f t="shared" si="35"/>
        <v>136</v>
      </c>
      <c r="B144" s="64" t="str">
        <f>B133</f>
        <v>58E &amp; 59E - Horizontal</v>
      </c>
      <c r="C144" s="29" t="s">
        <v>38</v>
      </c>
      <c r="D144" s="78">
        <v>250</v>
      </c>
      <c r="E144" s="38">
        <v>5.6999999999999993</v>
      </c>
      <c r="F144" s="38">
        <f t="shared" ref="F144:F145" si="37">ROUND(E144*$H$168,2)</f>
        <v>0</v>
      </c>
      <c r="G144" s="151">
        <v>43</v>
      </c>
      <c r="H144" s="55">
        <f>F144*G144</f>
        <v>0</v>
      </c>
    </row>
    <row r="145" spans="1:8" x14ac:dyDescent="0.2">
      <c r="A145" s="13">
        <f t="shared" si="35"/>
        <v>137</v>
      </c>
      <c r="B145" s="64" t="str">
        <f>B144</f>
        <v>58E &amp; 59E - Horizontal</v>
      </c>
      <c r="C145" s="29" t="s">
        <v>38</v>
      </c>
      <c r="D145" s="78">
        <v>400</v>
      </c>
      <c r="E145" s="38">
        <v>9.1199999999999992</v>
      </c>
      <c r="F145" s="38">
        <f t="shared" si="37"/>
        <v>0.01</v>
      </c>
      <c r="G145" s="151">
        <v>455</v>
      </c>
      <c r="H145" s="55">
        <f>F145*G145</f>
        <v>4.55</v>
      </c>
    </row>
    <row r="146" spans="1:8" x14ac:dyDescent="0.2">
      <c r="A146" s="13">
        <f t="shared" si="35"/>
        <v>138</v>
      </c>
      <c r="B146" s="64"/>
      <c r="C146" s="29"/>
      <c r="D146" s="78"/>
      <c r="E146" s="38"/>
      <c r="F146" s="38"/>
      <c r="G146" s="151"/>
      <c r="H146" s="29"/>
    </row>
    <row r="147" spans="1:8" x14ac:dyDescent="0.2">
      <c r="A147" s="13">
        <f t="shared" si="35"/>
        <v>139</v>
      </c>
      <c r="B147" s="64" t="s">
        <v>37</v>
      </c>
      <c r="C147" s="29" t="s">
        <v>22</v>
      </c>
      <c r="D147" s="39" t="s">
        <v>61</v>
      </c>
      <c r="E147" s="38">
        <v>0.35</v>
      </c>
      <c r="F147" s="38">
        <f t="shared" ref="F147:F162" si="38">ROUND(E147*$H$168,2)</f>
        <v>0</v>
      </c>
      <c r="G147" s="151">
        <v>0</v>
      </c>
      <c r="H147" s="55">
        <f t="shared" ref="H147:H162" si="39">F147*G147</f>
        <v>0</v>
      </c>
    </row>
    <row r="148" spans="1:8" x14ac:dyDescent="0.2">
      <c r="A148" s="13">
        <f t="shared" si="35"/>
        <v>140</v>
      </c>
      <c r="B148" s="64" t="s">
        <v>37</v>
      </c>
      <c r="C148" s="29" t="s">
        <v>22</v>
      </c>
      <c r="D148" s="79" t="s">
        <v>60</v>
      </c>
      <c r="E148" s="38">
        <v>1.03</v>
      </c>
      <c r="F148" s="38">
        <f t="shared" si="38"/>
        <v>0</v>
      </c>
      <c r="G148" s="151">
        <v>81</v>
      </c>
      <c r="H148" s="55">
        <f t="shared" si="39"/>
        <v>0</v>
      </c>
    </row>
    <row r="149" spans="1:8" x14ac:dyDescent="0.2">
      <c r="A149" s="13">
        <f t="shared" si="35"/>
        <v>141</v>
      </c>
      <c r="B149" s="64" t="str">
        <f t="shared" ref="B149:B162" si="40">B148</f>
        <v>58E &amp; 59E</v>
      </c>
      <c r="C149" s="29" t="s">
        <v>22</v>
      </c>
      <c r="D149" s="78" t="s">
        <v>35</v>
      </c>
      <c r="E149" s="38">
        <v>1.71</v>
      </c>
      <c r="F149" s="38">
        <f t="shared" si="38"/>
        <v>0</v>
      </c>
      <c r="G149" s="151">
        <v>843</v>
      </c>
      <c r="H149" s="55">
        <f t="shared" si="39"/>
        <v>0</v>
      </c>
    </row>
    <row r="150" spans="1:8" x14ac:dyDescent="0.2">
      <c r="A150" s="13">
        <f t="shared" si="35"/>
        <v>142</v>
      </c>
      <c r="B150" s="64" t="str">
        <f t="shared" si="40"/>
        <v>58E &amp; 59E</v>
      </c>
      <c r="C150" s="29" t="s">
        <v>22</v>
      </c>
      <c r="D150" s="78" t="s">
        <v>34</v>
      </c>
      <c r="E150" s="38">
        <v>2.39</v>
      </c>
      <c r="F150" s="38">
        <f t="shared" si="38"/>
        <v>0</v>
      </c>
      <c r="G150" s="151">
        <v>190</v>
      </c>
      <c r="H150" s="55">
        <f t="shared" si="39"/>
        <v>0</v>
      </c>
    </row>
    <row r="151" spans="1:8" x14ac:dyDescent="0.2">
      <c r="A151" s="13">
        <f t="shared" si="35"/>
        <v>143</v>
      </c>
      <c r="B151" s="64" t="str">
        <f t="shared" si="40"/>
        <v>58E &amp; 59E</v>
      </c>
      <c r="C151" s="29" t="s">
        <v>22</v>
      </c>
      <c r="D151" s="78" t="s">
        <v>33</v>
      </c>
      <c r="E151" s="38">
        <v>3.08</v>
      </c>
      <c r="F151" s="38">
        <f t="shared" si="38"/>
        <v>0</v>
      </c>
      <c r="G151" s="151">
        <v>1792</v>
      </c>
      <c r="H151" s="55">
        <f t="shared" si="39"/>
        <v>0</v>
      </c>
    </row>
    <row r="152" spans="1:8" x14ac:dyDescent="0.2">
      <c r="A152" s="13">
        <f t="shared" si="35"/>
        <v>144</v>
      </c>
      <c r="B152" s="64" t="str">
        <f t="shared" si="40"/>
        <v>58E &amp; 59E</v>
      </c>
      <c r="C152" s="29" t="s">
        <v>22</v>
      </c>
      <c r="D152" s="78" t="s">
        <v>32</v>
      </c>
      <c r="E152" s="38">
        <v>3.76</v>
      </c>
      <c r="F152" s="38">
        <f t="shared" si="38"/>
        <v>0</v>
      </c>
      <c r="G152" s="151">
        <v>405</v>
      </c>
      <c r="H152" s="55">
        <f t="shared" si="39"/>
        <v>0</v>
      </c>
    </row>
    <row r="153" spans="1:8" x14ac:dyDescent="0.2">
      <c r="A153" s="13">
        <f t="shared" si="35"/>
        <v>145</v>
      </c>
      <c r="B153" s="64" t="str">
        <f t="shared" si="40"/>
        <v>58E &amp; 59E</v>
      </c>
      <c r="C153" s="29" t="s">
        <v>22</v>
      </c>
      <c r="D153" s="78" t="s">
        <v>31</v>
      </c>
      <c r="E153" s="38">
        <v>4.4400000000000004</v>
      </c>
      <c r="F153" s="38">
        <f t="shared" si="38"/>
        <v>0</v>
      </c>
      <c r="G153" s="151">
        <v>0</v>
      </c>
      <c r="H153" s="55">
        <f t="shared" si="39"/>
        <v>0</v>
      </c>
    </row>
    <row r="154" spans="1:8" x14ac:dyDescent="0.2">
      <c r="A154" s="13">
        <f t="shared" si="35"/>
        <v>146</v>
      </c>
      <c r="B154" s="64" t="str">
        <f t="shared" si="40"/>
        <v>58E &amp; 59E</v>
      </c>
      <c r="C154" s="29" t="s">
        <v>22</v>
      </c>
      <c r="D154" s="78" t="s">
        <v>30</v>
      </c>
      <c r="E154" s="38">
        <v>5.13</v>
      </c>
      <c r="F154" s="38">
        <f t="shared" si="38"/>
        <v>0</v>
      </c>
      <c r="G154" s="151">
        <v>170</v>
      </c>
      <c r="H154" s="55">
        <f t="shared" si="39"/>
        <v>0</v>
      </c>
    </row>
    <row r="155" spans="1:8" x14ac:dyDescent="0.2">
      <c r="A155" s="13">
        <f t="shared" si="35"/>
        <v>147</v>
      </c>
      <c r="B155" s="64" t="str">
        <f t="shared" si="40"/>
        <v>58E &amp; 59E</v>
      </c>
      <c r="C155" s="29" t="s">
        <v>22</v>
      </c>
      <c r="D155" s="78" t="s">
        <v>29</v>
      </c>
      <c r="E155" s="38">
        <v>5.8100000000000005</v>
      </c>
      <c r="F155" s="38">
        <f t="shared" si="38"/>
        <v>0</v>
      </c>
      <c r="G155" s="151">
        <v>253</v>
      </c>
      <c r="H155" s="55">
        <f t="shared" si="39"/>
        <v>0</v>
      </c>
    </row>
    <row r="156" spans="1:8" x14ac:dyDescent="0.2">
      <c r="A156" s="13">
        <f t="shared" si="35"/>
        <v>148</v>
      </c>
      <c r="B156" s="64" t="str">
        <f t="shared" si="40"/>
        <v>58E &amp; 59E</v>
      </c>
      <c r="C156" s="29" t="s">
        <v>22</v>
      </c>
      <c r="D156" s="78" t="s">
        <v>28</v>
      </c>
      <c r="E156" s="38">
        <v>6.5</v>
      </c>
      <c r="F156" s="38">
        <f t="shared" si="38"/>
        <v>0</v>
      </c>
      <c r="G156" s="151">
        <v>0</v>
      </c>
      <c r="H156" s="55">
        <f t="shared" si="39"/>
        <v>0</v>
      </c>
    </row>
    <row r="157" spans="1:8" x14ac:dyDescent="0.2">
      <c r="A157" s="13">
        <f t="shared" si="35"/>
        <v>149</v>
      </c>
      <c r="B157" s="64" t="str">
        <f t="shared" si="40"/>
        <v>58E &amp; 59E</v>
      </c>
      <c r="C157" s="29" t="s">
        <v>22</v>
      </c>
      <c r="D157" s="78" t="s">
        <v>27</v>
      </c>
      <c r="E157" s="38">
        <v>7.9799999999999995</v>
      </c>
      <c r="F157" s="38">
        <f t="shared" si="38"/>
        <v>0</v>
      </c>
      <c r="G157" s="151">
        <v>0</v>
      </c>
      <c r="H157" s="55">
        <f t="shared" si="39"/>
        <v>0</v>
      </c>
    </row>
    <row r="158" spans="1:8" x14ac:dyDescent="0.2">
      <c r="A158" s="13">
        <f t="shared" si="35"/>
        <v>150</v>
      </c>
      <c r="B158" s="64" t="str">
        <f t="shared" si="40"/>
        <v>58E &amp; 59E</v>
      </c>
      <c r="C158" s="29" t="s">
        <v>22</v>
      </c>
      <c r="D158" s="78" t="s">
        <v>26</v>
      </c>
      <c r="E158" s="38">
        <v>10.26</v>
      </c>
      <c r="F158" s="38">
        <f t="shared" si="38"/>
        <v>0.01</v>
      </c>
      <c r="G158" s="151">
        <v>0</v>
      </c>
      <c r="H158" s="55">
        <f t="shared" si="39"/>
        <v>0</v>
      </c>
    </row>
    <row r="159" spans="1:8" x14ac:dyDescent="0.2">
      <c r="A159" s="13">
        <f t="shared" si="35"/>
        <v>151</v>
      </c>
      <c r="B159" s="64" t="str">
        <f t="shared" si="40"/>
        <v>58E &amp; 59E</v>
      </c>
      <c r="C159" s="29" t="s">
        <v>22</v>
      </c>
      <c r="D159" s="78" t="s">
        <v>25</v>
      </c>
      <c r="E159" s="38">
        <v>12.54</v>
      </c>
      <c r="F159" s="38">
        <f t="shared" si="38"/>
        <v>0.01</v>
      </c>
      <c r="G159" s="151">
        <v>0</v>
      </c>
      <c r="H159" s="55">
        <f t="shared" si="39"/>
        <v>0</v>
      </c>
    </row>
    <row r="160" spans="1:8" x14ac:dyDescent="0.2">
      <c r="A160" s="13">
        <f t="shared" si="35"/>
        <v>152</v>
      </c>
      <c r="B160" s="64" t="str">
        <f t="shared" si="40"/>
        <v>58E &amp; 59E</v>
      </c>
      <c r="C160" s="29" t="s">
        <v>22</v>
      </c>
      <c r="D160" s="78" t="s">
        <v>24</v>
      </c>
      <c r="E160" s="38">
        <v>14.82</v>
      </c>
      <c r="F160" s="38">
        <f t="shared" si="38"/>
        <v>0.01</v>
      </c>
      <c r="G160" s="151">
        <v>0</v>
      </c>
      <c r="H160" s="55">
        <f t="shared" si="39"/>
        <v>0</v>
      </c>
    </row>
    <row r="161" spans="1:8" x14ac:dyDescent="0.2">
      <c r="A161" s="13">
        <f t="shared" si="35"/>
        <v>153</v>
      </c>
      <c r="B161" s="64" t="str">
        <f t="shared" si="40"/>
        <v>58E &amp; 59E</v>
      </c>
      <c r="C161" s="29" t="s">
        <v>22</v>
      </c>
      <c r="D161" s="78" t="s">
        <v>23</v>
      </c>
      <c r="E161" s="38">
        <v>17.100000000000001</v>
      </c>
      <c r="F161" s="38">
        <f t="shared" si="38"/>
        <v>0.01</v>
      </c>
      <c r="G161" s="151">
        <v>0</v>
      </c>
      <c r="H161" s="55">
        <f t="shared" si="39"/>
        <v>0</v>
      </c>
    </row>
    <row r="162" spans="1:8" x14ac:dyDescent="0.2">
      <c r="A162" s="13">
        <f t="shared" si="35"/>
        <v>154</v>
      </c>
      <c r="B162" s="64" t="str">
        <f t="shared" si="40"/>
        <v>58E &amp; 59E</v>
      </c>
      <c r="C162" s="29" t="s">
        <v>22</v>
      </c>
      <c r="D162" s="78" t="s">
        <v>21</v>
      </c>
      <c r="E162" s="38">
        <v>19.38</v>
      </c>
      <c r="F162" s="38">
        <f t="shared" si="38"/>
        <v>0.01</v>
      </c>
      <c r="G162" s="151">
        <v>0</v>
      </c>
      <c r="H162" s="55">
        <f t="shared" si="39"/>
        <v>0</v>
      </c>
    </row>
    <row r="163" spans="1:8" x14ac:dyDescent="0.2">
      <c r="A163" s="13">
        <f t="shared" si="35"/>
        <v>155</v>
      </c>
      <c r="G163" s="151">
        <v>0</v>
      </c>
    </row>
    <row r="164" spans="1:8" x14ac:dyDescent="0.2">
      <c r="A164" s="13">
        <f t="shared" si="35"/>
        <v>156</v>
      </c>
      <c r="D164" s="30"/>
    </row>
    <row r="165" spans="1:8" x14ac:dyDescent="0.2">
      <c r="A165" s="13">
        <f t="shared" si="35"/>
        <v>157</v>
      </c>
      <c r="D165" s="30"/>
      <c r="G165" s="76" t="s">
        <v>119</v>
      </c>
      <c r="H165" s="55">
        <f>SUM(H11:H162)</f>
        <v>260.613404</v>
      </c>
    </row>
    <row r="166" spans="1:8" ht="13.5" x14ac:dyDescent="0.35">
      <c r="A166" s="13">
        <f t="shared" si="35"/>
        <v>158</v>
      </c>
      <c r="D166" s="30"/>
      <c r="G166" s="77" t="s">
        <v>118</v>
      </c>
      <c r="H166" s="152">
        <f>'Rate Spread &amp; Design'!I31</f>
        <v>341.31611319738693</v>
      </c>
    </row>
    <row r="167" spans="1:8" x14ac:dyDescent="0.2">
      <c r="A167" s="13">
        <f t="shared" si="35"/>
        <v>159</v>
      </c>
      <c r="G167" s="76" t="s">
        <v>117</v>
      </c>
      <c r="H167" s="55">
        <f>+H166-H165</f>
        <v>80.702709197386923</v>
      </c>
    </row>
    <row r="168" spans="1:8" ht="13.5" x14ac:dyDescent="0.35">
      <c r="A168" s="13">
        <f t="shared" si="35"/>
        <v>160</v>
      </c>
      <c r="B168" s="39"/>
      <c r="F168" s="55"/>
      <c r="G168" s="75" t="s">
        <v>116</v>
      </c>
      <c r="H168" s="153">
        <v>5.4900000000000001E-4</v>
      </c>
    </row>
    <row r="169" spans="1:8" ht="13.5" x14ac:dyDescent="0.35">
      <c r="A169" s="13">
        <f t="shared" si="35"/>
        <v>161</v>
      </c>
      <c r="B169" s="39"/>
      <c r="F169" s="55"/>
      <c r="G169" s="75"/>
      <c r="H169" s="153"/>
    </row>
    <row r="170" spans="1:8" ht="12.75" x14ac:dyDescent="0.2">
      <c r="A170" s="13">
        <f t="shared" si="35"/>
        <v>162</v>
      </c>
      <c r="B170" s="1" t="s">
        <v>135</v>
      </c>
      <c r="C170" s="154"/>
      <c r="D170" s="154"/>
      <c r="E170" s="154"/>
      <c r="F170" s="154"/>
      <c r="G170" s="154"/>
      <c r="H170" s="154"/>
    </row>
    <row r="171" spans="1:8" x14ac:dyDescent="0.2">
      <c r="A171" s="13"/>
    </row>
  </sheetData>
  <mergeCells count="1">
    <mergeCell ref="B170:H170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79998168889431442"/>
  </sheetPr>
  <dimension ref="A1:U39"/>
  <sheetViews>
    <sheetView zoomScaleNormal="100" workbookViewId="0">
      <pane ySplit="1" topLeftCell="A2" activePane="bottomLeft" state="frozen"/>
      <selection activeCell="B18" sqref="B18"/>
      <selection pane="bottomLeft" activeCell="B18" sqref="B18"/>
    </sheetView>
  </sheetViews>
  <sheetFormatPr defaultRowHeight="11.25" x14ac:dyDescent="0.2"/>
  <cols>
    <col min="1" max="1" width="3.85546875" style="4" bestFit="1" customWidth="1"/>
    <col min="2" max="2" width="19" style="4" bestFit="1" customWidth="1"/>
    <col min="3" max="3" width="18.28515625" style="4" bestFit="1" customWidth="1"/>
    <col min="4" max="4" width="7.7109375" style="4" bestFit="1" customWidth="1"/>
    <col min="5" max="5" width="9.7109375" style="4" bestFit="1" customWidth="1"/>
    <col min="6" max="6" width="8.42578125" style="4" bestFit="1" customWidth="1"/>
    <col min="7" max="7" width="11" style="4" bestFit="1" customWidth="1"/>
    <col min="8" max="8" width="8.5703125" style="4" bestFit="1" customWidth="1"/>
    <col min="9" max="9" width="1.7109375" style="4" customWidth="1"/>
    <col min="10" max="10" width="9.7109375" style="4" bestFit="1" customWidth="1"/>
    <col min="11" max="11" width="8.42578125" style="4" bestFit="1" customWidth="1"/>
    <col min="12" max="12" width="11" style="4" bestFit="1" customWidth="1"/>
    <col min="13" max="13" width="7.7109375" style="4" bestFit="1" customWidth="1"/>
    <col min="14" max="14" width="1.7109375" style="4" customWidth="1"/>
    <col min="15" max="15" width="8.85546875" style="4" bestFit="1" customWidth="1"/>
    <col min="16" max="16" width="7.28515625" style="4" bestFit="1" customWidth="1"/>
    <col min="17" max="17" width="8.5703125" style="4" bestFit="1" customWidth="1"/>
    <col min="18" max="18" width="1.7109375" style="4" customWidth="1"/>
    <col min="19" max="19" width="5.7109375" style="4" bestFit="1" customWidth="1"/>
    <col min="20" max="20" width="10.42578125" style="4" bestFit="1" customWidth="1"/>
    <col min="21" max="21" width="9.140625" style="4"/>
    <col min="22" max="22" width="22.28515625" style="4" bestFit="1" customWidth="1"/>
    <col min="23" max="16384" width="9.140625" style="4"/>
  </cols>
  <sheetData>
    <row r="1" spans="1:19" x14ac:dyDescent="0.2">
      <c r="A1" s="4" t="s">
        <v>140</v>
      </c>
      <c r="E1" s="6" t="s">
        <v>16</v>
      </c>
      <c r="F1" s="6" t="s">
        <v>16</v>
      </c>
      <c r="G1" s="6" t="s">
        <v>16</v>
      </c>
      <c r="J1" s="6" t="s">
        <v>17</v>
      </c>
      <c r="K1" s="6" t="s">
        <v>17</v>
      </c>
      <c r="L1" s="6" t="s">
        <v>17</v>
      </c>
    </row>
    <row r="2" spans="1:19" x14ac:dyDescent="0.2">
      <c r="A2" s="111">
        <f>ROW()</f>
        <v>2</v>
      </c>
      <c r="B2" s="112" t="s">
        <v>141</v>
      </c>
      <c r="C2" s="109" t="s">
        <v>142</v>
      </c>
      <c r="D2" s="113"/>
      <c r="E2" s="114">
        <v>0.95034799999999997</v>
      </c>
      <c r="F2" s="114">
        <v>0.95034799999999997</v>
      </c>
      <c r="G2" s="114">
        <v>0.95034799999999997</v>
      </c>
      <c r="H2" s="113"/>
      <c r="I2" s="114"/>
      <c r="J2" s="114">
        <v>0.95344399999999996</v>
      </c>
      <c r="K2" s="114">
        <v>0.95344399999999996</v>
      </c>
      <c r="L2" s="114">
        <v>0.95344399999999996</v>
      </c>
      <c r="M2" s="113"/>
      <c r="N2" s="113"/>
      <c r="O2" s="113"/>
      <c r="P2" s="113"/>
      <c r="Q2" s="113"/>
      <c r="R2" s="113"/>
      <c r="S2" s="113"/>
    </row>
    <row r="3" spans="1:19" x14ac:dyDescent="0.2">
      <c r="A3" s="111">
        <f>ROW()</f>
        <v>3</v>
      </c>
      <c r="B3" s="112" t="s">
        <v>199</v>
      </c>
      <c r="C3" s="109">
        <v>2.1916666666666664E-3</v>
      </c>
      <c r="D3" s="113"/>
      <c r="E3" s="115" t="s">
        <v>1</v>
      </c>
      <c r="F3" s="115" t="s">
        <v>143</v>
      </c>
      <c r="G3" s="115"/>
      <c r="H3" s="115" t="s">
        <v>8</v>
      </c>
      <c r="I3" s="114"/>
      <c r="J3" s="115" t="s">
        <v>1</v>
      </c>
      <c r="K3" s="115" t="s">
        <v>143</v>
      </c>
      <c r="L3" s="115"/>
      <c r="M3" s="115" t="s">
        <v>8</v>
      </c>
      <c r="N3" s="113"/>
      <c r="O3" s="115" t="s">
        <v>8</v>
      </c>
      <c r="P3" s="115" t="s">
        <v>8</v>
      </c>
      <c r="Q3" s="115" t="s">
        <v>8</v>
      </c>
      <c r="R3" s="113"/>
      <c r="S3" s="113"/>
    </row>
    <row r="4" spans="1:19" x14ac:dyDescent="0.2">
      <c r="A4" s="111">
        <f>ROW()</f>
        <v>4</v>
      </c>
      <c r="B4" s="112" t="s">
        <v>200</v>
      </c>
      <c r="C4" s="109">
        <v>2.1916666666666664E-3</v>
      </c>
      <c r="D4" s="113" t="s">
        <v>144</v>
      </c>
      <c r="E4" s="115" t="s">
        <v>145</v>
      </c>
      <c r="F4" s="115" t="s">
        <v>145</v>
      </c>
      <c r="G4" s="115" t="s">
        <v>146</v>
      </c>
      <c r="H4" s="115" t="s">
        <v>16</v>
      </c>
      <c r="I4" s="114"/>
      <c r="J4" s="115" t="s">
        <v>145</v>
      </c>
      <c r="K4" s="115" t="s">
        <v>145</v>
      </c>
      <c r="L4" s="115" t="s">
        <v>146</v>
      </c>
      <c r="M4" s="115" t="s">
        <v>17</v>
      </c>
      <c r="N4" s="113"/>
      <c r="O4" s="115" t="s">
        <v>147</v>
      </c>
      <c r="P4" s="115" t="s">
        <v>148</v>
      </c>
      <c r="Q4" s="115" t="s">
        <v>8</v>
      </c>
      <c r="R4" s="113"/>
      <c r="S4" s="115" t="s">
        <v>149</v>
      </c>
    </row>
    <row r="5" spans="1:19" x14ac:dyDescent="0.2">
      <c r="A5" s="4">
        <f>ROW()</f>
        <v>5</v>
      </c>
      <c r="B5" s="116" t="s">
        <v>147</v>
      </c>
      <c r="D5" s="117">
        <v>44986</v>
      </c>
      <c r="E5" s="118">
        <v>32316</v>
      </c>
      <c r="F5" s="118">
        <v>42027</v>
      </c>
      <c r="G5" s="118">
        <v>43031</v>
      </c>
      <c r="H5" s="118">
        <f t="shared" ref="H5:H15" si="0">SUM(E5:G5)</f>
        <v>117374</v>
      </c>
      <c r="I5" s="118"/>
      <c r="J5" s="118">
        <v>17684</v>
      </c>
      <c r="K5" s="118">
        <v>7973</v>
      </c>
      <c r="L5" s="118">
        <v>57300</v>
      </c>
      <c r="M5" s="118">
        <f t="shared" ref="M5:M15" si="1">SUM(J5:L5)</f>
        <v>82957</v>
      </c>
      <c r="N5" s="118"/>
      <c r="O5" s="119">
        <f>SUM(H5,M5)</f>
        <v>200331</v>
      </c>
      <c r="Q5" s="119">
        <f>SUM(O5:P5)</f>
        <v>200331</v>
      </c>
      <c r="R5" s="118"/>
      <c r="S5" s="110">
        <f>SUM(E5:G5,J5:L5)-Q5</f>
        <v>0</v>
      </c>
    </row>
    <row r="6" spans="1:19" x14ac:dyDescent="0.2">
      <c r="A6" s="4">
        <f>ROW()</f>
        <v>6</v>
      </c>
      <c r="B6" s="36"/>
      <c r="C6" s="36" t="s">
        <v>148</v>
      </c>
      <c r="D6" s="120">
        <v>44986</v>
      </c>
      <c r="E6" s="121">
        <f>E$5*$C$3/2</f>
        <v>35.412949999999995</v>
      </c>
      <c r="F6" s="121">
        <f t="shared" ref="F6:G6" si="2">F$5*$C$3/2</f>
        <v>46.054587499999997</v>
      </c>
      <c r="G6" s="121">
        <f t="shared" si="2"/>
        <v>47.154804166666658</v>
      </c>
      <c r="H6" s="121">
        <f t="shared" ref="H6" si="3">SUM(E6:G6)</f>
        <v>128.62234166666664</v>
      </c>
      <c r="J6" s="121">
        <f>J$5*$C$3/2</f>
        <v>19.378716666666666</v>
      </c>
      <c r="K6" s="121">
        <f t="shared" ref="K6:L6" si="4">K$5*$C$3/2</f>
        <v>8.7370791666666658</v>
      </c>
      <c r="L6" s="121">
        <f t="shared" si="4"/>
        <v>62.791249999999991</v>
      </c>
      <c r="M6" s="121">
        <f t="shared" ref="M6" si="5">SUM(J6:L6)</f>
        <v>90.907045833333314</v>
      </c>
      <c r="P6" s="29">
        <f t="shared" ref="P6:P15" si="6">SUM(H6,M6)</f>
        <v>219.52938749999996</v>
      </c>
      <c r="Q6" s="29">
        <f t="shared" ref="Q6:Q25" si="7">SUM(O6:P6)</f>
        <v>219.52938749999996</v>
      </c>
      <c r="S6" s="110">
        <f t="shared" ref="S6:S26" si="8">SUM(E6:G6,J6:L6)-Q6</f>
        <v>0</v>
      </c>
    </row>
    <row r="7" spans="1:19" x14ac:dyDescent="0.2">
      <c r="A7" s="4">
        <f>ROW()</f>
        <v>7</v>
      </c>
      <c r="C7" s="36" t="s">
        <v>148</v>
      </c>
      <c r="D7" s="120">
        <v>45017</v>
      </c>
      <c r="E7" s="121">
        <f>E$5*$C$3/2+E$5*$C$3</f>
        <v>106.23884999999999</v>
      </c>
      <c r="F7" s="121">
        <f t="shared" ref="F7:G9" si="9">F$5*$C$3/2+F$5*$C$3</f>
        <v>138.16376249999999</v>
      </c>
      <c r="G7" s="121">
        <f t="shared" si="9"/>
        <v>141.46441249999998</v>
      </c>
      <c r="H7" s="121">
        <f t="shared" si="0"/>
        <v>385.86702499999996</v>
      </c>
      <c r="J7" s="121">
        <f>J$5*$C$3/2+J$5*$C$3</f>
        <v>58.136150000000001</v>
      </c>
      <c r="K7" s="121">
        <f t="shared" ref="K7:L9" si="10">K$5*$C$3/2+K$5*$C$3</f>
        <v>26.211237499999996</v>
      </c>
      <c r="L7" s="121">
        <f t="shared" si="10"/>
        <v>188.37374999999997</v>
      </c>
      <c r="M7" s="121">
        <f t="shared" si="1"/>
        <v>272.72113749999994</v>
      </c>
      <c r="P7" s="29">
        <f t="shared" si="6"/>
        <v>658.58816249999995</v>
      </c>
      <c r="Q7" s="29">
        <f t="shared" si="7"/>
        <v>658.58816249999995</v>
      </c>
      <c r="S7" s="110">
        <f t="shared" si="8"/>
        <v>0</v>
      </c>
    </row>
    <row r="8" spans="1:19" x14ac:dyDescent="0.2">
      <c r="A8" s="4">
        <f>ROW()</f>
        <v>8</v>
      </c>
      <c r="C8" s="36" t="s">
        <v>148</v>
      </c>
      <c r="D8" s="120">
        <v>45047</v>
      </c>
      <c r="E8" s="121">
        <f t="shared" ref="E8:E9" si="11">E$5*$C$3/2+E$5*$C$3</f>
        <v>106.23884999999999</v>
      </c>
      <c r="F8" s="121">
        <f t="shared" si="9"/>
        <v>138.16376249999999</v>
      </c>
      <c r="G8" s="121">
        <f t="shared" si="9"/>
        <v>141.46441249999998</v>
      </c>
      <c r="H8" s="121">
        <f t="shared" si="0"/>
        <v>385.86702499999996</v>
      </c>
      <c r="J8" s="121">
        <f t="shared" ref="J8:J9" si="12">J$5*$C$3/2+J$5*$C$3</f>
        <v>58.136150000000001</v>
      </c>
      <c r="K8" s="121">
        <f t="shared" si="10"/>
        <v>26.211237499999996</v>
      </c>
      <c r="L8" s="121">
        <f t="shared" si="10"/>
        <v>188.37374999999997</v>
      </c>
      <c r="M8" s="121">
        <f t="shared" si="1"/>
        <v>272.72113749999994</v>
      </c>
      <c r="P8" s="29">
        <f t="shared" si="6"/>
        <v>658.58816249999995</v>
      </c>
      <c r="Q8" s="29">
        <f t="shared" si="7"/>
        <v>658.58816249999995</v>
      </c>
      <c r="S8" s="110">
        <f t="shared" si="8"/>
        <v>0</v>
      </c>
    </row>
    <row r="9" spans="1:19" x14ac:dyDescent="0.2">
      <c r="A9" s="4">
        <f>ROW()</f>
        <v>9</v>
      </c>
      <c r="C9" s="36" t="s">
        <v>148</v>
      </c>
      <c r="D9" s="120">
        <v>45078</v>
      </c>
      <c r="E9" s="121">
        <f t="shared" si="11"/>
        <v>106.23884999999999</v>
      </c>
      <c r="F9" s="121">
        <f t="shared" si="9"/>
        <v>138.16376249999999</v>
      </c>
      <c r="G9" s="121">
        <f t="shared" si="9"/>
        <v>141.46441249999998</v>
      </c>
      <c r="H9" s="121">
        <f t="shared" si="0"/>
        <v>385.86702499999996</v>
      </c>
      <c r="J9" s="121">
        <f t="shared" si="12"/>
        <v>58.136150000000001</v>
      </c>
      <c r="K9" s="121">
        <f t="shared" si="10"/>
        <v>26.211237499999996</v>
      </c>
      <c r="L9" s="121">
        <f t="shared" si="10"/>
        <v>188.37374999999997</v>
      </c>
      <c r="M9" s="121">
        <f t="shared" si="1"/>
        <v>272.72113749999994</v>
      </c>
      <c r="P9" s="29">
        <f t="shared" si="6"/>
        <v>658.58816249999995</v>
      </c>
      <c r="Q9" s="29">
        <f t="shared" si="7"/>
        <v>658.58816249999995</v>
      </c>
      <c r="S9" s="110">
        <f t="shared" si="8"/>
        <v>0</v>
      </c>
    </row>
    <row r="10" spans="1:19" x14ac:dyDescent="0.2">
      <c r="A10" s="4">
        <f>ROW()</f>
        <v>10</v>
      </c>
      <c r="C10" s="36" t="s">
        <v>148</v>
      </c>
      <c r="D10" s="120">
        <v>45108</v>
      </c>
      <c r="E10" s="121">
        <f>E$5*$C$4/2+E$5*$C$3</f>
        <v>106.23884999999999</v>
      </c>
      <c r="F10" s="121">
        <f t="shared" ref="F10:G10" si="13">F$5*$C$4/2+F$5*$C$3</f>
        <v>138.16376249999999</v>
      </c>
      <c r="G10" s="121">
        <f t="shared" si="13"/>
        <v>141.46441249999998</v>
      </c>
      <c r="H10" s="121">
        <f t="shared" si="0"/>
        <v>385.86702499999996</v>
      </c>
      <c r="J10" s="121">
        <f>J$5*$C$4/2+J$5*$C$3</f>
        <v>58.136150000000001</v>
      </c>
      <c r="K10" s="121">
        <f t="shared" ref="K10:L10" si="14">K$5*$C$4/2+K$5*$C$3</f>
        <v>26.211237499999996</v>
      </c>
      <c r="L10" s="121">
        <f t="shared" si="14"/>
        <v>188.37374999999997</v>
      </c>
      <c r="M10" s="121">
        <f t="shared" si="1"/>
        <v>272.72113749999994</v>
      </c>
      <c r="P10" s="29">
        <f t="shared" si="6"/>
        <v>658.58816249999995</v>
      </c>
      <c r="Q10" s="29">
        <f t="shared" si="7"/>
        <v>658.58816249999995</v>
      </c>
      <c r="S10" s="110">
        <f t="shared" si="8"/>
        <v>0</v>
      </c>
    </row>
    <row r="11" spans="1:19" x14ac:dyDescent="0.2">
      <c r="A11" s="4">
        <f>ROW()</f>
        <v>11</v>
      </c>
      <c r="C11" s="36" t="s">
        <v>148</v>
      </c>
      <c r="D11" s="120">
        <v>45139</v>
      </c>
      <c r="E11" s="121">
        <f t="shared" ref="E11:G15" si="15">E$5*$C$4/2+E$5*$C$4</f>
        <v>106.23884999999999</v>
      </c>
      <c r="F11" s="121">
        <f t="shared" si="15"/>
        <v>138.16376249999999</v>
      </c>
      <c r="G11" s="121">
        <f t="shared" si="15"/>
        <v>141.46441249999998</v>
      </c>
      <c r="H11" s="121">
        <f t="shared" si="0"/>
        <v>385.86702499999996</v>
      </c>
      <c r="J11" s="121">
        <f t="shared" ref="J11:L15" si="16">J$5*$C$4/2+J$5*$C$4</f>
        <v>58.136150000000001</v>
      </c>
      <c r="K11" s="121">
        <f t="shared" si="16"/>
        <v>26.211237499999996</v>
      </c>
      <c r="L11" s="121">
        <f t="shared" si="16"/>
        <v>188.37374999999997</v>
      </c>
      <c r="M11" s="121">
        <f t="shared" si="1"/>
        <v>272.72113749999994</v>
      </c>
      <c r="P11" s="29">
        <f t="shared" si="6"/>
        <v>658.58816249999995</v>
      </c>
      <c r="Q11" s="29">
        <f t="shared" si="7"/>
        <v>658.58816249999995</v>
      </c>
      <c r="S11" s="110">
        <f t="shared" si="8"/>
        <v>0</v>
      </c>
    </row>
    <row r="12" spans="1:19" x14ac:dyDescent="0.2">
      <c r="A12" s="4">
        <f>ROW()</f>
        <v>12</v>
      </c>
      <c r="C12" s="36" t="s">
        <v>148</v>
      </c>
      <c r="D12" s="120">
        <v>45170</v>
      </c>
      <c r="E12" s="121">
        <f t="shared" si="15"/>
        <v>106.23884999999999</v>
      </c>
      <c r="F12" s="121">
        <f t="shared" si="15"/>
        <v>138.16376249999999</v>
      </c>
      <c r="G12" s="121">
        <f t="shared" si="15"/>
        <v>141.46441249999998</v>
      </c>
      <c r="H12" s="121">
        <f t="shared" si="0"/>
        <v>385.86702499999996</v>
      </c>
      <c r="J12" s="121">
        <f t="shared" si="16"/>
        <v>58.136150000000001</v>
      </c>
      <c r="K12" s="121">
        <f t="shared" si="16"/>
        <v>26.211237499999996</v>
      </c>
      <c r="L12" s="121">
        <f t="shared" si="16"/>
        <v>188.37374999999997</v>
      </c>
      <c r="M12" s="121">
        <f t="shared" si="1"/>
        <v>272.72113749999994</v>
      </c>
      <c r="P12" s="29">
        <f t="shared" si="6"/>
        <v>658.58816249999995</v>
      </c>
      <c r="Q12" s="29">
        <f t="shared" si="7"/>
        <v>658.58816249999995</v>
      </c>
      <c r="S12" s="110">
        <f t="shared" si="8"/>
        <v>0</v>
      </c>
    </row>
    <row r="13" spans="1:19" x14ac:dyDescent="0.2">
      <c r="A13" s="4">
        <f>ROW()</f>
        <v>13</v>
      </c>
      <c r="C13" s="36" t="s">
        <v>148</v>
      </c>
      <c r="D13" s="120">
        <v>45200</v>
      </c>
      <c r="E13" s="121">
        <f t="shared" si="15"/>
        <v>106.23884999999999</v>
      </c>
      <c r="F13" s="121">
        <f t="shared" si="15"/>
        <v>138.16376249999999</v>
      </c>
      <c r="G13" s="121">
        <f t="shared" si="15"/>
        <v>141.46441249999998</v>
      </c>
      <c r="H13" s="121">
        <f t="shared" si="0"/>
        <v>385.86702499999996</v>
      </c>
      <c r="J13" s="121">
        <f t="shared" si="16"/>
        <v>58.136150000000001</v>
      </c>
      <c r="K13" s="121">
        <f t="shared" si="16"/>
        <v>26.211237499999996</v>
      </c>
      <c r="L13" s="121">
        <f t="shared" si="16"/>
        <v>188.37374999999997</v>
      </c>
      <c r="M13" s="121">
        <f t="shared" si="1"/>
        <v>272.72113749999994</v>
      </c>
      <c r="P13" s="29">
        <f t="shared" si="6"/>
        <v>658.58816249999995</v>
      </c>
      <c r="Q13" s="29">
        <f t="shared" si="7"/>
        <v>658.58816249999995</v>
      </c>
      <c r="S13" s="110">
        <f t="shared" si="8"/>
        <v>0</v>
      </c>
    </row>
    <row r="14" spans="1:19" x14ac:dyDescent="0.2">
      <c r="A14" s="4">
        <f>ROW()</f>
        <v>14</v>
      </c>
      <c r="C14" s="36" t="s">
        <v>148</v>
      </c>
      <c r="D14" s="120">
        <v>45231</v>
      </c>
      <c r="E14" s="121">
        <f t="shared" si="15"/>
        <v>106.23884999999999</v>
      </c>
      <c r="F14" s="121">
        <f t="shared" si="15"/>
        <v>138.16376249999999</v>
      </c>
      <c r="G14" s="121">
        <f t="shared" si="15"/>
        <v>141.46441249999998</v>
      </c>
      <c r="H14" s="121">
        <f t="shared" si="0"/>
        <v>385.86702499999996</v>
      </c>
      <c r="J14" s="121">
        <f t="shared" si="16"/>
        <v>58.136150000000001</v>
      </c>
      <c r="K14" s="121">
        <f t="shared" si="16"/>
        <v>26.211237499999996</v>
      </c>
      <c r="L14" s="121">
        <f t="shared" si="16"/>
        <v>188.37374999999997</v>
      </c>
      <c r="M14" s="121">
        <f t="shared" si="1"/>
        <v>272.72113749999994</v>
      </c>
      <c r="P14" s="29">
        <f t="shared" si="6"/>
        <v>658.58816249999995</v>
      </c>
      <c r="Q14" s="29">
        <f t="shared" si="7"/>
        <v>658.58816249999995</v>
      </c>
      <c r="S14" s="110">
        <f t="shared" si="8"/>
        <v>0</v>
      </c>
    </row>
    <row r="15" spans="1:19" x14ac:dyDescent="0.2">
      <c r="A15" s="4">
        <f>ROW()</f>
        <v>15</v>
      </c>
      <c r="C15" s="36" t="s">
        <v>148</v>
      </c>
      <c r="D15" s="120">
        <v>45261</v>
      </c>
      <c r="E15" s="121">
        <f t="shared" si="15"/>
        <v>106.23884999999999</v>
      </c>
      <c r="F15" s="121">
        <f t="shared" si="15"/>
        <v>138.16376249999999</v>
      </c>
      <c r="G15" s="121">
        <f t="shared" si="15"/>
        <v>141.46441249999998</v>
      </c>
      <c r="H15" s="121">
        <f t="shared" si="0"/>
        <v>385.86702499999996</v>
      </c>
      <c r="J15" s="121">
        <f t="shared" si="16"/>
        <v>58.136150000000001</v>
      </c>
      <c r="K15" s="121">
        <f t="shared" si="16"/>
        <v>26.211237499999996</v>
      </c>
      <c r="L15" s="121">
        <f t="shared" si="16"/>
        <v>188.37374999999997</v>
      </c>
      <c r="M15" s="121">
        <f t="shared" si="1"/>
        <v>272.72113749999994</v>
      </c>
      <c r="P15" s="29">
        <f t="shared" si="6"/>
        <v>658.58816249999995</v>
      </c>
      <c r="Q15" s="29">
        <f t="shared" si="7"/>
        <v>658.58816249999995</v>
      </c>
      <c r="S15" s="110">
        <f t="shared" si="8"/>
        <v>0</v>
      </c>
    </row>
    <row r="16" spans="1:19" x14ac:dyDescent="0.2">
      <c r="A16" s="4">
        <f>ROW()</f>
        <v>16</v>
      </c>
      <c r="Q16" s="29"/>
    </row>
    <row r="17" spans="1:19" x14ac:dyDescent="0.2">
      <c r="A17" s="4">
        <f>ROW()</f>
        <v>17</v>
      </c>
      <c r="B17" s="116" t="s">
        <v>150</v>
      </c>
      <c r="D17" s="117">
        <v>45047</v>
      </c>
      <c r="E17" s="15"/>
      <c r="F17" s="15"/>
      <c r="G17" s="118">
        <v>10500</v>
      </c>
      <c r="H17" s="118">
        <f t="shared" ref="H17" si="17">SUM(E17:G17)</f>
        <v>10500</v>
      </c>
      <c r="I17" s="15"/>
      <c r="J17" s="15"/>
      <c r="K17" s="15"/>
      <c r="L17" s="118">
        <v>4500</v>
      </c>
      <c r="M17" s="118">
        <f t="shared" ref="M17" si="18">SUM(J17:L17)</f>
        <v>4500</v>
      </c>
      <c r="N17" s="15"/>
      <c r="O17" s="119">
        <f>SUM(H17,M17)</f>
        <v>15000</v>
      </c>
      <c r="Q17" s="122">
        <f t="shared" si="7"/>
        <v>15000</v>
      </c>
      <c r="R17" s="15"/>
      <c r="S17" s="110">
        <f t="shared" si="8"/>
        <v>0</v>
      </c>
    </row>
    <row r="18" spans="1:19" x14ac:dyDescent="0.2">
      <c r="A18" s="4">
        <f>ROW()</f>
        <v>18</v>
      </c>
      <c r="C18" s="36" t="s">
        <v>148</v>
      </c>
      <c r="D18" s="120">
        <v>45047</v>
      </c>
      <c r="E18" s="121">
        <f>E$17*$C$3/2</f>
        <v>0</v>
      </c>
      <c r="F18" s="121">
        <f>F$17*$C$3/2</f>
        <v>0</v>
      </c>
      <c r="G18" s="121">
        <f>G$17*$C$3/2</f>
        <v>11.506249999999998</v>
      </c>
      <c r="H18" s="121">
        <f t="shared" ref="H18:H26" si="19">SUM(E18:G18)</f>
        <v>11.506249999999998</v>
      </c>
      <c r="J18" s="121">
        <f>J$17*$C$3/2</f>
        <v>0</v>
      </c>
      <c r="K18" s="121">
        <f>K$17*$C$3/2</f>
        <v>0</v>
      </c>
      <c r="L18" s="121">
        <f>L$17*$C$3/2</f>
        <v>4.9312499999999995</v>
      </c>
      <c r="M18" s="121">
        <f t="shared" ref="M18" si="20">SUM(J18:L18)</f>
        <v>4.9312499999999995</v>
      </c>
      <c r="P18" s="29">
        <f t="shared" ref="P18:P25" si="21">SUM(H18,M18)</f>
        <v>16.437499999999996</v>
      </c>
      <c r="Q18" s="29">
        <f t="shared" si="7"/>
        <v>16.437499999999996</v>
      </c>
      <c r="S18" s="110">
        <f t="shared" si="8"/>
        <v>0</v>
      </c>
    </row>
    <row r="19" spans="1:19" x14ac:dyDescent="0.2">
      <c r="A19" s="4">
        <f>ROW()</f>
        <v>19</v>
      </c>
      <c r="C19" s="36" t="s">
        <v>148</v>
      </c>
      <c r="D19" s="120">
        <v>45078</v>
      </c>
      <c r="E19" s="121">
        <f>E$17*$C$3/2+E$17*$C$3</f>
        <v>0</v>
      </c>
      <c r="F19" s="121">
        <f t="shared" ref="F19:G19" si="22">F$17*$C$3/2+F$17*$C$3</f>
        <v>0</v>
      </c>
      <c r="G19" s="121">
        <f t="shared" si="22"/>
        <v>34.518749999999997</v>
      </c>
      <c r="H19" s="121">
        <f t="shared" si="19"/>
        <v>34.518749999999997</v>
      </c>
      <c r="J19" s="121">
        <f>J$17*$C$3/2+J$17*$C$3</f>
        <v>0</v>
      </c>
      <c r="K19" s="121">
        <f t="shared" ref="K19:L19" si="23">K$17*$C$3/2+K$17*$C$3</f>
        <v>0</v>
      </c>
      <c r="L19" s="121">
        <f t="shared" si="23"/>
        <v>14.793749999999999</v>
      </c>
      <c r="M19" s="121">
        <f t="shared" ref="M19:M26" si="24">SUM(J19:L19)</f>
        <v>14.793749999999999</v>
      </c>
      <c r="P19" s="29">
        <f t="shared" si="21"/>
        <v>49.3125</v>
      </c>
      <c r="Q19" s="29">
        <f t="shared" si="7"/>
        <v>49.3125</v>
      </c>
      <c r="S19" s="110">
        <f t="shared" si="8"/>
        <v>0</v>
      </c>
    </row>
    <row r="20" spans="1:19" x14ac:dyDescent="0.2">
      <c r="A20" s="4">
        <f>ROW()</f>
        <v>20</v>
      </c>
      <c r="C20" s="36" t="s">
        <v>148</v>
      </c>
      <c r="D20" s="120">
        <v>45108</v>
      </c>
      <c r="E20" s="121">
        <f>E$17*$C$4/2+E$17*$C$3</f>
        <v>0</v>
      </c>
      <c r="F20" s="121">
        <f t="shared" ref="F20:G20" si="25">F$17*$C$4/2+F$17*$C$3</f>
        <v>0</v>
      </c>
      <c r="G20" s="121">
        <f t="shared" si="25"/>
        <v>34.518749999999997</v>
      </c>
      <c r="H20" s="121">
        <f t="shared" si="19"/>
        <v>34.518749999999997</v>
      </c>
      <c r="J20" s="121">
        <f>J$17*$C$4/2+J$17*$C$3</f>
        <v>0</v>
      </c>
      <c r="K20" s="121">
        <f t="shared" ref="K20:L20" si="26">K$17*$C$4/2+K$17*$C$3</f>
        <v>0</v>
      </c>
      <c r="L20" s="121">
        <f t="shared" si="26"/>
        <v>14.793749999999999</v>
      </c>
      <c r="M20" s="121">
        <f t="shared" si="24"/>
        <v>14.793749999999999</v>
      </c>
      <c r="P20" s="29">
        <f t="shared" si="21"/>
        <v>49.3125</v>
      </c>
      <c r="Q20" s="29">
        <f t="shared" si="7"/>
        <v>49.3125</v>
      </c>
      <c r="S20" s="110">
        <f t="shared" si="8"/>
        <v>0</v>
      </c>
    </row>
    <row r="21" spans="1:19" x14ac:dyDescent="0.2">
      <c r="A21" s="4">
        <f>ROW()</f>
        <v>21</v>
      </c>
      <c r="C21" s="36" t="s">
        <v>148</v>
      </c>
      <c r="D21" s="120">
        <v>45139</v>
      </c>
      <c r="E21" s="121">
        <f>E$17*$C$4/2+E$17*$C$4</f>
        <v>0</v>
      </c>
      <c r="F21" s="121">
        <f t="shared" ref="F21:G25" si="27">F$17*$C$4/2+F$17*$C$4</f>
        <v>0</v>
      </c>
      <c r="G21" s="121">
        <f t="shared" si="27"/>
        <v>34.518749999999997</v>
      </c>
      <c r="H21" s="121">
        <f t="shared" si="19"/>
        <v>34.518749999999997</v>
      </c>
      <c r="J21" s="121">
        <f>J$17*$C$4/2+J$17*$C$4</f>
        <v>0</v>
      </c>
      <c r="K21" s="121">
        <f t="shared" ref="K21:L25" si="28">K$17*$C$4/2+K$17*$C$4</f>
        <v>0</v>
      </c>
      <c r="L21" s="121">
        <f t="shared" si="28"/>
        <v>14.793749999999999</v>
      </c>
      <c r="M21" s="121">
        <f t="shared" si="24"/>
        <v>14.793749999999999</v>
      </c>
      <c r="P21" s="29">
        <f t="shared" si="21"/>
        <v>49.3125</v>
      </c>
      <c r="Q21" s="29">
        <f t="shared" si="7"/>
        <v>49.3125</v>
      </c>
      <c r="S21" s="110">
        <f t="shared" si="8"/>
        <v>0</v>
      </c>
    </row>
    <row r="22" spans="1:19" x14ac:dyDescent="0.2">
      <c r="A22" s="4">
        <f>ROW()</f>
        <v>22</v>
      </c>
      <c r="C22" s="36" t="s">
        <v>148</v>
      </c>
      <c r="D22" s="120">
        <v>45170</v>
      </c>
      <c r="E22" s="121">
        <f t="shared" ref="E22:E25" si="29">E$17*$C$4/2+E$17*$C$4</f>
        <v>0</v>
      </c>
      <c r="F22" s="121">
        <f t="shared" si="27"/>
        <v>0</v>
      </c>
      <c r="G22" s="121">
        <f t="shared" si="27"/>
        <v>34.518749999999997</v>
      </c>
      <c r="H22" s="121">
        <f t="shared" si="19"/>
        <v>34.518749999999997</v>
      </c>
      <c r="J22" s="121">
        <f t="shared" ref="J22:J25" si="30">J$17*$C$4/2+J$17*$C$4</f>
        <v>0</v>
      </c>
      <c r="K22" s="121">
        <f t="shared" si="28"/>
        <v>0</v>
      </c>
      <c r="L22" s="121">
        <f t="shared" si="28"/>
        <v>14.793749999999999</v>
      </c>
      <c r="M22" s="121">
        <f t="shared" si="24"/>
        <v>14.793749999999999</v>
      </c>
      <c r="P22" s="29">
        <f t="shared" si="21"/>
        <v>49.3125</v>
      </c>
      <c r="Q22" s="29">
        <f t="shared" si="7"/>
        <v>49.3125</v>
      </c>
      <c r="S22" s="110">
        <f t="shared" si="8"/>
        <v>0</v>
      </c>
    </row>
    <row r="23" spans="1:19" x14ac:dyDescent="0.2">
      <c r="A23" s="4">
        <f>ROW()</f>
        <v>23</v>
      </c>
      <c r="C23" s="36" t="s">
        <v>148</v>
      </c>
      <c r="D23" s="120">
        <v>45200</v>
      </c>
      <c r="E23" s="121">
        <f t="shared" si="29"/>
        <v>0</v>
      </c>
      <c r="F23" s="121">
        <f t="shared" si="27"/>
        <v>0</v>
      </c>
      <c r="G23" s="121">
        <f t="shared" si="27"/>
        <v>34.518749999999997</v>
      </c>
      <c r="H23" s="121">
        <f t="shared" si="19"/>
        <v>34.518749999999997</v>
      </c>
      <c r="J23" s="121">
        <f t="shared" si="30"/>
        <v>0</v>
      </c>
      <c r="K23" s="121">
        <f t="shared" si="28"/>
        <v>0</v>
      </c>
      <c r="L23" s="121">
        <f t="shared" si="28"/>
        <v>14.793749999999999</v>
      </c>
      <c r="M23" s="121">
        <f t="shared" si="24"/>
        <v>14.793749999999999</v>
      </c>
      <c r="P23" s="29">
        <f t="shared" si="21"/>
        <v>49.3125</v>
      </c>
      <c r="Q23" s="29">
        <f t="shared" si="7"/>
        <v>49.3125</v>
      </c>
      <c r="S23" s="110">
        <f t="shared" si="8"/>
        <v>0</v>
      </c>
    </row>
    <row r="24" spans="1:19" x14ac:dyDescent="0.2">
      <c r="A24" s="4">
        <f>ROW()</f>
        <v>24</v>
      </c>
      <c r="C24" s="36" t="s">
        <v>148</v>
      </c>
      <c r="D24" s="120">
        <v>45231</v>
      </c>
      <c r="E24" s="121">
        <f t="shared" si="29"/>
        <v>0</v>
      </c>
      <c r="F24" s="121">
        <f t="shared" si="27"/>
        <v>0</v>
      </c>
      <c r="G24" s="121">
        <f t="shared" si="27"/>
        <v>34.518749999999997</v>
      </c>
      <c r="H24" s="121">
        <f t="shared" si="19"/>
        <v>34.518749999999997</v>
      </c>
      <c r="J24" s="121">
        <f t="shared" si="30"/>
        <v>0</v>
      </c>
      <c r="K24" s="121">
        <f t="shared" si="28"/>
        <v>0</v>
      </c>
      <c r="L24" s="121">
        <f t="shared" si="28"/>
        <v>14.793749999999999</v>
      </c>
      <c r="M24" s="121">
        <f t="shared" si="24"/>
        <v>14.793749999999999</v>
      </c>
      <c r="P24" s="29">
        <f t="shared" si="21"/>
        <v>49.3125</v>
      </c>
      <c r="Q24" s="29">
        <f t="shared" si="7"/>
        <v>49.3125</v>
      </c>
      <c r="S24" s="110">
        <f t="shared" si="8"/>
        <v>0</v>
      </c>
    </row>
    <row r="25" spans="1:19" x14ac:dyDescent="0.2">
      <c r="A25" s="4">
        <f>ROW()</f>
        <v>25</v>
      </c>
      <c r="C25" s="123" t="s">
        <v>148</v>
      </c>
      <c r="D25" s="124">
        <v>45261</v>
      </c>
      <c r="E25" s="125">
        <f t="shared" si="29"/>
        <v>0</v>
      </c>
      <c r="F25" s="125">
        <f t="shared" si="27"/>
        <v>0</v>
      </c>
      <c r="G25" s="125">
        <f t="shared" si="27"/>
        <v>34.518749999999997</v>
      </c>
      <c r="H25" s="125">
        <f t="shared" si="19"/>
        <v>34.518749999999997</v>
      </c>
      <c r="J25" s="125">
        <f t="shared" si="30"/>
        <v>0</v>
      </c>
      <c r="K25" s="125">
        <f t="shared" si="28"/>
        <v>0</v>
      </c>
      <c r="L25" s="125">
        <f t="shared" si="28"/>
        <v>14.793749999999999</v>
      </c>
      <c r="M25" s="125">
        <f t="shared" si="24"/>
        <v>14.793749999999999</v>
      </c>
      <c r="O25" s="111"/>
      <c r="P25" s="29">
        <f t="shared" si="21"/>
        <v>49.3125</v>
      </c>
      <c r="Q25" s="29">
        <f t="shared" si="7"/>
        <v>49.3125</v>
      </c>
      <c r="S25" s="110">
        <f t="shared" si="8"/>
        <v>0</v>
      </c>
    </row>
    <row r="26" spans="1:19" x14ac:dyDescent="0.2">
      <c r="A26" s="4">
        <f>ROW()</f>
        <v>26</v>
      </c>
      <c r="C26" s="116" t="s">
        <v>151</v>
      </c>
      <c r="E26" s="119">
        <f>SUM(E5:E25)</f>
        <v>33307.562600000012</v>
      </c>
      <c r="F26" s="119">
        <f t="shared" ref="F26:G26" si="31">SUM(F5:F25)</f>
        <v>43316.528450000005</v>
      </c>
      <c r="G26" s="119">
        <f t="shared" si="31"/>
        <v>55104.472016666667</v>
      </c>
      <c r="H26" s="119">
        <f t="shared" si="19"/>
        <v>131728.56306666668</v>
      </c>
      <c r="J26" s="119">
        <f>SUM(J5:J25)</f>
        <v>18226.604066666652</v>
      </c>
      <c r="K26" s="119">
        <f t="shared" ref="K26:L26" si="32">SUM(K5:K25)</f>
        <v>8217.6382166666644</v>
      </c>
      <c r="L26" s="119">
        <f t="shared" si="32"/>
        <v>63666.642499999973</v>
      </c>
      <c r="M26" s="119">
        <f t="shared" si="24"/>
        <v>90110.884783333284</v>
      </c>
      <c r="O26" s="119">
        <f>SUM(O5:O25)</f>
        <v>215331</v>
      </c>
      <c r="P26" s="126">
        <f>SUM(P5:P25)</f>
        <v>6508.4478500000005</v>
      </c>
      <c r="Q26" s="126">
        <f>SUM(O26:P26)</f>
        <v>221839.44785</v>
      </c>
      <c r="S26" s="110">
        <f t="shared" si="8"/>
        <v>0</v>
      </c>
    </row>
    <row r="27" spans="1:19" x14ac:dyDescent="0.2">
      <c r="A27" s="4">
        <f>ROW()</f>
        <v>27</v>
      </c>
      <c r="I27" s="15"/>
      <c r="S27" s="110"/>
    </row>
    <row r="28" spans="1:19" x14ac:dyDescent="0.2">
      <c r="A28" s="4">
        <f>ROW()</f>
        <v>28</v>
      </c>
      <c r="I28" s="15"/>
    </row>
    <row r="29" spans="1:19" x14ac:dyDescent="0.2">
      <c r="A29" s="4">
        <f>ROW()</f>
        <v>29</v>
      </c>
      <c r="E29" s="13"/>
      <c r="F29" s="6" t="s">
        <v>16</v>
      </c>
      <c r="G29" s="6"/>
      <c r="I29" s="15"/>
      <c r="J29" s="13"/>
      <c r="K29" s="6" t="s">
        <v>17</v>
      </c>
      <c r="L29" s="6"/>
      <c r="M29" s="6"/>
    </row>
    <row r="30" spans="1:19" x14ac:dyDescent="0.2">
      <c r="A30" s="4">
        <f>ROW()</f>
        <v>30</v>
      </c>
      <c r="E30" s="6" t="s">
        <v>1</v>
      </c>
      <c r="F30" s="6" t="s">
        <v>143</v>
      </c>
      <c r="G30" s="6" t="s">
        <v>146</v>
      </c>
      <c r="I30" s="13"/>
      <c r="J30" s="6" t="s">
        <v>1</v>
      </c>
      <c r="K30" s="6" t="s">
        <v>143</v>
      </c>
      <c r="L30" s="6" t="s">
        <v>146</v>
      </c>
      <c r="M30" s="6"/>
    </row>
    <row r="31" spans="1:19" x14ac:dyDescent="0.2">
      <c r="A31" s="4">
        <f>ROW()</f>
        <v>31</v>
      </c>
      <c r="B31" s="116" t="s">
        <v>147</v>
      </c>
      <c r="D31" s="117">
        <v>45170</v>
      </c>
      <c r="E31" s="118">
        <v>8000</v>
      </c>
      <c r="F31" s="118"/>
      <c r="G31" s="118">
        <v>57000</v>
      </c>
      <c r="H31" s="118">
        <f t="shared" ref="H31:H36" si="33">SUM(E31:G31)</f>
        <v>65000</v>
      </c>
      <c r="I31" s="118"/>
      <c r="J31" s="118">
        <v>0</v>
      </c>
      <c r="K31" s="118"/>
      <c r="L31" s="118">
        <v>0</v>
      </c>
      <c r="M31" s="118">
        <f t="shared" ref="M31:M36" si="34">SUM(J31:L31)</f>
        <v>0</v>
      </c>
      <c r="N31" s="118"/>
      <c r="O31" s="119">
        <f>SUM(H31,M31)</f>
        <v>65000</v>
      </c>
      <c r="Q31" s="122">
        <f t="shared" ref="Q31:Q35" si="35">SUM(O31:P31)</f>
        <v>65000</v>
      </c>
      <c r="R31" s="118"/>
      <c r="S31" s="110">
        <f t="shared" ref="S31:S36" si="36">SUM(E31:G31,J31:L31)-Q31</f>
        <v>0</v>
      </c>
    </row>
    <row r="32" spans="1:19" x14ac:dyDescent="0.2">
      <c r="A32" s="4">
        <f>ROW()</f>
        <v>32</v>
      </c>
      <c r="C32" s="36" t="s">
        <v>148</v>
      </c>
      <c r="D32" s="120">
        <v>45170</v>
      </c>
      <c r="E32" s="121">
        <f>E$31*$C$4/2</f>
        <v>8.7666666666666657</v>
      </c>
      <c r="F32" s="121">
        <f>F$31*$C$4/2</f>
        <v>0</v>
      </c>
      <c r="G32" s="121">
        <f>G$31*$C$4/2</f>
        <v>62.462499999999991</v>
      </c>
      <c r="H32" s="121">
        <f t="shared" ref="H32" si="37">SUM(E32:G32)</f>
        <v>71.229166666666657</v>
      </c>
      <c r="I32" s="118"/>
      <c r="J32" s="121">
        <f>J$31*$C$4/2</f>
        <v>0</v>
      </c>
      <c r="K32" s="121">
        <f>K$31*$C$4/2</f>
        <v>0</v>
      </c>
      <c r="L32" s="121">
        <f>L$31*$C$4/2</f>
        <v>0</v>
      </c>
      <c r="M32" s="121">
        <f t="shared" ref="M32" si="38">SUM(J32:L32)</f>
        <v>0</v>
      </c>
      <c r="P32" s="29">
        <f t="shared" ref="P32:P35" si="39">SUM(H32,M32)</f>
        <v>71.229166666666657</v>
      </c>
      <c r="Q32" s="29">
        <f t="shared" si="35"/>
        <v>71.229166666666657</v>
      </c>
      <c r="S32" s="110">
        <f t="shared" si="36"/>
        <v>0</v>
      </c>
    </row>
    <row r="33" spans="1:21" x14ac:dyDescent="0.2">
      <c r="A33" s="4">
        <f>ROW()</f>
        <v>33</v>
      </c>
      <c r="C33" s="36" t="s">
        <v>148</v>
      </c>
      <c r="D33" s="120">
        <v>45200</v>
      </c>
      <c r="E33" s="121">
        <f>E$31*$C$4/2+E$31*$C$4</f>
        <v>26.299999999999997</v>
      </c>
      <c r="F33" s="121">
        <f t="shared" ref="F33:G35" si="40">F$31*$C$4/2+F$31*$C$4</f>
        <v>0</v>
      </c>
      <c r="G33" s="121">
        <f t="shared" si="40"/>
        <v>187.38749999999999</v>
      </c>
      <c r="H33" s="121">
        <f t="shared" si="33"/>
        <v>213.6875</v>
      </c>
      <c r="I33" s="118"/>
      <c r="J33" s="121">
        <f>J$31*$C$4/2+J$31*$C$4</f>
        <v>0</v>
      </c>
      <c r="K33" s="121">
        <f t="shared" ref="K33:L35" si="41">K$31*$C$4/2+K$31*$C$4</f>
        <v>0</v>
      </c>
      <c r="L33" s="121">
        <f t="shared" si="41"/>
        <v>0</v>
      </c>
      <c r="M33" s="121">
        <f t="shared" si="34"/>
        <v>0</v>
      </c>
      <c r="P33" s="29">
        <f t="shared" si="39"/>
        <v>213.6875</v>
      </c>
      <c r="Q33" s="29">
        <f t="shared" si="35"/>
        <v>213.6875</v>
      </c>
      <c r="S33" s="110">
        <f t="shared" si="36"/>
        <v>0</v>
      </c>
    </row>
    <row r="34" spans="1:21" x14ac:dyDescent="0.2">
      <c r="A34" s="4">
        <f>ROW()</f>
        <v>34</v>
      </c>
      <c r="C34" s="36" t="s">
        <v>148</v>
      </c>
      <c r="D34" s="120">
        <v>45231</v>
      </c>
      <c r="E34" s="121">
        <f t="shared" ref="E34:E35" si="42">E$31*$C$4/2+E$31*$C$4</f>
        <v>26.299999999999997</v>
      </c>
      <c r="F34" s="121">
        <f t="shared" si="40"/>
        <v>0</v>
      </c>
      <c r="G34" s="121">
        <f t="shared" si="40"/>
        <v>187.38749999999999</v>
      </c>
      <c r="H34" s="121">
        <f t="shared" si="33"/>
        <v>213.6875</v>
      </c>
      <c r="I34" s="118"/>
      <c r="J34" s="121">
        <f t="shared" ref="J34:J35" si="43">J$31*$C$4/2+J$31*$C$4</f>
        <v>0</v>
      </c>
      <c r="K34" s="121">
        <f t="shared" si="41"/>
        <v>0</v>
      </c>
      <c r="L34" s="121">
        <f t="shared" si="41"/>
        <v>0</v>
      </c>
      <c r="M34" s="121">
        <f t="shared" si="34"/>
        <v>0</v>
      </c>
      <c r="P34" s="29">
        <f t="shared" si="39"/>
        <v>213.6875</v>
      </c>
      <c r="Q34" s="29">
        <f t="shared" si="35"/>
        <v>213.6875</v>
      </c>
      <c r="S34" s="110">
        <f t="shared" si="36"/>
        <v>0</v>
      </c>
    </row>
    <row r="35" spans="1:21" x14ac:dyDescent="0.2">
      <c r="A35" s="4">
        <f>ROW()</f>
        <v>35</v>
      </c>
      <c r="C35" s="123" t="s">
        <v>148</v>
      </c>
      <c r="D35" s="124">
        <v>45261</v>
      </c>
      <c r="E35" s="125">
        <f t="shared" si="42"/>
        <v>26.299999999999997</v>
      </c>
      <c r="F35" s="125">
        <f t="shared" si="40"/>
        <v>0</v>
      </c>
      <c r="G35" s="125">
        <f t="shared" si="40"/>
        <v>187.38749999999999</v>
      </c>
      <c r="H35" s="125">
        <f t="shared" si="33"/>
        <v>213.6875</v>
      </c>
      <c r="I35" s="118"/>
      <c r="J35" s="125">
        <f t="shared" si="43"/>
        <v>0</v>
      </c>
      <c r="K35" s="125">
        <f t="shared" si="41"/>
        <v>0</v>
      </c>
      <c r="L35" s="125">
        <f t="shared" si="41"/>
        <v>0</v>
      </c>
      <c r="M35" s="125">
        <f t="shared" si="34"/>
        <v>0</v>
      </c>
      <c r="O35" s="111"/>
      <c r="P35" s="29">
        <f t="shared" si="39"/>
        <v>213.6875</v>
      </c>
      <c r="Q35" s="29">
        <f t="shared" si="35"/>
        <v>213.6875</v>
      </c>
      <c r="S35" s="110">
        <f t="shared" si="36"/>
        <v>0</v>
      </c>
    </row>
    <row r="36" spans="1:21" x14ac:dyDescent="0.2">
      <c r="A36" s="4">
        <f>ROW()</f>
        <v>36</v>
      </c>
      <c r="C36" s="116" t="s">
        <v>152</v>
      </c>
      <c r="E36" s="119">
        <f>SUM(E31:E35)</f>
        <v>8087.666666666667</v>
      </c>
      <c r="F36" s="119">
        <f>SUM(F31:F35)</f>
        <v>0</v>
      </c>
      <c r="G36" s="119">
        <f>SUM(G31:G35)</f>
        <v>57624.624999999993</v>
      </c>
      <c r="H36" s="119">
        <f t="shared" si="33"/>
        <v>65712.291666666657</v>
      </c>
      <c r="I36" s="118"/>
      <c r="J36" s="119">
        <f>SUM(J31:J35)</f>
        <v>0</v>
      </c>
      <c r="K36" s="119">
        <f>SUM(K31:K35)</f>
        <v>0</v>
      </c>
      <c r="L36" s="119">
        <f>SUM(L31:L35)</f>
        <v>0</v>
      </c>
      <c r="M36" s="119">
        <f t="shared" si="34"/>
        <v>0</v>
      </c>
      <c r="O36" s="119">
        <f>SUM(O31:O35)</f>
        <v>65000</v>
      </c>
      <c r="P36" s="126">
        <f>SUM(P31:P35)</f>
        <v>712.29166666666663</v>
      </c>
      <c r="Q36" s="126">
        <f>SUM(Q31:Q35)</f>
        <v>65712.291666666657</v>
      </c>
      <c r="S36" s="110">
        <f t="shared" si="36"/>
        <v>0</v>
      </c>
    </row>
    <row r="37" spans="1:21" x14ac:dyDescent="0.2">
      <c r="A37" s="4">
        <f>ROW()</f>
        <v>37</v>
      </c>
      <c r="I37" s="118"/>
    </row>
    <row r="38" spans="1:21" ht="12" thickBot="1" x14ac:dyDescent="0.25">
      <c r="A38" s="4">
        <f>ROW()</f>
        <v>38</v>
      </c>
      <c r="B38" s="15" t="s">
        <v>3</v>
      </c>
      <c r="E38" s="119">
        <f>SUM(E26,E36)</f>
        <v>41395.229266666676</v>
      </c>
      <c r="F38" s="119">
        <f t="shared" ref="F38:G38" si="44">SUM(F26,F36)</f>
        <v>43316.528450000005</v>
      </c>
      <c r="G38" s="119">
        <f t="shared" si="44"/>
        <v>112729.09701666667</v>
      </c>
      <c r="H38" s="119">
        <f>SUM(E38:G38)</f>
        <v>197440.85473333334</v>
      </c>
      <c r="I38" s="118"/>
      <c r="J38" s="119">
        <f>SUM(J26,J36)</f>
        <v>18226.604066666652</v>
      </c>
      <c r="K38" s="119">
        <f t="shared" ref="K38:L38" si="45">SUM(K26,K36)</f>
        <v>8217.6382166666644</v>
      </c>
      <c r="L38" s="119">
        <f t="shared" si="45"/>
        <v>63666.642499999973</v>
      </c>
      <c r="M38" s="119">
        <f>SUM(J38:L38)</f>
        <v>90110.884783333284</v>
      </c>
      <c r="O38" s="119">
        <f>SUM(O26,O36)</f>
        <v>280331</v>
      </c>
      <c r="P38" s="119">
        <f>SUM(P26,P36)</f>
        <v>7220.7395166666674</v>
      </c>
      <c r="Q38" s="119">
        <f>SUM(Q26,Q36)</f>
        <v>287551.73951666662</v>
      </c>
      <c r="S38" s="110">
        <f t="shared" ref="S38" si="46">SUM(E38:G38,J38:L38)-Q38</f>
        <v>0</v>
      </c>
      <c r="U38" s="110"/>
    </row>
    <row r="39" spans="1:21" ht="12" thickBot="1" x14ac:dyDescent="0.25">
      <c r="A39" s="4">
        <f>ROW()</f>
        <v>39</v>
      </c>
      <c r="B39" s="15" t="s">
        <v>153</v>
      </c>
      <c r="E39" s="127">
        <f>E38/E$2</f>
        <v>43557.96957184808</v>
      </c>
      <c r="F39" s="127">
        <f t="shared" ref="F39:G39" si="47">F38/F$2</f>
        <v>45579.649191664532</v>
      </c>
      <c r="G39" s="127">
        <f t="shared" si="47"/>
        <v>118618.75546291114</v>
      </c>
      <c r="H39" s="127">
        <f>H38/$E$2</f>
        <v>207756.37422642374</v>
      </c>
      <c r="I39" s="128"/>
      <c r="J39" s="130">
        <f>J38/J$2</f>
        <v>19116.596325181818</v>
      </c>
      <c r="K39" s="129">
        <f t="shared" ref="K39:L39" si="48">K38/K$2</f>
        <v>8618.8997116418632</v>
      </c>
      <c r="L39" s="129">
        <f t="shared" si="48"/>
        <v>66775.439879007026</v>
      </c>
      <c r="M39" s="131">
        <f>M38/$J$2</f>
        <v>94510.935915830705</v>
      </c>
      <c r="Q39" s="110"/>
      <c r="R39" s="110"/>
      <c r="S39" s="110"/>
    </row>
  </sheetData>
  <printOptions horizontalCentered="1"/>
  <pageMargins left="0.5" right="0.5" top="0.28000000000000003" bottom="0.52" header="0.36" footer="0.42"/>
  <pageSetup scale="65" fitToWidth="0" fitToHeight="0" orientation="landscape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380E-9EBA-4607-AC62-D9F9B7EF09F2}">
  <sheetPr>
    <tabColor theme="3" tint="0.79998168889431442"/>
  </sheetPr>
  <dimension ref="A1:B7"/>
  <sheetViews>
    <sheetView workbookViewId="0">
      <selection activeCell="B18" sqref="B18"/>
    </sheetView>
  </sheetViews>
  <sheetFormatPr defaultRowHeight="12.75" x14ac:dyDescent="0.2"/>
  <cols>
    <col min="1" max="1" width="38.28515625" style="149" customWidth="1"/>
    <col min="2" max="2" width="7.85546875" style="149" bestFit="1" customWidth="1"/>
    <col min="3" max="16384" width="9.140625" style="149"/>
  </cols>
  <sheetData>
    <row r="1" spans="1:2" ht="15" x14ac:dyDescent="0.35">
      <c r="A1" s="93" t="s">
        <v>52</v>
      </c>
      <c r="B1" s="148">
        <v>45413</v>
      </c>
    </row>
    <row r="2" spans="1:2" ht="15" x14ac:dyDescent="0.35">
      <c r="A2" s="92" t="s">
        <v>53</v>
      </c>
      <c r="B2" s="6" t="s">
        <v>59</v>
      </c>
    </row>
    <row r="3" spans="1:2" ht="15" x14ac:dyDescent="0.35">
      <c r="A3" s="92" t="s">
        <v>129</v>
      </c>
      <c r="B3" s="150">
        <v>45413</v>
      </c>
    </row>
    <row r="4" spans="1:2" ht="15" x14ac:dyDescent="0.35">
      <c r="A4" s="92" t="s">
        <v>128</v>
      </c>
      <c r="B4" s="150">
        <v>45777</v>
      </c>
    </row>
    <row r="5" spans="1:2" ht="15" x14ac:dyDescent="0.35">
      <c r="A5" s="92"/>
      <c r="B5" s="6"/>
    </row>
    <row r="6" spans="1:2" ht="15" x14ac:dyDescent="0.35">
      <c r="A6" s="93"/>
      <c r="B6" s="150"/>
    </row>
    <row r="7" spans="1:2" ht="15" x14ac:dyDescent="0.35">
      <c r="A7" s="92"/>
      <c r="B7" s="15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D78EA2B2238564E8BF82444028C6899" ma:contentTypeVersion="16" ma:contentTypeDescription="" ma:contentTypeScope="" ma:versionID="946388f438f576917a58a3aeaaafc7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2024-03-26T07:00:00+00:00</OpenedDate>
    <SignificantOrder xmlns="dc463f71-b30c-4ab2-9473-d307f9d35888">false</SignificantOrder>
    <Date1 xmlns="dc463f71-b30c-4ab2-9473-d307f9d35888">2024-03-26T07:00:00+00:00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19466A-BAC4-4C78-A825-D1A8CE618D6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2CA45D5-3D3D-43F5-ADEC-720D4AB33671}"/>
</file>

<file path=customXml/itemProps3.xml><?xml version="1.0" encoding="utf-8"?>
<ds:datastoreItem xmlns:ds="http://schemas.openxmlformats.org/officeDocument/2006/customXml" ds:itemID="{BE98FF81-76B4-4F19-BFF0-AC822EE922DE}"/>
</file>

<file path=customXml/itemProps4.xml><?xml version="1.0" encoding="utf-8"?>
<ds:datastoreItem xmlns:ds="http://schemas.openxmlformats.org/officeDocument/2006/customXml" ds:itemID="{1D13242B-4714-460F-A1F2-D2D47AF75230}"/>
</file>

<file path=customXml/itemProps5.xml><?xml version="1.0" encoding="utf-8"?>
<ds:datastoreItem xmlns:ds="http://schemas.openxmlformats.org/officeDocument/2006/customXml" ds:itemID="{3848CF52-31F1-4754-8910-07A1728B3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Sch 149PFG Rates</vt:lpstr>
      <vt:lpstr>Lighting Rates</vt:lpstr>
      <vt:lpstr>Rate Impacts</vt:lpstr>
      <vt:lpstr>Workpapers -&gt;</vt:lpstr>
      <vt:lpstr>Rate Spread &amp; Design</vt:lpstr>
      <vt:lpstr>Lighting RD</vt:lpstr>
      <vt:lpstr>RevReq</vt:lpstr>
      <vt:lpstr>Inputs</vt:lpstr>
    </vt:vector>
  </TitlesOfParts>
  <Company>Regulatory Assistance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Lazar</dc:creator>
  <cp:lastModifiedBy>Zakharova, Elena</cp:lastModifiedBy>
  <cp:lastPrinted>2019-09-03T21:49:43Z</cp:lastPrinted>
  <dcterms:created xsi:type="dcterms:W3CDTF">2006-08-15T18:29:06Z</dcterms:created>
  <dcterms:modified xsi:type="dcterms:W3CDTF">2024-03-13T19:20:33Z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0x0101006E56B4D1795A2E4DB2F0B01679ED314A00AD78EA2B2238564E8BF82444028C6899</vt:lpwstr>
  </property>
  <property fmtid="{D5CDD505-2E9C-101B-9397-08002B2CF9AE}" pid="3" name="_docset_NoMedatataSyncRequired">
    <vt:lpwstr>False</vt:lpwstr>
  </property>
</Properties>
</file>