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activeX/activeX1.xml" ContentType="application/vnd.ms-office.activeX+xml"/>
  <Override PartName="/xl/activeX/activeX1.bin" ContentType="application/vnd.ms-office.activeX"/>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O:\A_TO_E\BAD0735 - Bainbridge Disposal\Rate Case\2023\Submissions\"/>
    </mc:Choice>
  </mc:AlternateContent>
  <xr:revisionPtr revIDLastSave="0" documentId="13_ncr:1_{7664C75E-596A-474D-870E-7B7AC99B9F17}" xr6:coauthVersionLast="47" xr6:coauthVersionMax="47" xr10:uidLastSave="{00000000-0000-0000-0000-000000000000}"/>
  <bookViews>
    <workbookView xWindow="23880" yWindow="-120" windowWidth="24240" windowHeight="13140" tabRatio="878" xr2:uid="{00000000-000D-0000-FFFF-FFFF00000000}"/>
  </bookViews>
  <sheets>
    <sheet name="Fly Sheet" sheetId="41" r:id="rId1"/>
    <sheet name="Comp Report" sheetId="44" r:id="rId2"/>
    <sheet name="LG Nonpublic 2018 V5.2a" sheetId="108" r:id="rId3"/>
    <sheet name="Operations" sheetId="71" r:id="rId4"/>
    <sheet name="Assumptions" sheetId="43" r:id="rId5"/>
    <sheet name="Sch 1 - Restated Exp" sheetId="18" r:id="rId6"/>
    <sheet name="Sch 1, pg 2 - Restated" sheetId="16" r:id="rId7"/>
    <sheet name="Sch 2 - Forecast Exp" sheetId="19" r:id="rId8"/>
    <sheet name="Sch 2, pg 2 - Forecast" sheetId="17" r:id="rId9"/>
    <sheet name="Sch 3 - Reclass Exp" sheetId="21" r:id="rId10"/>
    <sheet name="Sch 3, pg 2 - Reclass" sheetId="20" r:id="rId11"/>
    <sheet name="Sch 4 - 12 Months" sheetId="7" r:id="rId12"/>
    <sheet name="Workpapers" sheetId="42" r:id="rId13"/>
    <sheet name="WP-1 Rate Case Cost" sheetId="86" r:id="rId14"/>
    <sheet name="WP-2 - Summary Depr" sheetId="63" r:id="rId15"/>
    <sheet name="WP-2, pg 2 -  Depr" sheetId="64" r:id="rId16"/>
    <sheet name="WP-3 - Labor Analysis" sheetId="106" r:id="rId17"/>
    <sheet name="WP-3, pg 2 - Labor Increase" sheetId="105" r:id="rId18"/>
    <sheet name="WP-3, pg 3 - Benefits Analysis" sheetId="104" r:id="rId19"/>
    <sheet name="WP-4 - Vehicle License" sheetId="27" r:id="rId20"/>
    <sheet name="WP-5 - Dues &amp; Sub" sheetId="26" r:id="rId21"/>
    <sheet name="WP-6 - Capital Structure" sheetId="54" r:id="rId22"/>
    <sheet name="WP-7 - Affiliated " sheetId="66" r:id="rId23"/>
    <sheet name="WP-8 - Fuel" sheetId="49" r:id="rId24"/>
    <sheet name="WP-9 - Non-Regulated" sheetId="78" r:id="rId25"/>
    <sheet name="WP-10 - Disposal" sheetId="77" r:id="rId26"/>
    <sheet name="WP-11 - Non-Regulated" sheetId="107" r:id="rId27"/>
    <sheet name="IS PBC (Disposal)" sheetId="101" r:id="rId28"/>
    <sheet name="BS PBC (Disposal)" sheetId="102" r:id="rId29"/>
  </sheets>
  <externalReferences>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A" localSheetId="16">#REF!</definedName>
    <definedName name="\A" localSheetId="17">#REF!</definedName>
    <definedName name="\A" localSheetId="18">#REF!</definedName>
    <definedName name="\A">#REF!</definedName>
    <definedName name="\c">'[1]10200'!$IU$8196</definedName>
    <definedName name="\E">'[2]#REF'!$AD$4</definedName>
    <definedName name="\R">'[2]#REF'!$AD$8</definedName>
    <definedName name="\y">'[1]10200'!$IU$8196</definedName>
    <definedName name="\z" localSheetId="16">#REF!</definedName>
    <definedName name="\z" localSheetId="17">#REF!</definedName>
    <definedName name="\z" localSheetId="18">#REF!</definedName>
    <definedName name="\z">#REF!</definedName>
    <definedName name="_123Graph_g" hidden="1">'[2]#REF'!$F$9:$F$83</definedName>
    <definedName name="_13054">'[3]10800-10899'!#REF!</definedName>
    <definedName name="_132" hidden="1">[1]XXXXXX!$B$10:$B$10</definedName>
    <definedName name="_132Graph_h" localSheetId="16" hidden="1">#REF!</definedName>
    <definedName name="_132Graph_h" localSheetId="17" hidden="1">#REF!</definedName>
    <definedName name="_132Graph_h" localSheetId="18" hidden="1">#REF!</definedName>
    <definedName name="_132Graph_h" hidden="1">#REF!</definedName>
    <definedName name="_BUN1">'[4]2008 West Group IS'!$AJ$5</definedName>
    <definedName name="_BUN3">'[4]2008 Group Office IS'!$AJ$5</definedName>
    <definedName name="_Fill" localSheetId="16" hidden="1">#REF!</definedName>
    <definedName name="_Fill" localSheetId="17" hidden="1">#REF!</definedName>
    <definedName name="_Fill" localSheetId="18" hidden="1">#REF!</definedName>
    <definedName name="_Fill" hidden="1">#REF!</definedName>
    <definedName name="_Key1" localSheetId="16" hidden="1">#REF!</definedName>
    <definedName name="_Key1" localSheetId="17" hidden="1">#REF!</definedName>
    <definedName name="_Key1" localSheetId="18" hidden="1">#REF!</definedName>
    <definedName name="_Key1" hidden="1">#REF!</definedName>
    <definedName name="_Key2" hidden="1">'[2]#REF'!$D$12</definedName>
    <definedName name="_key5" hidden="1">[1]XXXXXX!$H$10</definedName>
    <definedName name="_max" localSheetId="16" hidden="1">#REF!</definedName>
    <definedName name="_max" localSheetId="17" hidden="1">#REF!</definedName>
    <definedName name="_max" localSheetId="18" hidden="1">#REF!</definedName>
    <definedName name="_max" hidden="1">#REF!</definedName>
    <definedName name="_Mon" localSheetId="16" hidden="1">#REF!</definedName>
    <definedName name="_Mon" localSheetId="17" hidden="1">#REF!</definedName>
    <definedName name="_Mon" localSheetId="18" hidden="1">#REF!</definedName>
    <definedName name="_Mon" hidden="1">#REF!</definedName>
    <definedName name="_Order1" hidden="1">255</definedName>
    <definedName name="_Order2" hidden="1">255</definedName>
    <definedName name="_Order3" hidden="1">0</definedName>
    <definedName name="_PER1">[4]WTB!$DC$8</definedName>
    <definedName name="_PER2">'[4]2008 West Group IS'!$AH$8</definedName>
    <definedName name="_PER3">'[4]2008 West Group IS'!$AI$5</definedName>
    <definedName name="_PER4">'[4]2008 Group Office IS'!$AH$8</definedName>
    <definedName name="_PER5">'[4]2008 Group Office IS'!$AI$5</definedName>
    <definedName name="_Regression_Int">0</definedName>
    <definedName name="_SFD1">'[4]2008 West Group IS'!$AK$5</definedName>
    <definedName name="_SFD3">'[4]2008 Group Office IS'!$AK$5</definedName>
    <definedName name="_SFV1">'[4]2008 West Group IS'!$AK$4</definedName>
    <definedName name="_SFV4">'[4]2008 Group Office IS'!$AK$4</definedName>
    <definedName name="_Sort" localSheetId="16" hidden="1">#REF!</definedName>
    <definedName name="_Sort" localSheetId="17" hidden="1">#REF!</definedName>
    <definedName name="_Sort" localSheetId="18" hidden="1">#REF!</definedName>
    <definedName name="_Sort" hidden="1">#REF!</definedName>
    <definedName name="_Sort1" hidden="1">'[2]#REF'!$A$10:$Z$281</definedName>
    <definedName name="_sort3" hidden="1">[1]XXXXXX!$G$10:$J$11</definedName>
    <definedName name="a" localSheetId="16">#REF!</definedName>
    <definedName name="a" localSheetId="17">#REF!</definedName>
    <definedName name="a" localSheetId="18">#REF!</definedName>
    <definedName name="a">#REF!</definedName>
    <definedName name="aaaaaaa" localSheetId="16">rank</definedName>
    <definedName name="aaaaaaa" localSheetId="17">rank</definedName>
    <definedName name="aaaaaaa" localSheetId="18">rank</definedName>
    <definedName name="aaaaaaa">rank</definedName>
    <definedName name="AD">'[1]ACC DEP 12XXX'!$A$4:$L$22</definedName>
    <definedName name="adfd" localSheetId="16">rank</definedName>
    <definedName name="adfd" localSheetId="17">rank</definedName>
    <definedName name="adfd" localSheetId="18">rank</definedName>
    <definedName name="adfd">rank</definedName>
    <definedName name="ADK">'[1]10250_Recy Chkg'!$D$27</definedName>
    <definedName name="AOK" localSheetId="16">#REF!</definedName>
    <definedName name="AOK" localSheetId="17">#REF!</definedName>
    <definedName name="AOK" localSheetId="18">#REF!</definedName>
    <definedName name="AOK">#REF!</definedName>
    <definedName name="APA">'[5]Income Statement (WMofWA)'!#REF!</definedName>
    <definedName name="APN">'[5]Income Statement (WMofWA)'!#REF!</definedName>
    <definedName name="ASD">'[5]Income Statement (WMofWA)'!#REF!</definedName>
    <definedName name="AST">'[5]Income Statement (WMofWA)'!#REF!</definedName>
    <definedName name="BEGCELL" localSheetId="16">#REF!</definedName>
    <definedName name="BEGCELL" localSheetId="17">#REF!</definedName>
    <definedName name="BEGCELL" localSheetId="18">#REF!</definedName>
    <definedName name="BEGCELL">#REF!</definedName>
    <definedName name="begin" localSheetId="16">#REF!</definedName>
    <definedName name="begin" localSheetId="17">#REF!</definedName>
    <definedName name="begin" localSheetId="18">#REF!</definedName>
    <definedName name="begin">#REF!</definedName>
    <definedName name="BREMAIR_COST_of_SERVICE_STUDY" localSheetId="16">#REF!</definedName>
    <definedName name="BREMAIR_COST_of_SERVICE_STUDY" localSheetId="17">#REF!</definedName>
    <definedName name="BREMAIR_COST_of_SERVICE_STUDY" localSheetId="18">#REF!</definedName>
    <definedName name="BREMAIR_COST_of_SERVICE_STUDY">#REF!</definedName>
    <definedName name="BUN">[4]WTB!$DD$5</definedName>
    <definedName name="BUV">'[5]Income Statement (WMofWA)'!#REF!</definedName>
    <definedName name="Calc">[4]WTB!#REF!</definedName>
    <definedName name="Calc0">[4]WTB!#REF!</definedName>
    <definedName name="Calc1">[4]WTB!#REF!</definedName>
    <definedName name="Calc10">[4]WTB!#REF!</definedName>
    <definedName name="Calc11">[4]WTB!#REF!</definedName>
    <definedName name="Calc12">[4]WTB!#REF!</definedName>
    <definedName name="Calc13">[4]WTB!#REF!</definedName>
    <definedName name="Calc14">[4]WTB!#REF!</definedName>
    <definedName name="Calc15">[4]WTB!#REF!</definedName>
    <definedName name="Calc16">[4]WTB!#REF!</definedName>
    <definedName name="Calc17">[4]WTB!#REF!</definedName>
    <definedName name="Calc18">[4]WTB!#REF!</definedName>
    <definedName name="Calc2">[4]WTB!#REF!</definedName>
    <definedName name="Calc3">[4]WTB!#REF!</definedName>
    <definedName name="Calc4">[4]WTB!#REF!</definedName>
    <definedName name="Calc5">[4]WTB!#REF!</definedName>
    <definedName name="Calc6">[4]WTB!#REF!</definedName>
    <definedName name="Calc7">[4]WTB!#REF!</definedName>
    <definedName name="Calc8">[4]WTB!#REF!</definedName>
    <definedName name="Calc9">[4]WTB!#REF!</definedName>
    <definedName name="clear" localSheetId="16">#REF!</definedName>
    <definedName name="clear" localSheetId="17">#REF!</definedName>
    <definedName name="clear" localSheetId="18">#REF!</definedName>
    <definedName name="clear">#REF!</definedName>
    <definedName name="CUR">'[6]O-9'!#REF!</definedName>
    <definedName name="CURRENCY">'[4]Balance Sheet'!$AD$8</definedName>
    <definedName name="CWR">'[1]SALES TAX RETURN_20140'!$A$1:$E$49</definedName>
    <definedName name="CWRS" localSheetId="16">#REF!</definedName>
    <definedName name="CWRS" localSheetId="17">#REF!</definedName>
    <definedName name="CWRS" localSheetId="18">#REF!</definedName>
    <definedName name="CWRS">#REF!</definedName>
    <definedName name="CYear">'[6]O-9'!#REF!</definedName>
    <definedName name="dasd" localSheetId="16">rank</definedName>
    <definedName name="dasd" localSheetId="17">rank</definedName>
    <definedName name="dasd" localSheetId="18">rank</definedName>
    <definedName name="dasd">rank</definedName>
    <definedName name="_xlnm.Database" localSheetId="16">#REF!</definedName>
    <definedName name="_xlnm.Database" localSheetId="17">#REF!</definedName>
    <definedName name="_xlnm.Database" localSheetId="18">#REF!</definedName>
    <definedName name="_xlnm.Database">#REF!</definedName>
    <definedName name="Database_MI" localSheetId="16">#REF!</definedName>
    <definedName name="Database_MI" localSheetId="17">#REF!</definedName>
    <definedName name="Database_MI" localSheetId="18">#REF!</definedName>
    <definedName name="Database_MI">#REF!</definedName>
    <definedName name="DAY" localSheetId="16">'[5]Income Statement (WMofWA)'!#REF!</definedName>
    <definedName name="DAY" localSheetId="17">'[5]Income Statement (WMofWA)'!#REF!</definedName>
    <definedName name="DAY" localSheetId="18">'[5]Income Statement (WMofWA)'!#REF!</definedName>
    <definedName name="DAY">'[5]Income Statement (WMofWA)'!#REF!</definedName>
    <definedName name="DEBITS">'[1]ASSETS 11XXX'!$A$1:$L$19</definedName>
    <definedName name="Debt_Rate" localSheetId="2">'LG Nonpublic 2018 V5.2a'!$K$27</definedName>
    <definedName name="debtP" localSheetId="2">'LG Nonpublic 2018 V5.2a'!$I$27</definedName>
    <definedName name="deletion" localSheetId="16">#REF!</definedName>
    <definedName name="deletion" localSheetId="17">#REF!</definedName>
    <definedName name="deletion" localSheetId="18">#REF!</definedName>
    <definedName name="deletion">#REF!</definedName>
    <definedName name="Detail" localSheetId="16">#REF!</definedName>
    <definedName name="Detail" localSheetId="17">#REF!</definedName>
    <definedName name="Detail" localSheetId="18">#REF!</definedName>
    <definedName name="Detail">#REF!</definedName>
    <definedName name="End" localSheetId="16">'[7]IS-Murrey''s'!#REF!</definedName>
    <definedName name="End" localSheetId="17">'[7]IS-Murrey''s'!#REF!</definedName>
    <definedName name="End" localSheetId="18">'[7]IS-Murrey''s'!#REF!</definedName>
    <definedName name="End">'[7]IS-Murrey''s'!#REF!</definedName>
    <definedName name="EndTime" localSheetId="16">'[6]O-9'!#REF!</definedName>
    <definedName name="EndTime" localSheetId="17">'[6]O-9'!#REF!</definedName>
    <definedName name="EndTime" localSheetId="18">'[6]O-9'!#REF!</definedName>
    <definedName name="EndTime">'[6]O-9'!#REF!</definedName>
    <definedName name="Equity_percent" localSheetId="2">'LG Nonpublic 2018 V5.2a'!$S$58</definedName>
    <definedName name="equityP" localSheetId="2">'LG Nonpublic 2018 V5.2a'!$I$26</definedName>
    <definedName name="expenses" localSheetId="2">'LG Nonpublic 2018 V5.2a'!$I$8</definedName>
    <definedName name="Financial">[4]WTB!#REF!</definedName>
    <definedName name="FirstColCriteria">[4]WTB!#REF!</definedName>
    <definedName name="FirstHeaderCriteria">[4]WTB!#REF!</definedName>
    <definedName name="flag">[4]WTB!#REF!</definedName>
    <definedName name="Format_Column" localSheetId="16">#REF!</definedName>
    <definedName name="Format_Column" localSheetId="17">#REF!</definedName>
    <definedName name="Format_Column" localSheetId="18">#REF!</definedName>
    <definedName name="Format_Column">#REF!</definedName>
    <definedName name="formata" localSheetId="16">#REF!</definedName>
    <definedName name="formata" localSheetId="17">#REF!</definedName>
    <definedName name="formata" localSheetId="18">#REF!</definedName>
    <definedName name="formata">#REF!</definedName>
    <definedName name="formatb" localSheetId="16">#REF!</definedName>
    <definedName name="formatb" localSheetId="17">#REF!</definedName>
    <definedName name="formatb" localSheetId="18">#REF!</definedName>
    <definedName name="formatb">#REF!</definedName>
    <definedName name="FY" localSheetId="16">'[5]Income Statement (WMofWA)'!#REF!</definedName>
    <definedName name="FY" localSheetId="17">'[5]Income Statement (WMofWA)'!#REF!</definedName>
    <definedName name="FY" localSheetId="18">'[5]Income Statement (WMofWA)'!#REF!</definedName>
    <definedName name="FY">'[5]Income Statement (WMofWA)'!#REF!</definedName>
    <definedName name="Heading1" localSheetId="16">'[5]Income Statement (WMofWA)'!#REF!</definedName>
    <definedName name="Heading1" localSheetId="17">'[5]Income Statement (WMofWA)'!#REF!</definedName>
    <definedName name="Heading1" localSheetId="18">'[5]Income Statement (WMofWA)'!#REF!</definedName>
    <definedName name="Heading1">'[5]Income Statement (WMofWA)'!#REF!</definedName>
    <definedName name="IDN" localSheetId="16">'[5]Income Statement (WMofWA)'!#REF!</definedName>
    <definedName name="IDN" localSheetId="17">'[5]Income Statement (WMofWA)'!#REF!</definedName>
    <definedName name="IDN" localSheetId="18">'[5]Income Statement (WMofWA)'!#REF!</definedName>
    <definedName name="IDN">'[5]Income Statement (WMofWA)'!#REF!</definedName>
    <definedName name="IFN" localSheetId="16">'[5]Income Statement (WMofWA)'!#REF!</definedName>
    <definedName name="IFN" localSheetId="17">'[5]Income Statement (WMofWA)'!#REF!</definedName>
    <definedName name="IFN" localSheetId="18">'[5]Income Statement (WMofWA)'!#REF!</definedName>
    <definedName name="IFN">'[5]Income Statement (WMofWA)'!#REF!</definedName>
    <definedName name="income_statement">'Sch 4 - 12 Months'!$A$10:$N$131</definedName>
    <definedName name="INPUT" localSheetId="2">'LG Nonpublic 2018 V5.2a'!#REF!</definedName>
    <definedName name="INPUT">#REF!</definedName>
    <definedName name="INPUTc">#REF!</definedName>
    <definedName name="InsertColRange">[4]WTB!#REF!</definedName>
    <definedName name="Investment" localSheetId="2">'LG Nonpublic 2018 V5.2a'!$J$28</definedName>
    <definedName name="LAST_ROW">'[8]Income Statement (Tonnage)'!#REF!</definedName>
    <definedName name="Lurito" localSheetId="16">#REF!</definedName>
    <definedName name="Lurito" localSheetId="17">#REF!</definedName>
    <definedName name="Lurito" localSheetId="18">#REF!</definedName>
    <definedName name="Lurito">#REF!</definedName>
    <definedName name="LYN">'[5]Income Statement (WMofWA)'!#REF!</definedName>
    <definedName name="master_def">'[7]IS-Murrey''s'!#REF!</definedName>
    <definedName name="MATRIX" localSheetId="16">#REF!</definedName>
    <definedName name="MATRIX" localSheetId="17">#REF!</definedName>
    <definedName name="MATRIX" localSheetId="18">#REF!</definedName>
    <definedName name="MATRIX">#REF!</definedName>
    <definedName name="MthValue">'[6]O-9'!#REF!</definedName>
    <definedName name="NewOnlyOrg" localSheetId="16">#REF!</definedName>
    <definedName name="NewOnlyOrg" localSheetId="17">#REF!</definedName>
    <definedName name="NewOnlyOrg" localSheetId="18">#REF!</definedName>
    <definedName name="NewOnlyOrg">#REF!</definedName>
    <definedName name="NOTES" localSheetId="16">#REF!</definedName>
    <definedName name="NOTES" localSheetId="17">#REF!</definedName>
    <definedName name="NOTES" localSheetId="18">#REF!</definedName>
    <definedName name="NOTES">#REF!</definedName>
    <definedName name="NvsASD">"V2008-12-31"</definedName>
    <definedName name="NvsAutoDrillOk">"VN"</definedName>
    <definedName name="NvsElapsedTime">0.000729166669771075</definedName>
    <definedName name="NvsEndTime">39896.5868402778</definedName>
    <definedName name="NvsEndTime2">39823.1371643519</definedName>
    <definedName name="NvsEndTime3">39918.4137268519</definedName>
    <definedName name="NvsEndTime4">39825.0263078704</definedName>
    <definedName name="NvsEndTime5">39822.9425347222</definedName>
    <definedName name="NvsInstanceHook" localSheetId="16">rank</definedName>
    <definedName name="NvsInstanceHook" localSheetId="17">rank</definedName>
    <definedName name="NvsInstanceHook" localSheetId="18">rank</definedName>
    <definedName name="NvsInstanceHook">rank</definedName>
    <definedName name="NvsInstanceHook1" localSheetId="16">rank</definedName>
    <definedName name="NvsInstanceHook1" localSheetId="17">rank</definedName>
    <definedName name="NvsInstanceHook1" localSheetId="18">rank</definedName>
    <definedName name="NvsInstanceHook1">rank</definedName>
    <definedName name="NvsInstLang">"VENG"</definedName>
    <definedName name="NvsInstSpec">"%,FBUSINESS_UNIT,V01815"</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"V1950-01-01"</definedName>
    <definedName name="NvsPanelSetid">"VWASTE"</definedName>
    <definedName name="NvsReqBU">"V01815"</definedName>
    <definedName name="NvsReqBUOnly">"VY"</definedName>
    <definedName name="NvsTransLed">"VN"</definedName>
    <definedName name="NvsTreeASD">"V2008-12-31"</definedName>
    <definedName name="NvsValTbl.ACCOUNT">"GL_ACCOUNT_TBL"</definedName>
    <definedName name="NvsValTbl.ACCOUNT_SUM">"ZGL_SACCT_VW"</definedName>
    <definedName name="NvsValTbl.ASSET_CLASS">"ASSET_CLASS_TBL"</definedName>
    <definedName name="NvsValTbl.BUSINESS_UNIT">"BUS_UNIT_TBL_GL"</definedName>
    <definedName name="NvsValTbl.CURRENCY_CD">"CURRENCY_CD_TBL"</definedName>
    <definedName name="NvsValTbl.DEPTID">"DEPT_TBL"</definedName>
    <definedName name="NvsValTbl.OPERATING_UNIT">"OPER_UNIT_TBL"</definedName>
    <definedName name="NvsValTbl.PRODUCT">"PRODUCT_TBL"</definedName>
    <definedName name="OfficerSalary">#REF!</definedName>
    <definedName name="Operations">'[5]Income Statement (WMofWA)'!#REF!</definedName>
    <definedName name="OPR">'[5]Income Statement (WMofWA)'!#REF!</definedName>
    <definedName name="Org11_13" localSheetId="16">#REF!</definedName>
    <definedName name="Org11_13" localSheetId="17">#REF!</definedName>
    <definedName name="Org11_13" localSheetId="18">#REF!</definedName>
    <definedName name="Org11_13">#REF!</definedName>
    <definedName name="Org7_10" localSheetId="16">#REF!</definedName>
    <definedName name="Org7_10" localSheetId="17">#REF!</definedName>
    <definedName name="Org7_10" localSheetId="18">#REF!</definedName>
    <definedName name="Org7_10">#REF!</definedName>
    <definedName name="ORIG2GALWT_" localSheetId="16">#REF!</definedName>
    <definedName name="ORIG2GALWT_" localSheetId="17">#REF!</definedName>
    <definedName name="ORIG2GALWT_" localSheetId="18">#REF!</definedName>
    <definedName name="ORIG2GALWT_">#REF!</definedName>
    <definedName name="ORIG2OH" localSheetId="16">#REF!</definedName>
    <definedName name="ORIG2OH" localSheetId="17">#REF!</definedName>
    <definedName name="ORIG2OH" localSheetId="18">#REF!</definedName>
    <definedName name="ORIG2OH">#REF!</definedName>
    <definedName name="PAGE_1">'WP-2, pg 2 -  Depr'!$B$1:$Z$46</definedName>
    <definedName name="PED" localSheetId="16">'[5]Income Statement (WMofWA)'!#REF!</definedName>
    <definedName name="PED" localSheetId="17">'[5]Income Statement (WMofWA)'!#REF!</definedName>
    <definedName name="PED" localSheetId="18">'[5]Income Statement (WMofWA)'!#REF!</definedName>
    <definedName name="PED">'[5]Income Statement (WMofWA)'!#REF!</definedName>
    <definedName name="PER">[4]WTB!$DC$5</definedName>
    <definedName name="Pfd_weighted" localSheetId="2">'LG Nonpublic 2018 V5.2a'!$U$57</definedName>
    <definedName name="_xlnm.Print_Area" localSheetId="4">Assumptions!$A$1:$I$16</definedName>
    <definedName name="_xlnm.Print_Area" localSheetId="2">'LG Nonpublic 2018 V5.2a'!$F$2:$N$49</definedName>
    <definedName name="_xlnm.Print_Area" localSheetId="3">Operations!$A$1:$N$135</definedName>
    <definedName name="_xlnm.Print_Area" localSheetId="5">'Sch 1 - Restated Exp'!$A$1:$G$37</definedName>
    <definedName name="_xlnm.Print_Area" localSheetId="6">'Sch 1, pg 2 - Restated'!$A$1:$N$107</definedName>
    <definedName name="_xlnm.Print_Area" localSheetId="7">'Sch 2 - Forecast Exp'!$A$1:$F$70</definedName>
    <definedName name="_xlnm.Print_Area" localSheetId="8">'Sch 2, pg 2 - Forecast'!$A$1:$N$109</definedName>
    <definedName name="_xlnm.Print_Area" localSheetId="10">'Sch 3, pg 2 - Reclass'!$A$1:$H$109</definedName>
    <definedName name="_xlnm.Print_Area" localSheetId="25">'WP-10 - Disposal'!$A$1:$U$67</definedName>
    <definedName name="_xlnm.Print_Area" localSheetId="26">'WP-11 - Non-Regulated'!$A$1:$P$58</definedName>
    <definedName name="_xlnm.Print_Area" localSheetId="14">'WP-2 - Summary Depr'!$A$1:$Q$25</definedName>
    <definedName name="_xlnm.Print_Area" localSheetId="15">'WP-2, pg 2 -  Depr'!$B$1:$Z$307</definedName>
    <definedName name="_xlnm.Print_Area" localSheetId="16">'WP-3 - Labor Analysis'!$A$1:$W$58</definedName>
    <definedName name="_xlnm.Print_Area" localSheetId="17">'WP-3, pg 2 - Labor Increase'!$A$1:$Z$82</definedName>
    <definedName name="_xlnm.Print_Area" localSheetId="18">'WP-3, pg 3 - Benefits Analysis'!$A$1:$P$50</definedName>
    <definedName name="_xlnm.Print_Area" localSheetId="19">'WP-4 - Vehicle License'!$A$1:$E$36</definedName>
    <definedName name="_xlnm.Print_Area" localSheetId="20">'WP-5 - Dues &amp; Sub'!$A$1:$K$31</definedName>
    <definedName name="_xlnm.Print_Area" localSheetId="22">'WP-7 - Affiliated '!$A$1:$G$25</definedName>
    <definedName name="_xlnm.Print_Area" localSheetId="23">'WP-8 - Fuel'!$A$1:$H$41</definedName>
    <definedName name="_xlnm.Print_Area">#REF!</definedName>
    <definedName name="Print_Area_MI" localSheetId="2">#REF!</definedName>
    <definedName name="Print_Area_MI">#REF!</definedName>
    <definedName name="Print_Area_MIc">#REF!</definedName>
    <definedName name="_xlnm.Print_Titles" localSheetId="6">'Sch 1, pg 2 - Restated'!$1:$11</definedName>
    <definedName name="_xlnm.Print_Titles" localSheetId="8">'Sch 2, pg 2 - Forecast'!$1:$11</definedName>
    <definedName name="_xlnm.Print_Titles" localSheetId="10">'Sch 3, pg 2 - Reclass'!$1:$11</definedName>
    <definedName name="_xlnm.Print_Titles" localSheetId="11">'Sch 4 - 12 Months'!$1:$10</definedName>
    <definedName name="_xlnm.Print_Titles" localSheetId="15">'WP-2, pg 2 -  Depr'!$1:$14</definedName>
    <definedName name="_xlnm.Print_Titles" localSheetId="17">'WP-3, pg 2 - Labor Increase'!$A:$A,'WP-3, pg 2 - Labor Increase'!$1:$5</definedName>
    <definedName name="Print_Titles_MI" localSheetId="16">#REF!</definedName>
    <definedName name="Print_Titles_MI" localSheetId="17">#REF!</definedName>
    <definedName name="Print_Titles_MI" localSheetId="18">#REF!</definedName>
    <definedName name="Print_Titles_MI">#REF!</definedName>
    <definedName name="Print1" localSheetId="16">#REF!</definedName>
    <definedName name="Print1" localSheetId="17">#REF!</definedName>
    <definedName name="Print1" localSheetId="18">#REF!</definedName>
    <definedName name="Print1">#REF!</definedName>
    <definedName name="Print2" localSheetId="16">#REF!</definedName>
    <definedName name="Print2" localSheetId="17">#REF!</definedName>
    <definedName name="Print2" localSheetId="18">#REF!</definedName>
    <definedName name="Print2">#REF!</definedName>
    <definedName name="Prnit_Range" localSheetId="16">#REF!</definedName>
    <definedName name="Prnit_Range" localSheetId="17">#REF!</definedName>
    <definedName name="Prnit_Range" localSheetId="18">#REF!</definedName>
    <definedName name="Prnit_Range">#REF!</definedName>
    <definedName name="PYear" localSheetId="16">'[6]O-9'!#REF!</definedName>
    <definedName name="PYear" localSheetId="17">'[6]O-9'!#REF!</definedName>
    <definedName name="PYear" localSheetId="18">'[6]O-9'!#REF!</definedName>
    <definedName name="PYear">'[6]O-9'!#REF!</definedName>
    <definedName name="QtrValue" localSheetId="16">#REF!</definedName>
    <definedName name="QtrValue" localSheetId="17">#REF!</definedName>
    <definedName name="QtrValue" localSheetId="18">#REF!</definedName>
    <definedName name="QtrValue">#REF!</definedName>
    <definedName name="Quarter_Budget" localSheetId="16">#REF!</definedName>
    <definedName name="Quarter_Budget" localSheetId="17">#REF!</definedName>
    <definedName name="Quarter_Budget" localSheetId="18">#REF!</definedName>
    <definedName name="Quarter_Budget">#REF!</definedName>
    <definedName name="Quarter_Month" localSheetId="16">#REF!</definedName>
    <definedName name="Quarter_Month" localSheetId="17">#REF!</definedName>
    <definedName name="Quarter_Month" localSheetId="18">#REF!</definedName>
    <definedName name="Quarter_Month">#REF!</definedName>
    <definedName name="RBU" localSheetId="16">'[5]Income Statement (WMofWA)'!#REF!</definedName>
    <definedName name="RBU" localSheetId="17">'[5]Income Statement (WMofWA)'!#REF!</definedName>
    <definedName name="RBU" localSheetId="18">'[5]Income Statement (WMofWA)'!#REF!</definedName>
    <definedName name="RBU">'[5]Income Statement (WMofWA)'!#REF!</definedName>
    <definedName name="RCW_81.04.080" localSheetId="16">#REF!</definedName>
    <definedName name="RCW_81.04.080" localSheetId="17">#REF!</definedName>
    <definedName name="RCW_81.04.080" localSheetId="18">#REF!</definedName>
    <definedName name="RCW_81.04.080">#REF!</definedName>
    <definedName name="RECAP" localSheetId="16">#REF!</definedName>
    <definedName name="RECAP" localSheetId="17">#REF!</definedName>
    <definedName name="RECAP" localSheetId="18">#REF!</definedName>
    <definedName name="RECAP">#REF!</definedName>
    <definedName name="RECAP2" localSheetId="16">#REF!</definedName>
    <definedName name="RECAP2" localSheetId="17">#REF!</definedName>
    <definedName name="RECAP2" localSheetId="18">#REF!</definedName>
    <definedName name="RECAP2">#REF!</definedName>
    <definedName name="_xlnm.Recorder" localSheetId="16">#REF!</definedName>
    <definedName name="_xlnm.Recorder" localSheetId="17">#REF!</definedName>
    <definedName name="_xlnm.Recorder" localSheetId="18">#REF!</definedName>
    <definedName name="_xlnm.Recorder">#REF!</definedName>
    <definedName name="RecyDisposal" localSheetId="16">#REF!</definedName>
    <definedName name="RecyDisposal" localSheetId="17">#REF!</definedName>
    <definedName name="RecyDisposal" localSheetId="18">#REF!</definedName>
    <definedName name="RecyDisposal">#REF!</definedName>
    <definedName name="regDebt_weighted" localSheetId="2">'LG Nonpublic 2018 V5.2a'!$U$56</definedName>
    <definedName name="RelatedSalary" localSheetId="16">#REF!</definedName>
    <definedName name="RelatedSalary" localSheetId="17">#REF!</definedName>
    <definedName name="RelatedSalary" localSheetId="18">#REF!</definedName>
    <definedName name="RelatedSalary">#REF!</definedName>
    <definedName name="RevCust" localSheetId="16">'[9]Schedule 6'!#REF!</definedName>
    <definedName name="RevCust" localSheetId="17">'[9]Schedule 6'!#REF!</definedName>
    <definedName name="RevCust" localSheetId="18">'[9]Schedule 6'!#REF!</definedName>
    <definedName name="RevCust">'[9]Schedule 6'!#REF!</definedName>
    <definedName name="Revenue" localSheetId="2">'LG Nonpublic 2018 V5.2a'!$I$7</definedName>
    <definedName name="RID" localSheetId="16">'[5]Income Statement (WMofWA)'!#REF!</definedName>
    <definedName name="RID" localSheetId="17">'[5]Income Statement (WMofWA)'!#REF!</definedName>
    <definedName name="RID" localSheetId="18">'[5]Income Statement (WMofWA)'!#REF!</definedName>
    <definedName name="RID">'[5]Income Statement (WMofWA)'!#REF!</definedName>
    <definedName name="ROCE" localSheetId="16">#REF!,#REF!</definedName>
    <definedName name="ROCE" localSheetId="17">#REF!,#REF!</definedName>
    <definedName name="ROCE" localSheetId="18">#REF!,#REF!</definedName>
    <definedName name="ROCE">#REF!,#REF!</definedName>
    <definedName name="ROW_SUPRESS" localSheetId="16">'[5]Income Statement (WMofWA)'!#REF!</definedName>
    <definedName name="ROW_SUPRESS" localSheetId="17">'[5]Income Statement (WMofWA)'!#REF!</definedName>
    <definedName name="ROW_SUPRESS" localSheetId="18">'[5]Income Statement (WMofWA)'!#REF!</definedName>
    <definedName name="ROW_SUPRESS">'[5]Income Statement (WMofWA)'!#REF!</definedName>
    <definedName name="RTT" localSheetId="16">'[5]Income Statement (WMofWA)'!#REF!</definedName>
    <definedName name="RTT" localSheetId="17">'[5]Income Statement (WMofWA)'!#REF!</definedName>
    <definedName name="RTT" localSheetId="18">'[5]Income Statement (WMofWA)'!#REF!</definedName>
    <definedName name="RTT">'[5]Income Statement (WMofWA)'!#REF!</definedName>
    <definedName name="sale" localSheetId="16">#REF!</definedName>
    <definedName name="sale" localSheetId="17">#REF!</definedName>
    <definedName name="sale" localSheetId="18">#REF!</definedName>
    <definedName name="sale">#REF!</definedName>
    <definedName name="SALES_TAX_RETURN" localSheetId="16">#REF!</definedName>
    <definedName name="SALES_TAX_RETURN" localSheetId="17">#REF!</definedName>
    <definedName name="SALES_TAX_RETURN" localSheetId="18">#REF!</definedName>
    <definedName name="SALES_TAX_RETURN">#REF!</definedName>
    <definedName name="SCN" localSheetId="16">'[5]Income Statement (WMofWA)'!#REF!</definedName>
    <definedName name="SCN" localSheetId="17">'[5]Income Statement (WMofWA)'!#REF!</definedName>
    <definedName name="SCN" localSheetId="18">'[5]Income Statement (WMofWA)'!#REF!</definedName>
    <definedName name="SCN">'[5]Income Statement (WMofWA)'!#REF!</definedName>
    <definedName name="SFD">[4]WTB!$DE$5</definedName>
    <definedName name="SFD_BU">'[5]Income Statement (WMofWA)'!#REF!</definedName>
    <definedName name="SFD_DEPTID">'[5]Income Statement (WMofWA)'!#REF!</definedName>
    <definedName name="SFD_OP">'[5]Income Statement (WMofWA)'!#REF!</definedName>
    <definedName name="SFD_PROD">'[5]Income Statement (WMofWA)'!#REF!</definedName>
    <definedName name="SFD_PROJ">'[5]Income Statement (WMofWA)'!#REF!</definedName>
    <definedName name="sfdbusunit" localSheetId="16">#REF!</definedName>
    <definedName name="sfdbusunit" localSheetId="17">#REF!</definedName>
    <definedName name="sfdbusunit" localSheetId="18">#REF!</definedName>
    <definedName name="sfdbusunit">#REF!</definedName>
    <definedName name="SFV">[4]WTB!$DE$4</definedName>
    <definedName name="SFV_BU">'[5]Income Statement (WMofWA)'!#REF!</definedName>
    <definedName name="SFV_CUR" localSheetId="16">#REF!</definedName>
    <definedName name="SFV_CUR" localSheetId="17">#REF!</definedName>
    <definedName name="SFV_CUR" localSheetId="18">#REF!</definedName>
    <definedName name="SFV_CUR">#REF!</definedName>
    <definedName name="SFV_CUR1">'[4]2008 West Group IS'!$AM$9</definedName>
    <definedName name="SFV_CUR5">'[4]2008 Group Office IS'!$AM$9</definedName>
    <definedName name="SFV_DEPTID">'[5]Income Statement (WMofWA)'!#REF!</definedName>
    <definedName name="SFV_OP">'[5]Income Statement (WMofWA)'!#REF!</definedName>
    <definedName name="SFV_PROD">'[5]Income Statement (WMofWA)'!#REF!</definedName>
    <definedName name="SFV_PROJ">'[5]Income Statement (WMofWA)'!#REF!</definedName>
    <definedName name="slope">'LG Nonpublic 2018 V5.2a'!$Y$58</definedName>
    <definedName name="sort" localSheetId="16">#REF!</definedName>
    <definedName name="sort" localSheetId="17">#REF!</definedName>
    <definedName name="sort" localSheetId="18">#REF!</definedName>
    <definedName name="sort">#REF!</definedName>
    <definedName name="Sort1" localSheetId="16">#REF!</definedName>
    <definedName name="Sort1" localSheetId="17">#REF!</definedName>
    <definedName name="Sort1" localSheetId="18">#REF!</definedName>
    <definedName name="Sort1">#REF!</definedName>
    <definedName name="sortcol" localSheetId="16">'[7]IS-Murrey''s'!#REF!</definedName>
    <definedName name="sortcol" localSheetId="17">'[7]IS-Murrey''s'!#REF!</definedName>
    <definedName name="sortcol" localSheetId="18">'[7]IS-Murrey''s'!#REF!</definedName>
    <definedName name="sortcol">'[7]IS-Murrey''s'!#REF!</definedName>
    <definedName name="start" localSheetId="16">#REF!</definedName>
    <definedName name="start" localSheetId="17">#REF!</definedName>
    <definedName name="start" localSheetId="18">#REF!</definedName>
    <definedName name="start">#REF!</definedName>
    <definedName name="Stop" localSheetId="16">'[6]O-9'!#REF!</definedName>
    <definedName name="Stop" localSheetId="17">'[6]O-9'!#REF!</definedName>
    <definedName name="Stop" localSheetId="18">'[6]O-9'!#REF!</definedName>
    <definedName name="Stop">'[6]O-9'!#REF!</definedName>
    <definedName name="SUMMARY" localSheetId="16">#REF!</definedName>
    <definedName name="SUMMARY" localSheetId="17">#REF!</definedName>
    <definedName name="SUMMARY" localSheetId="18">#REF!</definedName>
    <definedName name="SUMMARY">#REF!</definedName>
    <definedName name="Summary_DistrictName">[10]Summary!$B$7</definedName>
    <definedName name="Summary_DistrictNo">[10]Summary!$B$5</definedName>
    <definedName name="SWDisposal" localSheetId="16">#REF!</definedName>
    <definedName name="SWDisposal" localSheetId="17">#REF!</definedName>
    <definedName name="SWDisposal" localSheetId="18">#REF!</definedName>
    <definedName name="SWDisposal">#REF!</definedName>
    <definedName name="taxrate" localSheetId="2">'LG Nonpublic 2018 V5.2a'!$J$38</definedName>
    <definedName name="test">'[11]Sch 4 - 12months'!$B$10:$O$86</definedName>
    <definedName name="Title2">'[6]O-9'!#REF!</definedName>
    <definedName name="TOP">'[3]10800-10899'!#REF!</definedName>
    <definedName name="Total_Interest">'[12]Amortization Table'!$F$18</definedName>
    <definedName name="Variables">'[5]Income Statement (WMofWA)'!#REF!</definedName>
    <definedName name="Waste_Management__Inc." localSheetId="16">#REF!</definedName>
    <definedName name="Waste_Management__Inc." localSheetId="17">#REF!</definedName>
    <definedName name="Waste_Management__Inc." localSheetId="18">#REF!</definedName>
    <definedName name="Waste_Management__Inc.">#REF!</definedName>
    <definedName name="WM" localSheetId="16">#REF!</definedName>
    <definedName name="WM" localSheetId="17">#REF!</definedName>
    <definedName name="WM" localSheetId="18">#REF!</definedName>
    <definedName name="WM">#REF!</definedName>
    <definedName name="x" localSheetId="16">rank</definedName>
    <definedName name="x" localSheetId="17">rank</definedName>
    <definedName name="x" localSheetId="18">rank</definedName>
    <definedName name="x">rank</definedName>
    <definedName name="xx" localSheetId="16">rank</definedName>
    <definedName name="xx" localSheetId="17">rank</definedName>
    <definedName name="xx" localSheetId="18">rank</definedName>
    <definedName name="xx">rank</definedName>
    <definedName name="xxx" localSheetId="16">rank</definedName>
    <definedName name="xxx" localSheetId="17">rank</definedName>
    <definedName name="xxx" localSheetId="18">rank</definedName>
    <definedName name="xxx">rank</definedName>
    <definedName name="y_inter1">'LG Nonpublic 2018 V5.2a'!$X$55</definedName>
    <definedName name="y_inter2">'LG Nonpublic 2018 V5.2a'!$X$56</definedName>
    <definedName name="y_inter3">'LG Nonpublic 2018 V5.2a'!$Z$55</definedName>
    <definedName name="y_inter4">'LG Nonpublic 2018 V5.2a'!$Z$56</definedName>
    <definedName name="YEAR4" localSheetId="16">#REF!</definedName>
    <definedName name="YEAR4" localSheetId="17">#REF!</definedName>
    <definedName name="YEAR4" localSheetId="18">#REF!</definedName>
    <definedName name="YEAR4">#REF!</definedName>
    <definedName name="yrCur">'[13]Report Template'!$B$2002</definedName>
    <definedName name="yrNext">'[13]Report Template'!$B$2003</definedName>
    <definedName name="YWMedWasteDisp" localSheetId="16">#REF!</definedName>
    <definedName name="YWMedWasteDisp" localSheetId="17">#REF!</definedName>
    <definedName name="YWMedWasteDisp" localSheetId="18">#REF!</definedName>
    <definedName name="YWMedWasteDisp">#REF!</definedName>
    <definedName name="Zero_Format" localSheetId="16">#REF!</definedName>
    <definedName name="Zero_Format" localSheetId="17">#REF!</definedName>
    <definedName name="Zero_Format" localSheetId="18">#REF!</definedName>
    <definedName name="Zero_Format">#REF!</definedName>
  </definedNames>
  <calcPr calcId="191029"/>
</workbook>
</file>

<file path=xl/calcChain.xml><?xml version="1.0" encoding="utf-8"?>
<calcChain xmlns="http://schemas.openxmlformats.org/spreadsheetml/2006/main">
  <c r="A5" i="107" l="1"/>
  <c r="B1" i="107"/>
  <c r="K10" i="49"/>
  <c r="G35" i="49" l="1"/>
  <c r="E40" i="27"/>
  <c r="O317" i="64"/>
  <c r="O314" i="64"/>
  <c r="P61" i="7" l="1"/>
  <c r="D32" i="18"/>
  <c r="Z93" i="64"/>
  <c r="Z81" i="64"/>
  <c r="Z76" i="64"/>
  <c r="Z68" i="64"/>
  <c r="L351" i="64"/>
  <c r="AE350" i="64"/>
  <c r="AD350" i="64"/>
  <c r="AB350" i="64"/>
  <c r="AA350" i="64"/>
  <c r="Q350" i="64"/>
  <c r="I350" i="64"/>
  <c r="AC350" i="64" s="1"/>
  <c r="F350" i="64"/>
  <c r="N350" i="64" s="1"/>
  <c r="O350" i="64" s="1"/>
  <c r="AE349" i="64"/>
  <c r="AD349" i="64"/>
  <c r="AB349" i="64"/>
  <c r="AA349" i="64"/>
  <c r="Q349" i="64"/>
  <c r="I349" i="64"/>
  <c r="AC349" i="64" s="1"/>
  <c r="F349" i="64"/>
  <c r="N349" i="64" s="1"/>
  <c r="O349" i="64" s="1"/>
  <c r="AE348" i="64"/>
  <c r="AD348" i="64"/>
  <c r="AB348" i="64"/>
  <c r="AA348" i="64"/>
  <c r="Q348" i="64"/>
  <c r="I348" i="64"/>
  <c r="AC348" i="64" s="1"/>
  <c r="F348" i="64"/>
  <c r="N348" i="64" s="1"/>
  <c r="O348" i="64" s="1"/>
  <c r="AE347" i="64"/>
  <c r="AD347" i="64"/>
  <c r="AB347" i="64"/>
  <c r="AA347" i="64"/>
  <c r="Q347" i="64"/>
  <c r="N347" i="64"/>
  <c r="I347" i="64"/>
  <c r="AC347" i="64" s="1"/>
  <c r="Q105" i="64"/>
  <c r="O347" i="64" l="1"/>
  <c r="N351" i="64"/>
  <c r="N352" i="64" s="1"/>
  <c r="N353" i="64" s="1"/>
  <c r="U349" i="64"/>
  <c r="P349" i="64"/>
  <c r="R349" i="64" s="1"/>
  <c r="P350" i="64"/>
  <c r="U350" i="64"/>
  <c r="P347" i="64"/>
  <c r="R347" i="64" s="1"/>
  <c r="U347" i="64" s="1"/>
  <c r="U348" i="64"/>
  <c r="P348" i="64"/>
  <c r="R348" i="64"/>
  <c r="R350" i="64" l="1"/>
  <c r="Q60" i="7" l="1"/>
  <c r="L15" i="17"/>
  <c r="L13" i="17"/>
  <c r="D70" i="19"/>
  <c r="D64" i="19"/>
  <c r="L14" i="71" l="1"/>
  <c r="D58" i="19"/>
  <c r="L12" i="71" l="1"/>
  <c r="D69" i="19"/>
  <c r="N34" i="49" l="1"/>
  <c r="N66" i="77" l="1"/>
  <c r="N64" i="77"/>
  <c r="C44" i="19"/>
  <c r="N58" i="77"/>
  <c r="E24" i="86"/>
  <c r="E22" i="86"/>
  <c r="E19" i="86"/>
  <c r="E12" i="86"/>
  <c r="E14" i="86"/>
  <c r="E16" i="86"/>
  <c r="E17" i="86"/>
  <c r="F37" i="104" l="1"/>
  <c r="K37" i="104"/>
  <c r="J28" i="104"/>
  <c r="J24" i="104"/>
  <c r="T57" i="77"/>
  <c r="N46" i="77"/>
  <c r="Q40" i="77"/>
  <c r="N48" i="77"/>
  <c r="N49" i="77" s="1"/>
  <c r="N47" i="77"/>
  <c r="I12" i="77"/>
  <c r="T53" i="77"/>
  <c r="AA84" i="77"/>
  <c r="AA83" i="77"/>
  <c r="AA85" i="77"/>
  <c r="T11" i="77"/>
  <c r="Q12" i="77"/>
  <c r="T12" i="77" s="1"/>
  <c r="Q13" i="77"/>
  <c r="Q14" i="77"/>
  <c r="Q15" i="77"/>
  <c r="Q16" i="77"/>
  <c r="Q17" i="77"/>
  <c r="Q18" i="77"/>
  <c r="Q11" i="77"/>
  <c r="P12" i="77"/>
  <c r="P13" i="77"/>
  <c r="P14" i="77"/>
  <c r="P15" i="77"/>
  <c r="P16" i="77"/>
  <c r="P17" i="77"/>
  <c r="P18" i="77"/>
  <c r="P11" i="77"/>
  <c r="T24" i="77"/>
  <c r="T47" i="77" l="1"/>
  <c r="T46" i="77"/>
  <c r="T45" i="77"/>
  <c r="T44" i="77"/>
  <c r="T28" i="77"/>
  <c r="Z13" i="77"/>
  <c r="T23" i="77" l="1"/>
  <c r="E35" i="49" l="1"/>
  <c r="E37" i="49" s="1"/>
  <c r="E33" i="49"/>
  <c r="C33" i="49"/>
  <c r="G31" i="49"/>
  <c r="G30" i="49"/>
  <c r="G10" i="49"/>
  <c r="T56" i="77" l="1"/>
  <c r="N33" i="49"/>
  <c r="C26" i="26" l="1"/>
  <c r="I27" i="26"/>
  <c r="D13" i="19"/>
  <c r="D14" i="19"/>
  <c r="D15" i="19"/>
  <c r="D16" i="19"/>
  <c r="D17" i="19"/>
  <c r="D12" i="19"/>
  <c r="T81" i="105"/>
  <c r="T78" i="105"/>
  <c r="T82" i="105"/>
  <c r="T80" i="105"/>
  <c r="T79" i="105"/>
  <c r="S64" i="105"/>
  <c r="S62" i="105"/>
  <c r="S56" i="105" l="1"/>
  <c r="S53" i="105"/>
  <c r="S41" i="105"/>
  <c r="S35" i="105"/>
  <c r="S19" i="105"/>
  <c r="S14" i="105"/>
  <c r="R64" i="105"/>
  <c r="T77" i="105"/>
  <c r="L303" i="64" l="1"/>
  <c r="F335" i="64"/>
  <c r="F330" i="64"/>
  <c r="F329" i="64"/>
  <c r="F328" i="64"/>
  <c r="F327" i="64"/>
  <c r="F104" i="64"/>
  <c r="F105" i="64"/>
  <c r="L153" i="64"/>
  <c r="N310" i="64"/>
  <c r="V309" i="64"/>
  <c r="N18" i="64"/>
  <c r="O18" i="64" s="1"/>
  <c r="N19" i="64"/>
  <c r="O19" i="64" s="1"/>
  <c r="N20" i="64"/>
  <c r="O20" i="64" s="1"/>
  <c r="N21" i="64"/>
  <c r="O21" i="64" s="1"/>
  <c r="N22" i="64"/>
  <c r="O22" i="64" s="1"/>
  <c r="N23" i="64"/>
  <c r="O23" i="64" s="1"/>
  <c r="N24" i="64"/>
  <c r="O24" i="64" s="1"/>
  <c r="N25" i="64"/>
  <c r="O25" i="64" s="1"/>
  <c r="N26" i="64"/>
  <c r="O26" i="64" s="1"/>
  <c r="N27" i="64"/>
  <c r="O27" i="64" s="1"/>
  <c r="N28" i="64"/>
  <c r="O28" i="64" s="1"/>
  <c r="N29" i="64"/>
  <c r="O29" i="64" s="1"/>
  <c r="N30" i="64"/>
  <c r="O30" i="64" s="1"/>
  <c r="N31" i="64"/>
  <c r="O31" i="64" s="1"/>
  <c r="N17" i="64"/>
  <c r="N32" i="64" l="1"/>
  <c r="O17" i="64"/>
  <c r="F119" i="71" l="1"/>
  <c r="F55" i="71"/>
  <c r="F57" i="71"/>
  <c r="F59" i="71"/>
  <c r="C8" i="108"/>
  <c r="F8" i="108"/>
  <c r="F9" i="108"/>
  <c r="F10" i="108"/>
  <c r="F11" i="108" s="1"/>
  <c r="F12" i="108" s="1"/>
  <c r="F13" i="108" s="1"/>
  <c r="F14" i="108" s="1"/>
  <c r="F15" i="108" s="1"/>
  <c r="F16" i="108" s="1"/>
  <c r="F17" i="108" s="1"/>
  <c r="F18" i="108" s="1"/>
  <c r="F19" i="108" s="1"/>
  <c r="F20" i="108" s="1"/>
  <c r="F21" i="108" s="1"/>
  <c r="F22" i="108" s="1"/>
  <c r="F23" i="108" s="1"/>
  <c r="F24" i="108" s="1"/>
  <c r="F25" i="108" s="1"/>
  <c r="F26" i="108" s="1"/>
  <c r="F27" i="108" s="1"/>
  <c r="F28" i="108" s="1"/>
  <c r="F29" i="108" s="1"/>
  <c r="F30" i="108" s="1"/>
  <c r="F31" i="108" s="1"/>
  <c r="F32" i="108" s="1"/>
  <c r="F33" i="108" s="1"/>
  <c r="F34" i="108" s="1"/>
  <c r="F35" i="108" s="1"/>
  <c r="F36" i="108" s="1"/>
  <c r="F37" i="108" s="1"/>
  <c r="F38" i="108" s="1"/>
  <c r="F39" i="108" s="1"/>
  <c r="F40" i="108" s="1"/>
  <c r="F41" i="108" s="1"/>
  <c r="F42" i="108" s="1"/>
  <c r="F43" i="108" s="1"/>
  <c r="F44" i="108" s="1"/>
  <c r="F45" i="108" s="1"/>
  <c r="F46" i="108" s="1"/>
  <c r="F47" i="108" s="1"/>
  <c r="F48" i="108" s="1"/>
  <c r="F49" i="108" s="1"/>
  <c r="V18" i="108"/>
  <c r="I27" i="108"/>
  <c r="J38" i="108"/>
  <c r="K38" i="108"/>
  <c r="Z68" i="108" s="1"/>
  <c r="V39" i="108"/>
  <c r="J43" i="108"/>
  <c r="J44" i="108"/>
  <c r="J45" i="108"/>
  <c r="J46" i="108"/>
  <c r="U56" i="108"/>
  <c r="U57" i="108"/>
  <c r="S59" i="108"/>
  <c r="Y68" i="108"/>
  <c r="I26" i="108" l="1"/>
  <c r="I28" i="108" s="1"/>
  <c r="V11" i="108"/>
  <c r="V21" i="108"/>
  <c r="V27" i="108"/>
  <c r="V6" i="108"/>
  <c r="V34" i="108"/>
  <c r="V7" i="108"/>
  <c r="V9" i="108"/>
  <c r="V37" i="108"/>
  <c r="V14" i="108"/>
  <c r="V26" i="108"/>
  <c r="V13" i="108"/>
  <c r="V24" i="108"/>
  <c r="V33" i="108"/>
  <c r="V16" i="108"/>
  <c r="V31" i="108"/>
  <c r="V36" i="108"/>
  <c r="V17" i="108"/>
  <c r="V32" i="108"/>
  <c r="V8" i="108"/>
  <c r="V12" i="108"/>
  <c r="V23" i="108"/>
  <c r="J47" i="108"/>
  <c r="V28" i="108"/>
  <c r="V22" i="108"/>
  <c r="V19" i="108"/>
  <c r="V38" i="108"/>
  <c r="V29" i="108"/>
  <c r="L44" i="107"/>
  <c r="K44" i="107"/>
  <c r="M44" i="107" s="1"/>
  <c r="N44" i="107" s="1"/>
  <c r="K41" i="107"/>
  <c r="M41" i="107" s="1"/>
  <c r="N41" i="107" s="1"/>
  <c r="L29" i="107"/>
  <c r="K29" i="107"/>
  <c r="M29" i="107" s="1"/>
  <c r="L22" i="107"/>
  <c r="L56" i="107" s="1"/>
  <c r="K22" i="107"/>
  <c r="AB84" i="77"/>
  <c r="AC84" i="77"/>
  <c r="Z84" i="77"/>
  <c r="Z87" i="77"/>
  <c r="N52" i="77"/>
  <c r="Q29" i="77"/>
  <c r="T29" i="77" s="1"/>
  <c r="Q30" i="77"/>
  <c r="T30" i="77" s="1"/>
  <c r="Q31" i="77"/>
  <c r="T31" i="77" s="1"/>
  <c r="Q32" i="77"/>
  <c r="T32" i="77" s="1"/>
  <c r="Q33" i="77"/>
  <c r="T33" i="77" s="1"/>
  <c r="Q34" i="77"/>
  <c r="T34" i="77" s="1"/>
  <c r="Q35" i="77"/>
  <c r="T35" i="77" s="1"/>
  <c r="Q36" i="77"/>
  <c r="T36" i="77" s="1"/>
  <c r="Q37" i="77"/>
  <c r="T37" i="77" s="1"/>
  <c r="Q38" i="77"/>
  <c r="T38" i="77" s="1"/>
  <c r="Q39" i="77"/>
  <c r="T39" i="77" s="1"/>
  <c r="Q28" i="77"/>
  <c r="Q24" i="77"/>
  <c r="Q25" i="77"/>
  <c r="Q23" i="77"/>
  <c r="K56" i="107" l="1"/>
  <c r="M56" i="107" s="1"/>
  <c r="N56" i="107" s="1"/>
  <c r="N22" i="107"/>
  <c r="N29" i="107"/>
  <c r="M22" i="107"/>
  <c r="T13" i="77"/>
  <c r="T14" i="77"/>
  <c r="T15" i="77"/>
  <c r="T16" i="77"/>
  <c r="T17" i="77"/>
  <c r="T18" i="77"/>
  <c r="D116" i="71" l="1"/>
  <c r="F116" i="71" s="1"/>
  <c r="N57" i="107"/>
  <c r="T40" i="77"/>
  <c r="F50" i="104"/>
  <c r="D33" i="18" l="1"/>
  <c r="D34" i="18" s="1"/>
  <c r="J102" i="16" s="1"/>
  <c r="I118" i="71" s="1"/>
  <c r="S105" i="64"/>
  <c r="S350" i="64"/>
  <c r="S347" i="64"/>
  <c r="S349" i="64"/>
  <c r="S348" i="64"/>
  <c r="D29" i="18"/>
  <c r="D37" i="19"/>
  <c r="M9" i="104"/>
  <c r="S135" i="64"/>
  <c r="S141" i="64"/>
  <c r="S148" i="64"/>
  <c r="S113" i="64"/>
  <c r="S119" i="64"/>
  <c r="S96" i="64"/>
  <c r="S102" i="64"/>
  <c r="S109" i="64"/>
  <c r="S86" i="64"/>
  <c r="S92" i="64"/>
  <c r="S72" i="64"/>
  <c r="S50" i="64"/>
  <c r="S56" i="64"/>
  <c r="S62" i="64"/>
  <c r="S48" i="64"/>
  <c r="S152" i="64"/>
  <c r="S100" i="64"/>
  <c r="S77" i="64"/>
  <c r="S147" i="64"/>
  <c r="S101" i="64"/>
  <c r="S91" i="64"/>
  <c r="S67" i="64"/>
  <c r="S136" i="64"/>
  <c r="S142" i="64"/>
  <c r="S149" i="64"/>
  <c r="S114" i="64"/>
  <c r="S120" i="64"/>
  <c r="S97" i="64"/>
  <c r="S103" i="64"/>
  <c r="S110" i="64"/>
  <c r="S87" i="64"/>
  <c r="S82" i="64"/>
  <c r="S73" i="64"/>
  <c r="S51" i="64"/>
  <c r="S57" i="64"/>
  <c r="S63" i="64"/>
  <c r="S146" i="64"/>
  <c r="S90" i="64"/>
  <c r="S60" i="64"/>
  <c r="S134" i="64"/>
  <c r="S108" i="64"/>
  <c r="S49" i="64"/>
  <c r="S137" i="64"/>
  <c r="S143" i="64"/>
  <c r="S150" i="64"/>
  <c r="S115" i="64"/>
  <c r="S121" i="64"/>
  <c r="S98" i="64"/>
  <c r="S104" i="64"/>
  <c r="S94" i="64"/>
  <c r="S88" i="64"/>
  <c r="S78" i="64"/>
  <c r="S74" i="64"/>
  <c r="S52" i="64"/>
  <c r="S58" i="64"/>
  <c r="S64" i="64"/>
  <c r="S139" i="64"/>
  <c r="S84" i="64"/>
  <c r="S54" i="64"/>
  <c r="S140" i="64"/>
  <c r="S95" i="64"/>
  <c r="S71" i="64"/>
  <c r="S61" i="64"/>
  <c r="S138" i="64"/>
  <c r="S145" i="64"/>
  <c r="S151" i="64"/>
  <c r="S116" i="64"/>
  <c r="S122" i="64"/>
  <c r="S99" i="64"/>
  <c r="S106" i="64"/>
  <c r="S83" i="64"/>
  <c r="S89" i="64"/>
  <c r="S79" i="64"/>
  <c r="S75" i="64"/>
  <c r="S53" i="64"/>
  <c r="S59" i="64"/>
  <c r="S65" i="64"/>
  <c r="S117" i="64"/>
  <c r="S112" i="64"/>
  <c r="S107" i="64"/>
  <c r="S70" i="64"/>
  <c r="S66" i="64"/>
  <c r="S118" i="64"/>
  <c r="S85" i="64"/>
  <c r="S55" i="64"/>
  <c r="E25" i="19"/>
  <c r="E17" i="19"/>
  <c r="F17" i="19" s="1"/>
  <c r="B64" i="17" s="1"/>
  <c r="L73" i="71" s="1"/>
  <c r="U82" i="105"/>
  <c r="V82" i="105" s="1"/>
  <c r="E13" i="19"/>
  <c r="F13" i="19" s="1"/>
  <c r="B60" i="17" s="1"/>
  <c r="L69" i="71" s="1"/>
  <c r="U78" i="105"/>
  <c r="V78" i="105" s="1"/>
  <c r="U79" i="105"/>
  <c r="V79" i="105" s="1"/>
  <c r="U80" i="105"/>
  <c r="V80" i="105" s="1"/>
  <c r="E21" i="19"/>
  <c r="E12" i="19"/>
  <c r="F12" i="19" s="1"/>
  <c r="B59" i="17" s="1"/>
  <c r="L68" i="71" s="1"/>
  <c r="U77" i="105"/>
  <c r="V77" i="105" s="1"/>
  <c r="E14" i="19"/>
  <c r="F14" i="19" s="1"/>
  <c r="B61" i="17" s="1"/>
  <c r="L70" i="71" s="1"/>
  <c r="E15" i="19"/>
  <c r="F15" i="19" s="1"/>
  <c r="B62" i="17" s="1"/>
  <c r="L71" i="71" s="1"/>
  <c r="E24" i="19"/>
  <c r="D24" i="18"/>
  <c r="E23" i="19"/>
  <c r="E16" i="19"/>
  <c r="F16" i="19" s="1"/>
  <c r="B63" i="17" s="1"/>
  <c r="L72" i="71" s="1"/>
  <c r="E22" i="19"/>
  <c r="U81" i="105"/>
  <c r="V81" i="105" s="1"/>
  <c r="U71" i="105"/>
  <c r="V71" i="105"/>
  <c r="T71" i="105"/>
  <c r="W71" i="105"/>
  <c r="X71" i="105"/>
  <c r="C313" i="64"/>
  <c r="F21" i="21"/>
  <c r="B65" i="20" s="1"/>
  <c r="H73" i="71" s="1"/>
  <c r="S55" i="106"/>
  <c r="S49" i="106"/>
  <c r="U49" i="106" s="1"/>
  <c r="S39" i="106"/>
  <c r="U39" i="106" s="1"/>
  <c r="S27" i="106"/>
  <c r="U27" i="106" s="1"/>
  <c r="S33" i="106"/>
  <c r="U33" i="106" s="1"/>
  <c r="S18" i="106"/>
  <c r="U18" i="106" s="1"/>
  <c r="S45" i="106"/>
  <c r="U45" i="106" s="1"/>
  <c r="S37" i="106"/>
  <c r="U37" i="106" s="1"/>
  <c r="S23" i="106"/>
  <c r="U23" i="106" s="1"/>
  <c r="S13" i="106"/>
  <c r="U13" i="106" s="1"/>
  <c r="U14" i="106" s="1"/>
  <c r="D14" i="18" s="1"/>
  <c r="S47" i="106"/>
  <c r="U47" i="106" s="1"/>
  <c r="S25" i="106"/>
  <c r="U25" i="106" s="1"/>
  <c r="F20" i="21"/>
  <c r="B64" i="20" s="1"/>
  <c r="H72" i="71" s="1"/>
  <c r="S38" i="106"/>
  <c r="U38" i="106" s="1"/>
  <c r="S17" i="106"/>
  <c r="U17" i="106" s="1"/>
  <c r="F16" i="21"/>
  <c r="B60" i="20" s="1"/>
  <c r="H68" i="71" s="1"/>
  <c r="S44" i="106"/>
  <c r="U44" i="106" s="1"/>
  <c r="S50" i="106"/>
  <c r="U50" i="106" s="1"/>
  <c r="S40" i="106"/>
  <c r="U40" i="106" s="1"/>
  <c r="S28" i="106"/>
  <c r="U28" i="106" s="1"/>
  <c r="S34" i="106"/>
  <c r="U34" i="106" s="1"/>
  <c r="S16" i="106"/>
  <c r="U16" i="106" s="1"/>
  <c r="F17" i="21"/>
  <c r="B61" i="20" s="1"/>
  <c r="H69" i="71" s="1"/>
  <c r="S51" i="106"/>
  <c r="U51" i="106" s="1"/>
  <c r="S29" i="106"/>
  <c r="U29" i="106" s="1"/>
  <c r="S21" i="106"/>
  <c r="U21" i="106" s="1"/>
  <c r="S48" i="106"/>
  <c r="U48" i="106" s="1"/>
  <c r="S32" i="106"/>
  <c r="U32" i="106" s="1"/>
  <c r="F18" i="21"/>
  <c r="B62" i="20" s="1"/>
  <c r="H70" i="71" s="1"/>
  <c r="S46" i="106"/>
  <c r="U46" i="106" s="1"/>
  <c r="S52" i="106"/>
  <c r="U52" i="106" s="1"/>
  <c r="S24" i="106"/>
  <c r="U24" i="106" s="1"/>
  <c r="S30" i="106"/>
  <c r="U30" i="106" s="1"/>
  <c r="S22" i="106"/>
  <c r="U22" i="106" s="1"/>
  <c r="S12" i="106"/>
  <c r="U12" i="106" s="1"/>
  <c r="F19" i="21"/>
  <c r="B63" i="20" s="1"/>
  <c r="H71" i="71" s="1"/>
  <c r="S43" i="106"/>
  <c r="U43" i="106" s="1"/>
  <c r="S31" i="106"/>
  <c r="U31" i="106" s="1"/>
  <c r="S26" i="106"/>
  <c r="U26" i="106" s="1"/>
  <c r="K14" i="104"/>
  <c r="N14" i="104" s="1"/>
  <c r="L62" i="105"/>
  <c r="M90" i="7"/>
  <c r="M91" i="7"/>
  <c r="M92" i="7"/>
  <c r="M93" i="7"/>
  <c r="C90" i="7"/>
  <c r="D90" i="7"/>
  <c r="E90" i="7"/>
  <c r="F90" i="7"/>
  <c r="G90" i="7"/>
  <c r="H90" i="7"/>
  <c r="I90" i="7"/>
  <c r="J90" i="7"/>
  <c r="K90" i="7"/>
  <c r="L90" i="7"/>
  <c r="C91" i="7"/>
  <c r="D91" i="7"/>
  <c r="E91" i="7"/>
  <c r="F91" i="7"/>
  <c r="G91" i="7"/>
  <c r="H91" i="7"/>
  <c r="I91" i="7"/>
  <c r="J91" i="7"/>
  <c r="K91" i="7"/>
  <c r="L91" i="7"/>
  <c r="C92" i="7"/>
  <c r="D92" i="7"/>
  <c r="E92" i="7"/>
  <c r="F92" i="7"/>
  <c r="G92" i="7"/>
  <c r="H92" i="7"/>
  <c r="I92" i="7"/>
  <c r="J92" i="7"/>
  <c r="K92" i="7"/>
  <c r="L92" i="7"/>
  <c r="C93" i="7"/>
  <c r="D93" i="7"/>
  <c r="E93" i="7"/>
  <c r="F93" i="7"/>
  <c r="G93" i="7"/>
  <c r="H93" i="7"/>
  <c r="I93" i="7"/>
  <c r="J93" i="7"/>
  <c r="K93" i="7"/>
  <c r="L93" i="7"/>
  <c r="B91" i="7"/>
  <c r="N91" i="7" s="1"/>
  <c r="Q91" i="7" s="1"/>
  <c r="C78" i="71" s="1"/>
  <c r="B92" i="7"/>
  <c r="N92" i="7" s="1"/>
  <c r="Q92" i="7" s="1"/>
  <c r="C79" i="71" s="1"/>
  <c r="D79" i="71" s="1"/>
  <c r="F79" i="71" s="1"/>
  <c r="K79" i="71" s="1"/>
  <c r="B93" i="7"/>
  <c r="N93" i="7" s="1"/>
  <c r="Q93" i="7" s="1"/>
  <c r="C80" i="71" s="1"/>
  <c r="D80" i="71" s="1"/>
  <c r="F80" i="71" s="1"/>
  <c r="K80" i="71" s="1"/>
  <c r="N80" i="71" s="1"/>
  <c r="B90" i="7"/>
  <c r="N90" i="7" s="1"/>
  <c r="X58" i="105"/>
  <c r="W60" i="105"/>
  <c r="W55" i="105"/>
  <c r="W58" i="105"/>
  <c r="W44" i="105"/>
  <c r="W13" i="105"/>
  <c r="W61" i="105"/>
  <c r="W59" i="105"/>
  <c r="W51" i="105"/>
  <c r="W43" i="105"/>
  <c r="W46" i="105"/>
  <c r="W45" i="105"/>
  <c r="O38" i="105"/>
  <c r="N38" i="105"/>
  <c r="W38" i="105"/>
  <c r="W37" i="105"/>
  <c r="W34" i="105"/>
  <c r="X39" i="105"/>
  <c r="W22" i="105"/>
  <c r="W23" i="105"/>
  <c r="W24" i="105"/>
  <c r="W25" i="105"/>
  <c r="W26" i="105"/>
  <c r="W27" i="105"/>
  <c r="W28" i="105"/>
  <c r="W30" i="105"/>
  <c r="W31" i="105"/>
  <c r="W33" i="105"/>
  <c r="W21" i="105"/>
  <c r="W16" i="105"/>
  <c r="W18" i="105"/>
  <c r="W17" i="105"/>
  <c r="Q53" i="106"/>
  <c r="Q41" i="106"/>
  <c r="Q35" i="106"/>
  <c r="Q19" i="106"/>
  <c r="F53" i="106"/>
  <c r="G53" i="106"/>
  <c r="H53" i="106"/>
  <c r="I53" i="106"/>
  <c r="J53" i="106"/>
  <c r="K53" i="106"/>
  <c r="E53" i="106"/>
  <c r="F41" i="106"/>
  <c r="G41" i="106"/>
  <c r="H41" i="106"/>
  <c r="I41" i="106"/>
  <c r="J41" i="106"/>
  <c r="K41" i="106"/>
  <c r="E41" i="106"/>
  <c r="F35" i="106"/>
  <c r="G35" i="106"/>
  <c r="H35" i="106"/>
  <c r="I35" i="106"/>
  <c r="J35" i="106"/>
  <c r="K35" i="106"/>
  <c r="E35" i="106"/>
  <c r="F19" i="106"/>
  <c r="G19" i="106"/>
  <c r="H19" i="106"/>
  <c r="I19" i="106"/>
  <c r="J19" i="106"/>
  <c r="K19" i="106"/>
  <c r="E19" i="106"/>
  <c r="F14" i="106"/>
  <c r="G14" i="106"/>
  <c r="H14" i="106"/>
  <c r="I14" i="106"/>
  <c r="J14" i="106"/>
  <c r="K14" i="106"/>
  <c r="E14" i="106"/>
  <c r="C56" i="106"/>
  <c r="C53" i="106"/>
  <c r="C41" i="106"/>
  <c r="C35" i="106"/>
  <c r="C19" i="106"/>
  <c r="C14" i="106"/>
  <c r="G62" i="105"/>
  <c r="U53" i="106" l="1"/>
  <c r="D18" i="18" s="1"/>
  <c r="U19" i="106"/>
  <c r="D15" i="18" s="1"/>
  <c r="T349" i="64"/>
  <c r="V349" i="64"/>
  <c r="X349" i="64" s="1"/>
  <c r="T348" i="64"/>
  <c r="V348" i="64"/>
  <c r="X348" i="64" s="1"/>
  <c r="D62" i="16"/>
  <c r="V347" i="64"/>
  <c r="X347" i="64" s="1"/>
  <c r="T347" i="64"/>
  <c r="O64" i="106"/>
  <c r="U55" i="106"/>
  <c r="U56" i="106" s="1"/>
  <c r="V350" i="64"/>
  <c r="X350" i="64" s="1"/>
  <c r="T350" i="64"/>
  <c r="D59" i="16"/>
  <c r="U35" i="106"/>
  <c r="D16" i="18" s="1"/>
  <c r="D60" i="16" s="1"/>
  <c r="U41" i="106"/>
  <c r="D17" i="18" s="1"/>
  <c r="U67" i="105"/>
  <c r="D78" i="71"/>
  <c r="F78" i="71" s="1"/>
  <c r="K78" i="71" s="1"/>
  <c r="T67" i="105"/>
  <c r="W64" i="105"/>
  <c r="C58" i="106"/>
  <c r="Z79" i="77"/>
  <c r="Y350" i="64" l="1"/>
  <c r="Z350" i="64" s="1"/>
  <c r="AF350" i="64" s="1"/>
  <c r="Y348" i="64"/>
  <c r="Z348" i="64" s="1"/>
  <c r="AF348" i="64" s="1"/>
  <c r="Y347" i="64"/>
  <c r="Z347" i="64" s="1"/>
  <c r="D61" i="16"/>
  <c r="Y349" i="64"/>
  <c r="Z349" i="64" s="1"/>
  <c r="D19" i="18"/>
  <c r="D20" i="18" s="1"/>
  <c r="U58" i="106"/>
  <c r="O65" i="106" s="1"/>
  <c r="O66" i="106" s="1"/>
  <c r="Q56" i="106"/>
  <c r="Q14" i="106"/>
  <c r="N61" i="105"/>
  <c r="O61" i="105"/>
  <c r="N58" i="105"/>
  <c r="N55" i="105"/>
  <c r="AF349" i="64" l="1"/>
  <c r="D63" i="16"/>
  <c r="AF347" i="64"/>
  <c r="D58" i="16"/>
  <c r="L18" i="105"/>
  <c r="O18" i="105" s="1"/>
  <c r="O59" i="105"/>
  <c r="N59" i="105"/>
  <c r="Q55" i="105"/>
  <c r="P55" i="105"/>
  <c r="O55" i="105"/>
  <c r="O60" i="105"/>
  <c r="N60" i="105"/>
  <c r="O58" i="105"/>
  <c r="O44" i="105"/>
  <c r="N44" i="105"/>
  <c r="N12" i="105"/>
  <c r="O12" i="105"/>
  <c r="P38" i="105"/>
  <c r="Q38" i="105"/>
  <c r="Q37" i="105"/>
  <c r="Q27" i="105"/>
  <c r="Q28" i="105"/>
  <c r="Q30" i="105"/>
  <c r="Q31" i="105"/>
  <c r="Q33" i="105"/>
  <c r="Q34" i="105"/>
  <c r="Q26" i="105"/>
  <c r="Q22" i="105"/>
  <c r="Q23" i="105"/>
  <c r="Q24" i="105"/>
  <c r="Q25" i="105"/>
  <c r="Q21" i="105"/>
  <c r="Q17" i="105"/>
  <c r="Q16" i="105"/>
  <c r="Q13" i="105"/>
  <c r="P37" i="105"/>
  <c r="P27" i="105"/>
  <c r="P28" i="105"/>
  <c r="P30" i="105"/>
  <c r="P31" i="105"/>
  <c r="P33" i="105"/>
  <c r="P34" i="105"/>
  <c r="P26" i="105"/>
  <c r="P22" i="105"/>
  <c r="P23" i="105"/>
  <c r="P24" i="105"/>
  <c r="P25" i="105"/>
  <c r="P21" i="105"/>
  <c r="P17" i="105"/>
  <c r="P16" i="105"/>
  <c r="P13" i="105"/>
  <c r="O37" i="105"/>
  <c r="O27" i="105"/>
  <c r="O28" i="105"/>
  <c r="O30" i="105"/>
  <c r="O31" i="105"/>
  <c r="O33" i="105"/>
  <c r="O34" i="105"/>
  <c r="O26" i="105"/>
  <c r="O22" i="105"/>
  <c r="O23" i="105"/>
  <c r="O24" i="105"/>
  <c r="O25" i="105"/>
  <c r="O21" i="105"/>
  <c r="O17" i="105"/>
  <c r="O16" i="105"/>
  <c r="O13" i="105"/>
  <c r="N37" i="105"/>
  <c r="N34" i="105"/>
  <c r="N33" i="105"/>
  <c r="N31" i="105"/>
  <c r="N30" i="105"/>
  <c r="N28" i="105"/>
  <c r="N27" i="105"/>
  <c r="N26" i="105"/>
  <c r="N25" i="105"/>
  <c r="N24" i="105"/>
  <c r="N23" i="105"/>
  <c r="N22" i="105"/>
  <c r="N21" i="105"/>
  <c r="N17" i="105"/>
  <c r="N16" i="105"/>
  <c r="N13" i="105"/>
  <c r="R33" i="105" l="1"/>
  <c r="R13" i="105"/>
  <c r="N18" i="105"/>
  <c r="U13" i="105" l="1"/>
  <c r="X13" i="105"/>
  <c r="V13" i="105"/>
  <c r="T13" i="105"/>
  <c r="N54" i="77"/>
  <c r="N55" i="77" l="1"/>
  <c r="N59" i="77"/>
  <c r="Y13" i="105"/>
  <c r="C45" i="19"/>
  <c r="D45" i="19" s="1"/>
  <c r="C40" i="77" l="1"/>
  <c r="Z19" i="77" l="1"/>
  <c r="AA19" i="77"/>
  <c r="AB19" i="77"/>
  <c r="AC19" i="77"/>
  <c r="AD19" i="77" l="1"/>
  <c r="D23" i="18" l="1"/>
  <c r="A1" i="18"/>
  <c r="A5" i="104"/>
  <c r="A5" i="105"/>
  <c r="A5" i="106"/>
  <c r="Q41" i="7"/>
  <c r="C40" i="71" s="1"/>
  <c r="N42" i="7"/>
  <c r="Q42" i="7" s="1"/>
  <c r="C41" i="71" s="1"/>
  <c r="N36" i="7"/>
  <c r="N37" i="7"/>
  <c r="N38" i="7"/>
  <c r="N39" i="7"/>
  <c r="N40" i="7"/>
  <c r="Q40" i="7" s="1"/>
  <c r="C39" i="71" s="1"/>
  <c r="N41" i="7"/>
  <c r="N22" i="7"/>
  <c r="Q22" i="7" s="1"/>
  <c r="C22" i="71" s="1"/>
  <c r="N23" i="7"/>
  <c r="Q23" i="7" s="1"/>
  <c r="C23" i="71" s="1"/>
  <c r="N24" i="7"/>
  <c r="N25" i="7"/>
  <c r="D25" i="18" l="1"/>
  <c r="F94" i="16" s="1"/>
  <c r="I111" i="71" s="1"/>
  <c r="F23" i="71"/>
  <c r="D39" i="71"/>
  <c r="F39" i="71" s="1"/>
  <c r="K39" i="71" s="1"/>
  <c r="N39" i="71" s="1"/>
  <c r="D22" i="71"/>
  <c r="F22" i="71" s="1"/>
  <c r="K22" i="71" s="1"/>
  <c r="N22" i="71" s="1"/>
  <c r="D40" i="71"/>
  <c r="F40" i="71" s="1"/>
  <c r="K40" i="71" s="1"/>
  <c r="N40" i="71" s="1"/>
  <c r="D41" i="71"/>
  <c r="F41" i="71" s="1"/>
  <c r="K41" i="71" s="1"/>
  <c r="N41" i="71" s="1"/>
  <c r="L45" i="64"/>
  <c r="L32" i="64"/>
  <c r="K23" i="71" l="1"/>
  <c r="N23" i="71" s="1"/>
  <c r="C49" i="19"/>
  <c r="N249" i="64"/>
  <c r="O249" i="64" s="1"/>
  <c r="I249" i="64"/>
  <c r="AC249" i="64" s="1"/>
  <c r="AA249" i="64"/>
  <c r="N248" i="64"/>
  <c r="O248" i="64" s="1"/>
  <c r="I248" i="64"/>
  <c r="AC248" i="64" s="1"/>
  <c r="AA248" i="64"/>
  <c r="L251" i="64"/>
  <c r="L247" i="64"/>
  <c r="N247" i="64" s="1"/>
  <c r="O247" i="64" s="1"/>
  <c r="I247" i="64"/>
  <c r="AC247" i="64" s="1"/>
  <c r="AA247" i="64"/>
  <c r="L302" i="64"/>
  <c r="N302" i="64" s="1"/>
  <c r="O302" i="64" s="1"/>
  <c r="I302" i="64"/>
  <c r="AC302" i="64" s="1"/>
  <c r="AA302" i="64"/>
  <c r="Z302" i="64" s="1"/>
  <c r="N128" i="64"/>
  <c r="O128" i="64" s="1"/>
  <c r="N129" i="64"/>
  <c r="O129" i="64" s="1"/>
  <c r="I129" i="64"/>
  <c r="AC129" i="64" s="1"/>
  <c r="AA129" i="64"/>
  <c r="I128" i="64"/>
  <c r="AC128" i="64" s="1"/>
  <c r="AA128" i="64"/>
  <c r="L127" i="64"/>
  <c r="N127" i="64" s="1"/>
  <c r="O127" i="64" s="1"/>
  <c r="I127" i="64"/>
  <c r="AC127" i="64" s="1"/>
  <c r="AA127" i="64"/>
  <c r="L12" i="106"/>
  <c r="O12" i="106"/>
  <c r="W12" i="106" s="1"/>
  <c r="L13" i="106"/>
  <c r="N13" i="106" s="1"/>
  <c r="L13" i="105" s="1"/>
  <c r="O13" i="106"/>
  <c r="W13" i="106" s="1"/>
  <c r="L16" i="106"/>
  <c r="O16" i="106"/>
  <c r="W16" i="106" s="1"/>
  <c r="L17" i="106"/>
  <c r="N17" i="106" s="1"/>
  <c r="O17" i="106"/>
  <c r="L18" i="106"/>
  <c r="N18" i="106" s="1"/>
  <c r="O18" i="106"/>
  <c r="W18" i="106" s="1"/>
  <c r="L21" i="106"/>
  <c r="O21" i="106"/>
  <c r="L22" i="106"/>
  <c r="N22" i="106" s="1"/>
  <c r="L22" i="105" s="1"/>
  <c r="O22" i="106"/>
  <c r="W22" i="106" s="1"/>
  <c r="L23" i="106"/>
  <c r="N23" i="106" s="1"/>
  <c r="L23" i="105" s="1"/>
  <c r="O23" i="106"/>
  <c r="W23" i="106" s="1"/>
  <c r="L24" i="106"/>
  <c r="N24" i="106" s="1"/>
  <c r="O24" i="106"/>
  <c r="W24" i="106" s="1"/>
  <c r="L25" i="106"/>
  <c r="N25" i="106" s="1"/>
  <c r="L25" i="105" s="1"/>
  <c r="O25" i="106"/>
  <c r="W25" i="106" s="1"/>
  <c r="L39" i="106"/>
  <c r="N39" i="106" s="1"/>
  <c r="O39" i="106"/>
  <c r="W39" i="106" s="1"/>
  <c r="L26" i="106"/>
  <c r="N26" i="106" s="1"/>
  <c r="L26" i="105" s="1"/>
  <c r="O26" i="106"/>
  <c r="W26" i="106" s="1"/>
  <c r="L27" i="106"/>
  <c r="N27" i="106" s="1"/>
  <c r="L27" i="105" s="1"/>
  <c r="O27" i="106"/>
  <c r="W27" i="106" s="1"/>
  <c r="L28" i="106"/>
  <c r="N28" i="106" s="1"/>
  <c r="L28" i="105" s="1"/>
  <c r="O28" i="106"/>
  <c r="W28" i="106" s="1"/>
  <c r="L30" i="106"/>
  <c r="N30" i="106" s="1"/>
  <c r="L30" i="105" s="1"/>
  <c r="O30" i="106"/>
  <c r="L31" i="106"/>
  <c r="N31" i="106" s="1"/>
  <c r="L31" i="105" s="1"/>
  <c r="O31" i="106"/>
  <c r="W31" i="106" s="1"/>
  <c r="L34" i="106"/>
  <c r="N34" i="106" s="1"/>
  <c r="L34" i="105" s="1"/>
  <c r="O34" i="106"/>
  <c r="W34" i="106" s="1"/>
  <c r="L40" i="106"/>
  <c r="N40" i="106" s="1"/>
  <c r="O40" i="106"/>
  <c r="L37" i="106"/>
  <c r="O37" i="106"/>
  <c r="L38" i="106"/>
  <c r="N38" i="106" s="1"/>
  <c r="L38" i="105" s="1"/>
  <c r="O38" i="106"/>
  <c r="L43" i="106"/>
  <c r="O43" i="106"/>
  <c r="L44" i="106"/>
  <c r="N44" i="106" s="1"/>
  <c r="O44" i="106"/>
  <c r="L45" i="106"/>
  <c r="N45" i="106" s="1"/>
  <c r="O45" i="106"/>
  <c r="W45" i="106" s="1"/>
  <c r="L46" i="106"/>
  <c r="N46" i="106" s="1"/>
  <c r="L46" i="105" s="1"/>
  <c r="N46" i="105" s="1"/>
  <c r="O46" i="106"/>
  <c r="W46" i="106" s="1"/>
  <c r="L47" i="106"/>
  <c r="N47" i="106" s="1"/>
  <c r="O47" i="106"/>
  <c r="W47" i="106" s="1"/>
  <c r="L29" i="106"/>
  <c r="N29" i="106" s="1"/>
  <c r="O29" i="106"/>
  <c r="W29" i="106" s="1"/>
  <c r="L48" i="106"/>
  <c r="N48" i="106" s="1"/>
  <c r="O48" i="106"/>
  <c r="W48" i="106" s="1"/>
  <c r="L49" i="106"/>
  <c r="N49" i="106" s="1"/>
  <c r="O49" i="106"/>
  <c r="W49" i="106" s="1"/>
  <c r="L32" i="106"/>
  <c r="N32" i="106" s="1"/>
  <c r="O32" i="106"/>
  <c r="W32" i="106" s="1"/>
  <c r="L50" i="106"/>
  <c r="N50" i="106" s="1"/>
  <c r="O50" i="106"/>
  <c r="W50" i="106" s="1"/>
  <c r="L33" i="106"/>
  <c r="N33" i="106" s="1"/>
  <c r="L33" i="105" s="1"/>
  <c r="O33" i="106"/>
  <c r="W33" i="106" s="1"/>
  <c r="L51" i="106"/>
  <c r="N51" i="106" s="1"/>
  <c r="L51" i="105" s="1"/>
  <c r="O51" i="106"/>
  <c r="W51" i="106" s="1"/>
  <c r="L52" i="106"/>
  <c r="N52" i="106" s="1"/>
  <c r="O52" i="106"/>
  <c r="W52" i="106" s="1"/>
  <c r="L55" i="106"/>
  <c r="L56" i="106" s="1"/>
  <c r="O55" i="106"/>
  <c r="W55" i="106" s="1"/>
  <c r="W56" i="106" s="1"/>
  <c r="E56" i="106"/>
  <c r="E58" i="106" s="1"/>
  <c r="F56" i="106"/>
  <c r="F58" i="106" s="1"/>
  <c r="G56" i="106"/>
  <c r="G58" i="106" s="1"/>
  <c r="H56" i="106"/>
  <c r="H58" i="106" s="1"/>
  <c r="I56" i="106"/>
  <c r="I58" i="106" s="1"/>
  <c r="J56" i="106"/>
  <c r="J58" i="106" s="1"/>
  <c r="K56" i="106"/>
  <c r="K58" i="106" s="1"/>
  <c r="T8" i="105"/>
  <c r="G12" i="105"/>
  <c r="R12" i="105"/>
  <c r="R16" i="105"/>
  <c r="R17" i="105"/>
  <c r="X17" i="105" s="1"/>
  <c r="R18" i="105"/>
  <c r="G21" i="105"/>
  <c r="R21" i="105"/>
  <c r="X21" i="105" s="1"/>
  <c r="R22" i="105"/>
  <c r="R23" i="105"/>
  <c r="X23" i="105"/>
  <c r="R24" i="105"/>
  <c r="X24" i="105"/>
  <c r="R25" i="105"/>
  <c r="X25" i="105" s="1"/>
  <c r="R39" i="105"/>
  <c r="V39" i="105" s="1"/>
  <c r="R26" i="105"/>
  <c r="R27" i="105"/>
  <c r="R28" i="105"/>
  <c r="R30" i="105"/>
  <c r="X30" i="105"/>
  <c r="R31" i="105"/>
  <c r="R34" i="105"/>
  <c r="R40" i="105"/>
  <c r="X40" i="105" s="1"/>
  <c r="G37" i="105"/>
  <c r="R37" i="105"/>
  <c r="X37" i="105" s="1"/>
  <c r="R38" i="105"/>
  <c r="R44" i="105"/>
  <c r="X44" i="105"/>
  <c r="R45" i="105"/>
  <c r="X45" i="105"/>
  <c r="X46" i="105"/>
  <c r="R47" i="105"/>
  <c r="R29" i="105"/>
  <c r="X29" i="105" s="1"/>
  <c r="R48" i="105"/>
  <c r="X48" i="105"/>
  <c r="L49" i="105"/>
  <c r="R49" i="105"/>
  <c r="X49" i="105"/>
  <c r="R32" i="105"/>
  <c r="X32" i="105"/>
  <c r="R50" i="105"/>
  <c r="X50" i="105"/>
  <c r="X51" i="105"/>
  <c r="R52" i="105"/>
  <c r="X52" i="105"/>
  <c r="R55" i="105"/>
  <c r="R58" i="105"/>
  <c r="R59" i="105"/>
  <c r="X59" i="105"/>
  <c r="R60" i="105"/>
  <c r="X60" i="105"/>
  <c r="R61" i="105"/>
  <c r="X61" i="105"/>
  <c r="D10" i="104"/>
  <c r="E10" i="104"/>
  <c r="K10" i="104"/>
  <c r="D14" i="104"/>
  <c r="E14" i="104"/>
  <c r="D15" i="104"/>
  <c r="G15" i="104" s="1"/>
  <c r="E15" i="104"/>
  <c r="K15" i="104"/>
  <c r="D16" i="104"/>
  <c r="E16" i="104"/>
  <c r="K16" i="104"/>
  <c r="D20" i="104"/>
  <c r="G20" i="104" s="1"/>
  <c r="E20" i="104"/>
  <c r="K20" i="104"/>
  <c r="D21" i="104"/>
  <c r="E21" i="104"/>
  <c r="K21" i="104"/>
  <c r="E22" i="104"/>
  <c r="G22" i="104" s="1"/>
  <c r="K22" i="104"/>
  <c r="D24" i="104"/>
  <c r="E24" i="104"/>
  <c r="K24" i="104"/>
  <c r="D25" i="104"/>
  <c r="E25" i="104"/>
  <c r="K25" i="104"/>
  <c r="D26" i="104"/>
  <c r="E26" i="104"/>
  <c r="K26" i="104"/>
  <c r="D28" i="104"/>
  <c r="G28" i="104" s="1"/>
  <c r="E28" i="104"/>
  <c r="K28" i="104"/>
  <c r="E30" i="104"/>
  <c r="G30" i="104" s="1"/>
  <c r="K30" i="104"/>
  <c r="D33" i="104"/>
  <c r="E33" i="104"/>
  <c r="K33" i="104"/>
  <c r="N33" i="104" s="1"/>
  <c r="D34" i="104"/>
  <c r="E34" i="104"/>
  <c r="K34" i="104"/>
  <c r="D38" i="104"/>
  <c r="E38" i="104"/>
  <c r="K38" i="104"/>
  <c r="N38" i="104" s="1"/>
  <c r="D41" i="104"/>
  <c r="E41" i="104"/>
  <c r="K41" i="104"/>
  <c r="O41" i="104" s="1"/>
  <c r="D42" i="104"/>
  <c r="E42" i="104"/>
  <c r="K42" i="104"/>
  <c r="D35" i="104"/>
  <c r="E35" i="104"/>
  <c r="K35" i="104"/>
  <c r="D23" i="104"/>
  <c r="E23" i="104"/>
  <c r="K23" i="104"/>
  <c r="D36" i="104"/>
  <c r="E36" i="104"/>
  <c r="K36" i="104"/>
  <c r="N36" i="104" s="1"/>
  <c r="D37" i="104"/>
  <c r="E37" i="104"/>
  <c r="N37" i="104"/>
  <c r="E27" i="104"/>
  <c r="G27" i="104" s="1"/>
  <c r="K27" i="104"/>
  <c r="D43" i="104"/>
  <c r="G43" i="104" s="1"/>
  <c r="K43" i="104"/>
  <c r="D29" i="104"/>
  <c r="E29" i="104"/>
  <c r="K29" i="104"/>
  <c r="D44" i="104"/>
  <c r="E44" i="104"/>
  <c r="K44" i="104"/>
  <c r="D11" i="104"/>
  <c r="E11" i="104"/>
  <c r="K11" i="104"/>
  <c r="D17" i="104"/>
  <c r="E17" i="104"/>
  <c r="K17" i="104"/>
  <c r="D47" i="104"/>
  <c r="E47" i="104"/>
  <c r="K47" i="104"/>
  <c r="H50" i="104"/>
  <c r="I50" i="104"/>
  <c r="J50" i="104"/>
  <c r="G29" i="104" l="1"/>
  <c r="G25" i="104"/>
  <c r="G47" i="104"/>
  <c r="G37" i="104"/>
  <c r="G57" i="104" s="1"/>
  <c r="G23" i="104"/>
  <c r="G42" i="104"/>
  <c r="G38" i="104"/>
  <c r="G33" i="104"/>
  <c r="G56" i="104" s="1"/>
  <c r="G14" i="104"/>
  <c r="G55" i="104" s="1"/>
  <c r="G21" i="104"/>
  <c r="G16" i="104"/>
  <c r="G17" i="104"/>
  <c r="G44" i="104"/>
  <c r="G26" i="104"/>
  <c r="G24" i="104"/>
  <c r="G11" i="104"/>
  <c r="G36" i="104"/>
  <c r="G35" i="104"/>
  <c r="G41" i="104"/>
  <c r="G54" i="104" s="1"/>
  <c r="G34" i="104"/>
  <c r="G10" i="104"/>
  <c r="G50" i="105"/>
  <c r="W37" i="106"/>
  <c r="O41" i="106"/>
  <c r="G34" i="105"/>
  <c r="N37" i="106"/>
  <c r="N41" i="106" s="1"/>
  <c r="L41" i="106"/>
  <c r="N12" i="106"/>
  <c r="L14" i="106"/>
  <c r="W43" i="106"/>
  <c r="O53" i="106"/>
  <c r="W21" i="106"/>
  <c r="O35" i="106"/>
  <c r="N43" i="106"/>
  <c r="L53" i="106"/>
  <c r="N21" i="106"/>
  <c r="N35" i="106" s="1"/>
  <c r="L35" i="106"/>
  <c r="N16" i="106"/>
  <c r="L19" i="106"/>
  <c r="M35" i="104"/>
  <c r="P35" i="104" s="1"/>
  <c r="M34" i="104"/>
  <c r="P34" i="104" s="1"/>
  <c r="M30" i="104"/>
  <c r="P30" i="104" s="1"/>
  <c r="M26" i="104"/>
  <c r="P26" i="104" s="1"/>
  <c r="M10" i="104"/>
  <c r="P10" i="104" s="1"/>
  <c r="M21" i="104"/>
  <c r="P21" i="104" s="1"/>
  <c r="M28" i="104"/>
  <c r="P28" i="104" s="1"/>
  <c r="M20" i="104"/>
  <c r="P20" i="104" s="1"/>
  <c r="M15" i="104"/>
  <c r="P15" i="104" s="1"/>
  <c r="M16" i="104"/>
  <c r="P16" i="104" s="1"/>
  <c r="M23" i="104"/>
  <c r="P23" i="104" s="1"/>
  <c r="M42" i="104"/>
  <c r="P42" i="104" s="1"/>
  <c r="M25" i="104"/>
  <c r="P25" i="104" s="1"/>
  <c r="M22" i="104"/>
  <c r="P22" i="104" s="1"/>
  <c r="E50" i="104"/>
  <c r="D50" i="104"/>
  <c r="M27" i="104"/>
  <c r="P27" i="104" s="1"/>
  <c r="G44" i="105"/>
  <c r="S44" i="105" s="1"/>
  <c r="W44" i="106"/>
  <c r="G38" i="105"/>
  <c r="S38" i="105" s="1"/>
  <c r="W38" i="106"/>
  <c r="G40" i="105"/>
  <c r="S40" i="105" s="1"/>
  <c r="W40" i="106"/>
  <c r="G30" i="105"/>
  <c r="S30" i="105" s="1"/>
  <c r="W30" i="106"/>
  <c r="G17" i="105"/>
  <c r="S17" i="105" s="1"/>
  <c r="W17" i="106"/>
  <c r="W19" i="106" s="1"/>
  <c r="W14" i="106"/>
  <c r="G39" i="105"/>
  <c r="S39" i="105" s="1"/>
  <c r="G23" i="105"/>
  <c r="S23" i="105" s="1"/>
  <c r="G52" i="105"/>
  <c r="S52" i="105" s="1"/>
  <c r="G46" i="105"/>
  <c r="G55" i="105"/>
  <c r="G56" i="105" s="1"/>
  <c r="G43" i="105"/>
  <c r="U52" i="105"/>
  <c r="V52" i="105"/>
  <c r="T52" i="105"/>
  <c r="V50" i="105"/>
  <c r="T50" i="105"/>
  <c r="U50" i="105"/>
  <c r="T49" i="105"/>
  <c r="U49" i="105"/>
  <c r="V49" i="105"/>
  <c r="S50" i="105"/>
  <c r="U29" i="105"/>
  <c r="V29" i="105"/>
  <c r="T29" i="105"/>
  <c r="V45" i="105"/>
  <c r="T45" i="105"/>
  <c r="U45" i="105"/>
  <c r="T39" i="105"/>
  <c r="Y39" i="105" s="1"/>
  <c r="U39" i="105"/>
  <c r="X47" i="105"/>
  <c r="U47" i="105"/>
  <c r="V47" i="105"/>
  <c r="T47" i="105"/>
  <c r="Y47" i="105" s="1"/>
  <c r="V32" i="105"/>
  <c r="T32" i="105"/>
  <c r="U32" i="105"/>
  <c r="T48" i="105"/>
  <c r="U48" i="105"/>
  <c r="V48" i="105"/>
  <c r="U38" i="105"/>
  <c r="T38" i="105"/>
  <c r="V38" i="105"/>
  <c r="G49" i="105"/>
  <c r="S49" i="105" s="1"/>
  <c r="V28" i="105"/>
  <c r="U28" i="105"/>
  <c r="T28" i="105"/>
  <c r="U12" i="105"/>
  <c r="T12" i="105"/>
  <c r="S12" i="105"/>
  <c r="N51" i="105"/>
  <c r="O51" i="105"/>
  <c r="U31" i="105"/>
  <c r="T31" i="105"/>
  <c r="V31" i="105"/>
  <c r="U27" i="105"/>
  <c r="T27" i="105"/>
  <c r="V27" i="105"/>
  <c r="U25" i="105"/>
  <c r="T25" i="105"/>
  <c r="V25" i="105"/>
  <c r="V23" i="105"/>
  <c r="U23" i="105"/>
  <c r="T23" i="105"/>
  <c r="U33" i="105"/>
  <c r="T33" i="105"/>
  <c r="V33" i="105"/>
  <c r="U40" i="105"/>
  <c r="T40" i="105"/>
  <c r="Y40" i="105" s="1"/>
  <c r="V40" i="105"/>
  <c r="U26" i="105"/>
  <c r="T26" i="105"/>
  <c r="V26" i="105"/>
  <c r="U22" i="105"/>
  <c r="T22" i="105"/>
  <c r="V22" i="105"/>
  <c r="V17" i="105"/>
  <c r="U17" i="105"/>
  <c r="T17" i="105"/>
  <c r="U37" i="105"/>
  <c r="T37" i="105"/>
  <c r="V37" i="105"/>
  <c r="S37" i="105"/>
  <c r="V24" i="105"/>
  <c r="T24" i="105"/>
  <c r="U24" i="105"/>
  <c r="U21" i="105"/>
  <c r="T21" i="105"/>
  <c r="Y21" i="105" s="1"/>
  <c r="V21" i="105"/>
  <c r="S21" i="105"/>
  <c r="U34" i="105"/>
  <c r="T34" i="105"/>
  <c r="V34" i="105"/>
  <c r="S34" i="105"/>
  <c r="V30" i="105"/>
  <c r="U30" i="105"/>
  <c r="T30" i="105"/>
  <c r="Y30" i="105" s="1"/>
  <c r="U16" i="105"/>
  <c r="T16" i="105"/>
  <c r="V16" i="105"/>
  <c r="O56" i="106"/>
  <c r="O46" i="105"/>
  <c r="V61" i="105"/>
  <c r="S61" i="105"/>
  <c r="U61" i="105"/>
  <c r="T61" i="105"/>
  <c r="U18" i="105"/>
  <c r="T18" i="105"/>
  <c r="V18" i="105"/>
  <c r="T59" i="105"/>
  <c r="S59" i="105"/>
  <c r="U59" i="105"/>
  <c r="V59" i="105"/>
  <c r="U55" i="105"/>
  <c r="T55" i="105"/>
  <c r="V55" i="105"/>
  <c r="T60" i="105"/>
  <c r="S60" i="105"/>
  <c r="V60" i="105"/>
  <c r="U60" i="105"/>
  <c r="U58" i="105"/>
  <c r="T58" i="105"/>
  <c r="V58" i="105"/>
  <c r="S58" i="105"/>
  <c r="T44" i="105"/>
  <c r="U44" i="105"/>
  <c r="V44" i="105"/>
  <c r="X12" i="105"/>
  <c r="G28" i="105"/>
  <c r="S28" i="105" s="1"/>
  <c r="G16" i="105"/>
  <c r="G48" i="105"/>
  <c r="S48" i="105" s="1"/>
  <c r="G18" i="105"/>
  <c r="S18" i="105" s="1"/>
  <c r="X34" i="105"/>
  <c r="X33" i="105"/>
  <c r="N55" i="106"/>
  <c r="O14" i="106"/>
  <c r="X28" i="105"/>
  <c r="L17" i="105"/>
  <c r="L50" i="105"/>
  <c r="L52" i="105"/>
  <c r="L24" i="105"/>
  <c r="G51" i="105"/>
  <c r="G33" i="105"/>
  <c r="S33" i="105" s="1"/>
  <c r="G32" i="105"/>
  <c r="S32" i="105" s="1"/>
  <c r="G47" i="105"/>
  <c r="S47" i="105" s="1"/>
  <c r="G22" i="105"/>
  <c r="S22" i="105" s="1"/>
  <c r="G27" i="105"/>
  <c r="S27" i="105" s="1"/>
  <c r="G26" i="105"/>
  <c r="S26" i="105" s="1"/>
  <c r="G24" i="105"/>
  <c r="S24" i="105" s="1"/>
  <c r="G13" i="105"/>
  <c r="G14" i="105" s="1"/>
  <c r="O19" i="106"/>
  <c r="G45" i="105"/>
  <c r="S45" i="105" s="1"/>
  <c r="X38" i="105"/>
  <c r="G25" i="105"/>
  <c r="S25" i="105" s="1"/>
  <c r="G29" i="105"/>
  <c r="S29" i="105" s="1"/>
  <c r="G31" i="105"/>
  <c r="S31" i="105" s="1"/>
  <c r="X31" i="105"/>
  <c r="X18" i="105"/>
  <c r="X27" i="105"/>
  <c r="X26" i="105"/>
  <c r="M24" i="104"/>
  <c r="P24" i="104" s="1"/>
  <c r="K50" i="104"/>
  <c r="M47" i="104"/>
  <c r="P47" i="104" s="1"/>
  <c r="M17" i="104"/>
  <c r="P17" i="104" s="1"/>
  <c r="M11" i="104"/>
  <c r="P11" i="104" s="1"/>
  <c r="M44" i="104"/>
  <c r="P44" i="104" s="1"/>
  <c r="M29" i="104"/>
  <c r="P29" i="104" s="1"/>
  <c r="M43" i="104"/>
  <c r="P43" i="104" s="1"/>
  <c r="G50" i="104" l="1"/>
  <c r="G53" i="104" s="1"/>
  <c r="G58" i="104" s="1"/>
  <c r="G60" i="104" s="1"/>
  <c r="Y22" i="105"/>
  <c r="W35" i="106"/>
  <c r="Y29" i="105"/>
  <c r="Y17" i="105"/>
  <c r="L58" i="106"/>
  <c r="W53" i="106"/>
  <c r="Y55" i="105"/>
  <c r="L21" i="105"/>
  <c r="L35" i="105" s="1"/>
  <c r="Y25" i="105"/>
  <c r="N53" i="106"/>
  <c r="L43" i="105"/>
  <c r="Y34" i="105"/>
  <c r="L37" i="105"/>
  <c r="L41" i="105" s="1"/>
  <c r="Y16" i="105"/>
  <c r="L16" i="105"/>
  <c r="L19" i="105" s="1"/>
  <c r="N19" i="106"/>
  <c r="L12" i="105"/>
  <c r="L14" i="105" s="1"/>
  <c r="N14" i="106"/>
  <c r="W41" i="106"/>
  <c r="Y44" i="105"/>
  <c r="Y45" i="105"/>
  <c r="G53" i="105"/>
  <c r="Y18" i="105"/>
  <c r="Y49" i="105"/>
  <c r="Y61" i="105"/>
  <c r="Y26" i="105"/>
  <c r="Y33" i="105"/>
  <c r="Y12" i="105"/>
  <c r="Y48" i="105"/>
  <c r="Y50" i="105"/>
  <c r="G35" i="105"/>
  <c r="S16" i="105"/>
  <c r="G19" i="105"/>
  <c r="Y27" i="105"/>
  <c r="Y60" i="105"/>
  <c r="Y31" i="105"/>
  <c r="Y38" i="105"/>
  <c r="Y24" i="105"/>
  <c r="Y58" i="105"/>
  <c r="Y59" i="105"/>
  <c r="Y37" i="105"/>
  <c r="Y23" i="105"/>
  <c r="Y28" i="105"/>
  <c r="Y32" i="105"/>
  <c r="Y52" i="105"/>
  <c r="G41" i="105"/>
  <c r="S55" i="105"/>
  <c r="R46" i="105"/>
  <c r="S46" i="105" s="1"/>
  <c r="R51" i="105"/>
  <c r="N56" i="106"/>
  <c r="L55" i="105"/>
  <c r="L56" i="105" s="1"/>
  <c r="S13" i="105"/>
  <c r="P50" i="104"/>
  <c r="M50" i="104"/>
  <c r="G64" i="105" l="1"/>
  <c r="O43" i="105"/>
  <c r="L53" i="105"/>
  <c r="L64" i="105" s="1"/>
  <c r="N43" i="105"/>
  <c r="V46" i="105"/>
  <c r="T46" i="105"/>
  <c r="U46" i="105"/>
  <c r="T51" i="105"/>
  <c r="S51" i="105"/>
  <c r="U51" i="105"/>
  <c r="V51" i="105"/>
  <c r="R43" i="105" l="1"/>
  <c r="U43" i="105"/>
  <c r="U64" i="105" s="1"/>
  <c r="U69" i="105" s="1"/>
  <c r="V43" i="105"/>
  <c r="V64" i="105" s="1"/>
  <c r="T43" i="105"/>
  <c r="X43" i="105"/>
  <c r="X64" i="105" s="1"/>
  <c r="S43" i="105"/>
  <c r="Y51" i="105"/>
  <c r="Y46" i="105"/>
  <c r="N126" i="64"/>
  <c r="O126" i="64" s="1"/>
  <c r="I126" i="64"/>
  <c r="AC126" i="64" s="1"/>
  <c r="AA126" i="64"/>
  <c r="N125" i="64"/>
  <c r="O125" i="64" s="1"/>
  <c r="I125" i="64"/>
  <c r="AC125" i="64" s="1"/>
  <c r="AA125" i="64"/>
  <c r="N124" i="64"/>
  <c r="O124" i="64" s="1"/>
  <c r="I124" i="64"/>
  <c r="AC124" i="64" s="1"/>
  <c r="AA124" i="64"/>
  <c r="N123" i="64"/>
  <c r="O123" i="64" s="1"/>
  <c r="I123" i="64"/>
  <c r="AC123" i="64" s="1"/>
  <c r="AA123" i="64"/>
  <c r="N246" i="64"/>
  <c r="O246" i="64" s="1"/>
  <c r="I246" i="64"/>
  <c r="AC246" i="64" s="1"/>
  <c r="AA246" i="64"/>
  <c r="N245" i="64"/>
  <c r="O245" i="64" s="1"/>
  <c r="I245" i="64"/>
  <c r="AC245" i="64" s="1"/>
  <c r="AA245" i="64"/>
  <c r="N244" i="64"/>
  <c r="O244" i="64" s="1"/>
  <c r="I244" i="64"/>
  <c r="AC244" i="64" s="1"/>
  <c r="AA244" i="64"/>
  <c r="A1" i="77"/>
  <c r="A1" i="78"/>
  <c r="A1" i="49"/>
  <c r="A1" i="54"/>
  <c r="A1" i="26"/>
  <c r="A1" i="86"/>
  <c r="A5" i="77"/>
  <c r="A5" i="78"/>
  <c r="A5" i="49"/>
  <c r="A5" i="66"/>
  <c r="A5" i="54"/>
  <c r="A5" i="26"/>
  <c r="A5" i="27"/>
  <c r="A5" i="63"/>
  <c r="B5" i="64" s="1"/>
  <c r="B47" i="77"/>
  <c r="B50" i="77"/>
  <c r="B51" i="77"/>
  <c r="G57" i="77"/>
  <c r="T25" i="77" s="1"/>
  <c r="F57" i="77"/>
  <c r="E57" i="77"/>
  <c r="H45" i="77"/>
  <c r="T29" i="49"/>
  <c r="N29" i="49"/>
  <c r="P29" i="49" s="1"/>
  <c r="U29" i="49" s="1"/>
  <c r="T25" i="49"/>
  <c r="T27" i="49"/>
  <c r="T28" i="49"/>
  <c r="O28" i="49"/>
  <c r="O27" i="49"/>
  <c r="O25" i="49"/>
  <c r="O26" i="49"/>
  <c r="O24" i="49"/>
  <c r="N19" i="49"/>
  <c r="N18" i="49"/>
  <c r="P17" i="49"/>
  <c r="N32" i="49" s="1"/>
  <c r="F20" i="71"/>
  <c r="K20" i="71" s="1"/>
  <c r="N20" i="71" s="1"/>
  <c r="F36" i="71"/>
  <c r="K36" i="71" s="1"/>
  <c r="N36" i="71" s="1"/>
  <c r="F38" i="71"/>
  <c r="K38" i="71" s="1"/>
  <c r="N38" i="71" s="1"/>
  <c r="D33" i="71"/>
  <c r="F33" i="71" s="1"/>
  <c r="K33" i="71" s="1"/>
  <c r="N33" i="71" s="1"/>
  <c r="C130" i="7"/>
  <c r="D130" i="7"/>
  <c r="E130" i="7"/>
  <c r="F130" i="7"/>
  <c r="G130" i="7"/>
  <c r="H130" i="7"/>
  <c r="I130" i="7"/>
  <c r="J130" i="7"/>
  <c r="K130" i="7"/>
  <c r="L130" i="7"/>
  <c r="M130" i="7"/>
  <c r="B130" i="7"/>
  <c r="C123" i="7"/>
  <c r="D123" i="7"/>
  <c r="E123" i="7"/>
  <c r="F123" i="7"/>
  <c r="G123" i="7"/>
  <c r="H123" i="7"/>
  <c r="I123" i="7"/>
  <c r="J123" i="7"/>
  <c r="K123" i="7"/>
  <c r="L123" i="7"/>
  <c r="M123" i="7"/>
  <c r="B123" i="7"/>
  <c r="C122" i="7"/>
  <c r="D122" i="7"/>
  <c r="E122" i="7"/>
  <c r="F122" i="7"/>
  <c r="G122" i="7"/>
  <c r="N122" i="7" s="1"/>
  <c r="Q122" i="7" s="1"/>
  <c r="C109" i="71" s="1"/>
  <c r="H122" i="7"/>
  <c r="I122" i="7"/>
  <c r="J122" i="7"/>
  <c r="K122" i="7"/>
  <c r="L122" i="7"/>
  <c r="M122" i="7"/>
  <c r="B122" i="7"/>
  <c r="C121" i="7"/>
  <c r="D121" i="7"/>
  <c r="E121" i="7"/>
  <c r="F121" i="7"/>
  <c r="G121" i="7"/>
  <c r="H121" i="7"/>
  <c r="I121" i="7"/>
  <c r="J121" i="7"/>
  <c r="K121" i="7"/>
  <c r="L121" i="7"/>
  <c r="M121" i="7"/>
  <c r="B121" i="7"/>
  <c r="C120" i="7"/>
  <c r="D120" i="7"/>
  <c r="E120" i="7"/>
  <c r="F120" i="7"/>
  <c r="G120" i="7"/>
  <c r="H120" i="7"/>
  <c r="I120" i="7"/>
  <c r="J120" i="7"/>
  <c r="K120" i="7"/>
  <c r="L120" i="7"/>
  <c r="M120" i="7"/>
  <c r="B120" i="7"/>
  <c r="C117" i="7"/>
  <c r="D117" i="7"/>
  <c r="E117" i="7"/>
  <c r="F117" i="7"/>
  <c r="G117" i="7"/>
  <c r="H117" i="7"/>
  <c r="I117" i="7"/>
  <c r="J117" i="7"/>
  <c r="K117" i="7"/>
  <c r="L117" i="7"/>
  <c r="M117" i="7"/>
  <c r="B117" i="7"/>
  <c r="C116" i="7"/>
  <c r="D116" i="7"/>
  <c r="E116" i="7"/>
  <c r="F116" i="7"/>
  <c r="G116" i="7"/>
  <c r="H116" i="7"/>
  <c r="I116" i="7"/>
  <c r="J116" i="7"/>
  <c r="K116" i="7"/>
  <c r="L116" i="7"/>
  <c r="M116" i="7"/>
  <c r="B116" i="7"/>
  <c r="C115" i="7"/>
  <c r="D115" i="7"/>
  <c r="E115" i="7"/>
  <c r="F115" i="7"/>
  <c r="G115" i="7"/>
  <c r="H115" i="7"/>
  <c r="I115" i="7"/>
  <c r="J115" i="7"/>
  <c r="K115" i="7"/>
  <c r="L115" i="7"/>
  <c r="M115" i="7"/>
  <c r="B115" i="7"/>
  <c r="C113" i="7"/>
  <c r="D113" i="7"/>
  <c r="E113" i="7"/>
  <c r="F113" i="7"/>
  <c r="G113" i="7"/>
  <c r="H113" i="7"/>
  <c r="I113" i="7"/>
  <c r="J113" i="7"/>
  <c r="K113" i="7"/>
  <c r="L113" i="7"/>
  <c r="M113" i="7"/>
  <c r="B113" i="7"/>
  <c r="C112" i="7"/>
  <c r="D112" i="7"/>
  <c r="E112" i="7"/>
  <c r="F112" i="7"/>
  <c r="G112" i="7"/>
  <c r="H112" i="7"/>
  <c r="I112" i="7"/>
  <c r="J112" i="7"/>
  <c r="K112" i="7"/>
  <c r="L112" i="7"/>
  <c r="M112" i="7"/>
  <c r="B112" i="7"/>
  <c r="C110" i="7"/>
  <c r="D110" i="7"/>
  <c r="E110" i="7"/>
  <c r="F110" i="7"/>
  <c r="G110" i="7"/>
  <c r="H110" i="7"/>
  <c r="I110" i="7"/>
  <c r="J110" i="7"/>
  <c r="K110" i="7"/>
  <c r="L110" i="7"/>
  <c r="M110" i="7"/>
  <c r="B110" i="7"/>
  <c r="C107" i="7"/>
  <c r="D107" i="7"/>
  <c r="E107" i="7"/>
  <c r="F107" i="7"/>
  <c r="G107" i="7"/>
  <c r="N107" i="7" s="1"/>
  <c r="Q107" i="7" s="1"/>
  <c r="C94" i="71" s="1"/>
  <c r="H107" i="7"/>
  <c r="I107" i="7"/>
  <c r="J107" i="7"/>
  <c r="K107" i="7"/>
  <c r="L107" i="7"/>
  <c r="M107" i="7"/>
  <c r="B107" i="7"/>
  <c r="C106" i="7"/>
  <c r="D106" i="7"/>
  <c r="E106" i="7"/>
  <c r="F106" i="7"/>
  <c r="G106" i="7"/>
  <c r="N106" i="7" s="1"/>
  <c r="Q106" i="7" s="1"/>
  <c r="C93" i="71" s="1"/>
  <c r="H106" i="7"/>
  <c r="I106" i="7"/>
  <c r="J106" i="7"/>
  <c r="K106" i="7"/>
  <c r="L106" i="7"/>
  <c r="M106" i="7"/>
  <c r="B106" i="7"/>
  <c r="C105" i="7"/>
  <c r="D105" i="7"/>
  <c r="E105" i="7"/>
  <c r="F105" i="7"/>
  <c r="G105" i="7"/>
  <c r="H105" i="7"/>
  <c r="I105" i="7"/>
  <c r="J105" i="7"/>
  <c r="K105" i="7"/>
  <c r="L105" i="7"/>
  <c r="M105" i="7"/>
  <c r="B105" i="7"/>
  <c r="C103" i="7"/>
  <c r="D103" i="7"/>
  <c r="E103" i="7"/>
  <c r="F103" i="7"/>
  <c r="G103" i="7"/>
  <c r="H103" i="7"/>
  <c r="I103" i="7"/>
  <c r="J103" i="7"/>
  <c r="K103" i="7"/>
  <c r="L103" i="7"/>
  <c r="M103" i="7"/>
  <c r="B103" i="7"/>
  <c r="C99" i="7"/>
  <c r="D99" i="7"/>
  <c r="E99" i="7"/>
  <c r="F99" i="7"/>
  <c r="G99" i="7"/>
  <c r="H99" i="7"/>
  <c r="I99" i="7"/>
  <c r="J99" i="7"/>
  <c r="K99" i="7"/>
  <c r="L99" i="7"/>
  <c r="M99" i="7"/>
  <c r="B99" i="7"/>
  <c r="C98" i="7"/>
  <c r="D98" i="7"/>
  <c r="E98" i="7"/>
  <c r="F98" i="7"/>
  <c r="G98" i="7"/>
  <c r="H98" i="7"/>
  <c r="I98" i="7"/>
  <c r="J98" i="7"/>
  <c r="K98" i="7"/>
  <c r="L98" i="7"/>
  <c r="M98" i="7"/>
  <c r="B98" i="7"/>
  <c r="C97" i="7"/>
  <c r="D97" i="7"/>
  <c r="E97" i="7"/>
  <c r="F97" i="7"/>
  <c r="G97" i="7"/>
  <c r="N97" i="7" s="1"/>
  <c r="Q97" i="7" s="1"/>
  <c r="C84" i="71" s="1"/>
  <c r="D84" i="71" s="1"/>
  <c r="F84" i="71" s="1"/>
  <c r="H97" i="7"/>
  <c r="I97" i="7"/>
  <c r="J97" i="7"/>
  <c r="K97" i="7"/>
  <c r="L97" i="7"/>
  <c r="M97" i="7"/>
  <c r="B97" i="7"/>
  <c r="C96" i="7"/>
  <c r="D96" i="7"/>
  <c r="E96" i="7"/>
  <c r="F96" i="7"/>
  <c r="G96" i="7"/>
  <c r="N96" i="7" s="1"/>
  <c r="Q96" i="7" s="1"/>
  <c r="C83" i="71" s="1"/>
  <c r="H96" i="7"/>
  <c r="I96" i="7"/>
  <c r="J96" i="7"/>
  <c r="K96" i="7"/>
  <c r="L96" i="7"/>
  <c r="M96" i="7"/>
  <c r="B96" i="7"/>
  <c r="C94" i="7"/>
  <c r="D94" i="7"/>
  <c r="E94" i="7"/>
  <c r="F94" i="7"/>
  <c r="G94" i="7"/>
  <c r="H94" i="7"/>
  <c r="I94" i="7"/>
  <c r="J94" i="7"/>
  <c r="K94" i="7"/>
  <c r="L94" i="7"/>
  <c r="M94" i="7"/>
  <c r="B94" i="7"/>
  <c r="C89" i="7"/>
  <c r="D89" i="7"/>
  <c r="E89" i="7"/>
  <c r="F89" i="7"/>
  <c r="G89" i="7"/>
  <c r="H89" i="7"/>
  <c r="I89" i="7"/>
  <c r="J89" i="7"/>
  <c r="K89" i="7"/>
  <c r="L89" i="7"/>
  <c r="M89" i="7"/>
  <c r="B89" i="7"/>
  <c r="C88" i="7"/>
  <c r="D88" i="7"/>
  <c r="E88" i="7"/>
  <c r="F88" i="7"/>
  <c r="G88" i="7"/>
  <c r="H88" i="7"/>
  <c r="I88" i="7"/>
  <c r="J88" i="7"/>
  <c r="K88" i="7"/>
  <c r="L88" i="7"/>
  <c r="M88" i="7"/>
  <c r="B88" i="7"/>
  <c r="C87" i="7"/>
  <c r="D87" i="7"/>
  <c r="E87" i="7"/>
  <c r="F87" i="7"/>
  <c r="G87" i="7"/>
  <c r="H87" i="7"/>
  <c r="I87" i="7"/>
  <c r="J87" i="7"/>
  <c r="K87" i="7"/>
  <c r="L87" i="7"/>
  <c r="M87" i="7"/>
  <c r="B87" i="7"/>
  <c r="C80" i="7"/>
  <c r="D80" i="7"/>
  <c r="E80" i="7"/>
  <c r="F80" i="7"/>
  <c r="G80" i="7"/>
  <c r="H80" i="7"/>
  <c r="I80" i="7"/>
  <c r="J80" i="7"/>
  <c r="K80" i="7"/>
  <c r="L80" i="7"/>
  <c r="M80" i="7"/>
  <c r="B80" i="7"/>
  <c r="C79" i="7"/>
  <c r="D79" i="7"/>
  <c r="E79" i="7"/>
  <c r="F79" i="7"/>
  <c r="G79" i="7"/>
  <c r="H79" i="7"/>
  <c r="I79" i="7"/>
  <c r="J79" i="7"/>
  <c r="K79" i="7"/>
  <c r="L79" i="7"/>
  <c r="M79" i="7"/>
  <c r="B79" i="7"/>
  <c r="C78" i="7"/>
  <c r="D78" i="7"/>
  <c r="E78" i="7"/>
  <c r="F78" i="7"/>
  <c r="G78" i="7"/>
  <c r="H78" i="7"/>
  <c r="I78" i="7"/>
  <c r="J78" i="7"/>
  <c r="K78" i="7"/>
  <c r="L78" i="7"/>
  <c r="M78" i="7"/>
  <c r="B78" i="7"/>
  <c r="C76" i="7"/>
  <c r="D76" i="7"/>
  <c r="E76" i="7"/>
  <c r="F76" i="7"/>
  <c r="G76" i="7"/>
  <c r="H76" i="7"/>
  <c r="I76" i="7"/>
  <c r="J76" i="7"/>
  <c r="K76" i="7"/>
  <c r="L76" i="7"/>
  <c r="M76" i="7"/>
  <c r="B76" i="7"/>
  <c r="C75" i="7"/>
  <c r="D75" i="7"/>
  <c r="E75" i="7"/>
  <c r="F75" i="7"/>
  <c r="G75" i="7"/>
  <c r="H75" i="7"/>
  <c r="I75" i="7"/>
  <c r="J75" i="7"/>
  <c r="K75" i="7"/>
  <c r="L75" i="7"/>
  <c r="M75" i="7"/>
  <c r="B75" i="7"/>
  <c r="C72" i="7"/>
  <c r="D72" i="7"/>
  <c r="E72" i="7"/>
  <c r="F72" i="7"/>
  <c r="G72" i="7"/>
  <c r="H72" i="7"/>
  <c r="I72" i="7"/>
  <c r="J72" i="7"/>
  <c r="K72" i="7"/>
  <c r="L72" i="7"/>
  <c r="M72" i="7"/>
  <c r="B72" i="7"/>
  <c r="C70" i="7"/>
  <c r="D70" i="7"/>
  <c r="E70" i="7"/>
  <c r="F70" i="7"/>
  <c r="G70" i="7"/>
  <c r="H70" i="7"/>
  <c r="I70" i="7"/>
  <c r="J70" i="7"/>
  <c r="K70" i="7"/>
  <c r="L70" i="7"/>
  <c r="M70" i="7"/>
  <c r="B70" i="7"/>
  <c r="C69" i="7"/>
  <c r="D69" i="7"/>
  <c r="E69" i="7"/>
  <c r="F69" i="7"/>
  <c r="G69" i="7"/>
  <c r="H69" i="7"/>
  <c r="I69" i="7"/>
  <c r="J69" i="7"/>
  <c r="K69" i="7"/>
  <c r="L69" i="7"/>
  <c r="M69" i="7"/>
  <c r="B69" i="7"/>
  <c r="C67" i="7"/>
  <c r="D67" i="7"/>
  <c r="E67" i="7"/>
  <c r="F67" i="7"/>
  <c r="G67" i="7"/>
  <c r="H67" i="7"/>
  <c r="I67" i="7"/>
  <c r="J67" i="7"/>
  <c r="K67" i="7"/>
  <c r="L67" i="7"/>
  <c r="M67" i="7"/>
  <c r="B67" i="7"/>
  <c r="C65" i="7"/>
  <c r="D65" i="7"/>
  <c r="E65" i="7"/>
  <c r="F65" i="7"/>
  <c r="G65" i="7"/>
  <c r="H65" i="7"/>
  <c r="I65" i="7"/>
  <c r="J65" i="7"/>
  <c r="K65" i="7"/>
  <c r="L65" i="7"/>
  <c r="M65" i="7"/>
  <c r="B65" i="7"/>
  <c r="C58" i="7"/>
  <c r="D58" i="7"/>
  <c r="E58" i="7"/>
  <c r="F58" i="7"/>
  <c r="G58" i="7"/>
  <c r="H58" i="7"/>
  <c r="I58" i="7"/>
  <c r="J58" i="7"/>
  <c r="K58" i="7"/>
  <c r="L58" i="7"/>
  <c r="M58" i="7"/>
  <c r="B58" i="7"/>
  <c r="E36" i="27"/>
  <c r="G28" i="49"/>
  <c r="G29" i="49"/>
  <c r="D40" i="77"/>
  <c r="E40" i="77"/>
  <c r="F40" i="77"/>
  <c r="G40" i="77"/>
  <c r="H40" i="77"/>
  <c r="I40" i="77"/>
  <c r="J40" i="77"/>
  <c r="K40" i="77"/>
  <c r="L40" i="77"/>
  <c r="M40" i="77"/>
  <c r="N40" i="77"/>
  <c r="H46" i="77"/>
  <c r="H47" i="77"/>
  <c r="H48" i="77"/>
  <c r="H49" i="77"/>
  <c r="H50" i="77"/>
  <c r="H51" i="77"/>
  <c r="H52" i="77"/>
  <c r="H53" i="77"/>
  <c r="H54" i="77"/>
  <c r="H55" i="77"/>
  <c r="H56" i="77"/>
  <c r="AA21" i="77"/>
  <c r="AD11" i="77"/>
  <c r="Z15" i="77"/>
  <c r="N28" i="49"/>
  <c r="N27" i="49"/>
  <c r="N26" i="49"/>
  <c r="P26" i="49" s="1"/>
  <c r="U26" i="49" s="1"/>
  <c r="N25" i="49"/>
  <c r="P25" i="49" s="1"/>
  <c r="U25" i="49" s="1"/>
  <c r="N24" i="49"/>
  <c r="N23" i="49"/>
  <c r="P23" i="49" s="1"/>
  <c r="U23" i="49" s="1"/>
  <c r="N22" i="49"/>
  <c r="N21" i="49"/>
  <c r="P21" i="49" s="1"/>
  <c r="U21" i="49" s="1"/>
  <c r="N20" i="49"/>
  <c r="N30" i="49" s="1"/>
  <c r="G11" i="49"/>
  <c r="G12" i="49"/>
  <c r="G13" i="49"/>
  <c r="G14" i="49"/>
  <c r="G15" i="49"/>
  <c r="G16" i="49"/>
  <c r="G17" i="49"/>
  <c r="G18" i="49"/>
  <c r="G19" i="49"/>
  <c r="G20" i="49"/>
  <c r="G21" i="49"/>
  <c r="N120" i="64"/>
  <c r="O120" i="64" s="1"/>
  <c r="I121" i="64"/>
  <c r="AC121" i="64" s="1"/>
  <c r="AA113" i="64"/>
  <c r="AB113" i="64"/>
  <c r="AD113" i="64"/>
  <c r="AA328" i="64"/>
  <c r="AB328" i="64"/>
  <c r="AD328" i="64"/>
  <c r="AE328" i="64"/>
  <c r="AA329" i="64"/>
  <c r="AB329" i="64"/>
  <c r="AD329" i="64"/>
  <c r="AE329" i="64"/>
  <c r="AA330" i="64"/>
  <c r="AB330" i="64"/>
  <c r="AD330" i="64"/>
  <c r="AE330" i="64"/>
  <c r="AA331" i="64"/>
  <c r="AB331" i="64"/>
  <c r="AD331" i="64"/>
  <c r="AE331" i="64"/>
  <c r="AA332" i="64"/>
  <c r="AB332" i="64"/>
  <c r="AD332" i="64"/>
  <c r="AE332" i="64"/>
  <c r="AA333" i="64"/>
  <c r="AB333" i="64"/>
  <c r="AD333" i="64"/>
  <c r="AE333" i="64"/>
  <c r="AA334" i="64"/>
  <c r="AB334" i="64"/>
  <c r="AD334" i="64"/>
  <c r="AE334" i="64"/>
  <c r="AA335" i="64"/>
  <c r="AB335" i="64"/>
  <c r="AD335" i="64"/>
  <c r="AE335" i="64"/>
  <c r="AA336" i="64"/>
  <c r="AB336" i="64"/>
  <c r="AD336" i="64"/>
  <c r="AE336" i="64"/>
  <c r="AA337" i="64"/>
  <c r="AB337" i="64"/>
  <c r="AD337" i="64"/>
  <c r="AE337" i="64"/>
  <c r="AA338" i="64"/>
  <c r="AB338" i="64"/>
  <c r="AD338" i="64"/>
  <c r="AE338" i="64"/>
  <c r="AA339" i="64"/>
  <c r="AB339" i="64"/>
  <c r="AD339" i="64"/>
  <c r="AE339" i="64"/>
  <c r="AA340" i="64"/>
  <c r="AB340" i="64"/>
  <c r="AD340" i="64"/>
  <c r="AE340" i="64"/>
  <c r="AA341" i="64"/>
  <c r="AB341" i="64"/>
  <c r="AD341" i="64"/>
  <c r="AE341" i="64"/>
  <c r="AA342" i="64"/>
  <c r="AB342" i="64"/>
  <c r="AD342" i="64"/>
  <c r="AE342" i="64"/>
  <c r="N328" i="64"/>
  <c r="O328" i="64" s="1"/>
  <c r="Q328" i="64"/>
  <c r="N329" i="64"/>
  <c r="O329" i="64" s="1"/>
  <c r="Q329" i="64"/>
  <c r="N330" i="64"/>
  <c r="O330" i="64" s="1"/>
  <c r="Q330" i="64"/>
  <c r="N331" i="64"/>
  <c r="O331" i="64" s="1"/>
  <c r="Q331" i="64"/>
  <c r="N332" i="64"/>
  <c r="O332" i="64" s="1"/>
  <c r="Q332" i="64"/>
  <c r="N333" i="64"/>
  <c r="O333" i="64" s="1"/>
  <c r="Q333" i="64"/>
  <c r="N334" i="64"/>
  <c r="O334" i="64" s="1"/>
  <c r="Q334" i="64"/>
  <c r="N335" i="64"/>
  <c r="O335" i="64" s="1"/>
  <c r="Q335" i="64"/>
  <c r="N336" i="64"/>
  <c r="O336" i="64" s="1"/>
  <c r="Q336" i="64"/>
  <c r="N337" i="64"/>
  <c r="O337" i="64" s="1"/>
  <c r="Q337" i="64"/>
  <c r="N338" i="64"/>
  <c r="O338" i="64" s="1"/>
  <c r="Q338" i="64"/>
  <c r="N339" i="64"/>
  <c r="O339" i="64" s="1"/>
  <c r="Q339" i="64"/>
  <c r="N340" i="64"/>
  <c r="O340" i="64" s="1"/>
  <c r="Q340" i="64"/>
  <c r="N341" i="64"/>
  <c r="O341" i="64" s="1"/>
  <c r="Q341" i="64"/>
  <c r="N342" i="64"/>
  <c r="O342" i="64" s="1"/>
  <c r="Q342" i="64"/>
  <c r="AE327" i="64"/>
  <c r="AD327" i="64"/>
  <c r="AB327" i="64"/>
  <c r="AA327" i="64"/>
  <c r="Q327" i="64"/>
  <c r="N327" i="64"/>
  <c r="O327" i="64" s="1"/>
  <c r="N285" i="64"/>
  <c r="O285" i="64" s="1"/>
  <c r="N286" i="64"/>
  <c r="O286" i="64" s="1"/>
  <c r="N287" i="64"/>
  <c r="O287" i="64" s="1"/>
  <c r="N288" i="64"/>
  <c r="O288" i="64" s="1"/>
  <c r="N289" i="64"/>
  <c r="O289" i="64" s="1"/>
  <c r="N290" i="64"/>
  <c r="O290" i="64" s="1"/>
  <c r="N291" i="64"/>
  <c r="O291" i="64" s="1"/>
  <c r="N292" i="64"/>
  <c r="O292" i="64" s="1"/>
  <c r="N293" i="64"/>
  <c r="O293" i="64" s="1"/>
  <c r="N294" i="64"/>
  <c r="O294" i="64" s="1"/>
  <c r="N295" i="64"/>
  <c r="O295" i="64" s="1"/>
  <c r="N296" i="64"/>
  <c r="O296" i="64" s="1"/>
  <c r="N297" i="64"/>
  <c r="O297" i="64" s="1"/>
  <c r="N298" i="64"/>
  <c r="O298" i="64" s="1"/>
  <c r="N299" i="64"/>
  <c r="O299" i="64" s="1"/>
  <c r="N300" i="64"/>
  <c r="O300" i="64" s="1"/>
  <c r="N301" i="64"/>
  <c r="O301" i="64" s="1"/>
  <c r="AA238" i="64"/>
  <c r="AB238" i="64"/>
  <c r="AD238" i="64"/>
  <c r="AE238" i="64"/>
  <c r="AA239" i="64"/>
  <c r="AB239" i="64"/>
  <c r="AD239" i="64"/>
  <c r="AE239" i="64"/>
  <c r="AA240" i="64"/>
  <c r="AB240" i="64"/>
  <c r="AD240" i="64"/>
  <c r="AE240" i="64"/>
  <c r="AA241" i="64"/>
  <c r="AB241" i="64"/>
  <c r="AD241" i="64"/>
  <c r="AE241" i="64"/>
  <c r="AA242" i="64"/>
  <c r="AB242" i="64"/>
  <c r="AD242" i="64"/>
  <c r="AE242" i="64"/>
  <c r="AA243" i="64"/>
  <c r="AB243" i="64"/>
  <c r="AD243" i="64"/>
  <c r="AE243" i="64"/>
  <c r="N238" i="64"/>
  <c r="O238" i="64" s="1"/>
  <c r="Q238" i="64"/>
  <c r="N239" i="64"/>
  <c r="O239" i="64" s="1"/>
  <c r="Q239" i="64"/>
  <c r="N240" i="64"/>
  <c r="O240" i="64" s="1"/>
  <c r="Q240" i="64"/>
  <c r="N241" i="64"/>
  <c r="O241" i="64" s="1"/>
  <c r="Q241" i="64"/>
  <c r="N242" i="64"/>
  <c r="O242" i="64" s="1"/>
  <c r="Q242" i="64"/>
  <c r="N243" i="64"/>
  <c r="O243" i="64" s="1"/>
  <c r="Q243" i="64"/>
  <c r="I243" i="64"/>
  <c r="AC243" i="64" s="1"/>
  <c r="I242" i="64"/>
  <c r="AC242" i="64" s="1"/>
  <c r="I241" i="64"/>
  <c r="AC241" i="64" s="1"/>
  <c r="I240" i="64"/>
  <c r="AC240" i="64" s="1"/>
  <c r="I239" i="64"/>
  <c r="AC239" i="64" s="1"/>
  <c r="I238" i="64"/>
  <c r="AC238" i="64" s="1"/>
  <c r="AA231" i="64"/>
  <c r="AB231" i="64"/>
  <c r="AD231" i="64"/>
  <c r="AE231" i="64"/>
  <c r="AA232" i="64"/>
  <c r="AB232" i="64"/>
  <c r="AD232" i="64"/>
  <c r="AE232" i="64"/>
  <c r="AA233" i="64"/>
  <c r="AB233" i="64"/>
  <c r="AD233" i="64"/>
  <c r="AE233" i="64"/>
  <c r="AA234" i="64"/>
  <c r="AB234" i="64"/>
  <c r="AD234" i="64"/>
  <c r="AE234" i="64"/>
  <c r="AA235" i="64"/>
  <c r="AB235" i="64"/>
  <c r="AD235" i="64"/>
  <c r="AE235" i="64"/>
  <c r="AA236" i="64"/>
  <c r="AB236" i="64"/>
  <c r="AD236" i="64"/>
  <c r="AE236" i="64"/>
  <c r="AA237" i="64"/>
  <c r="AB237" i="64"/>
  <c r="AD237" i="64"/>
  <c r="AE237" i="64"/>
  <c r="N231" i="64"/>
  <c r="O231" i="64" s="1"/>
  <c r="Q231" i="64"/>
  <c r="N232" i="64"/>
  <c r="O232" i="64" s="1"/>
  <c r="Q232" i="64"/>
  <c r="N233" i="64"/>
  <c r="O233" i="64" s="1"/>
  <c r="Q233" i="64"/>
  <c r="N234" i="64"/>
  <c r="O234" i="64" s="1"/>
  <c r="Q234" i="64"/>
  <c r="N235" i="64"/>
  <c r="O235" i="64" s="1"/>
  <c r="Q235" i="64"/>
  <c r="N236" i="64"/>
  <c r="O236" i="64" s="1"/>
  <c r="Q236" i="64"/>
  <c r="N237" i="64"/>
  <c r="O237" i="64" s="1"/>
  <c r="Q237" i="64"/>
  <c r="I237" i="64"/>
  <c r="AC237" i="64" s="1"/>
  <c r="I236" i="64"/>
  <c r="AC236" i="64" s="1"/>
  <c r="I235" i="64"/>
  <c r="AC235" i="64" s="1"/>
  <c r="I234" i="64"/>
  <c r="AC234" i="64" s="1"/>
  <c r="I233" i="64"/>
  <c r="AC233" i="64" s="1"/>
  <c r="I232" i="64"/>
  <c r="AC232" i="64" s="1"/>
  <c r="I231" i="64"/>
  <c r="AC231" i="64" s="1"/>
  <c r="AA225" i="64"/>
  <c r="AB225" i="64"/>
  <c r="AD225" i="64"/>
  <c r="AE225" i="64"/>
  <c r="AA226" i="64"/>
  <c r="AB226" i="64"/>
  <c r="AD226" i="64"/>
  <c r="AE226" i="64"/>
  <c r="AA227" i="64"/>
  <c r="AB227" i="64"/>
  <c r="AD227" i="64"/>
  <c r="AE227" i="64"/>
  <c r="AA228" i="64"/>
  <c r="AB228" i="64"/>
  <c r="AD228" i="64"/>
  <c r="AE228" i="64"/>
  <c r="AA229" i="64"/>
  <c r="AB229" i="64"/>
  <c r="AD229" i="64"/>
  <c r="AE229" i="64"/>
  <c r="AA230" i="64"/>
  <c r="AB230" i="64"/>
  <c r="AD230" i="64"/>
  <c r="AE230" i="64"/>
  <c r="N225" i="64"/>
  <c r="O225" i="64" s="1"/>
  <c r="Q225" i="64"/>
  <c r="N226" i="64"/>
  <c r="O226" i="64" s="1"/>
  <c r="Q226" i="64"/>
  <c r="N227" i="64"/>
  <c r="O227" i="64" s="1"/>
  <c r="Q227" i="64"/>
  <c r="N228" i="64"/>
  <c r="O228" i="64" s="1"/>
  <c r="Q228" i="64"/>
  <c r="N229" i="64"/>
  <c r="O229" i="64" s="1"/>
  <c r="Q229" i="64"/>
  <c r="N230" i="64"/>
  <c r="O230" i="64" s="1"/>
  <c r="Q230" i="64"/>
  <c r="I230" i="64"/>
  <c r="AC230" i="64" s="1"/>
  <c r="I229" i="64"/>
  <c r="AC229" i="64" s="1"/>
  <c r="I228" i="64"/>
  <c r="AC228" i="64" s="1"/>
  <c r="I227" i="64"/>
  <c r="AC227" i="64" s="1"/>
  <c r="I226" i="64"/>
  <c r="AC226" i="64" s="1"/>
  <c r="I225" i="64"/>
  <c r="AC225" i="64" s="1"/>
  <c r="AA218" i="64"/>
  <c r="AB218" i="64"/>
  <c r="AD218" i="64"/>
  <c r="AE218" i="64"/>
  <c r="AA219" i="64"/>
  <c r="AB219" i="64"/>
  <c r="AD219" i="64"/>
  <c r="AE219" i="64"/>
  <c r="AA220" i="64"/>
  <c r="AB220" i="64"/>
  <c r="AD220" i="64"/>
  <c r="AE220" i="64"/>
  <c r="AA221" i="64"/>
  <c r="AB221" i="64"/>
  <c r="AD221" i="64"/>
  <c r="AE221" i="64"/>
  <c r="AA222" i="64"/>
  <c r="AB222" i="64"/>
  <c r="AD222" i="64"/>
  <c r="AE222" i="64"/>
  <c r="AA223" i="64"/>
  <c r="AB223" i="64"/>
  <c r="AD223" i="64"/>
  <c r="AE223" i="64"/>
  <c r="AA224" i="64"/>
  <c r="AB224" i="64"/>
  <c r="AD224" i="64"/>
  <c r="AE224" i="64"/>
  <c r="Q218" i="64"/>
  <c r="Q219" i="64"/>
  <c r="Q220" i="64"/>
  <c r="Q221" i="64"/>
  <c r="Q222" i="64"/>
  <c r="Q223" i="64"/>
  <c r="Q224" i="64"/>
  <c r="N218" i="64"/>
  <c r="O218" i="64" s="1"/>
  <c r="N219" i="64"/>
  <c r="O219" i="64" s="1"/>
  <c r="N220" i="64"/>
  <c r="O220" i="64" s="1"/>
  <c r="N221" i="64"/>
  <c r="O221" i="64" s="1"/>
  <c r="N222" i="64"/>
  <c r="O222" i="64" s="1"/>
  <c r="N223" i="64"/>
  <c r="O223" i="64" s="1"/>
  <c r="N224" i="64"/>
  <c r="O224" i="64" s="1"/>
  <c r="I224" i="64"/>
  <c r="AC224" i="64" s="1"/>
  <c r="I223" i="64"/>
  <c r="AC223" i="64" s="1"/>
  <c r="I222" i="64"/>
  <c r="AC222" i="64" s="1"/>
  <c r="I221" i="64"/>
  <c r="AC221" i="64" s="1"/>
  <c r="I220" i="64"/>
  <c r="AC220" i="64" s="1"/>
  <c r="I219" i="64"/>
  <c r="AC219" i="64" s="1"/>
  <c r="I218" i="64"/>
  <c r="AC218" i="64" s="1"/>
  <c r="AB201" i="64"/>
  <c r="AD201" i="64"/>
  <c r="AE201" i="64"/>
  <c r="AB202" i="64"/>
  <c r="AD202" i="64"/>
  <c r="AE202" i="64"/>
  <c r="AB203" i="64"/>
  <c r="AD203" i="64"/>
  <c r="AE203" i="64"/>
  <c r="AB204" i="64"/>
  <c r="AD204" i="64"/>
  <c r="AE204" i="64"/>
  <c r="AB205" i="64"/>
  <c r="AD205" i="64"/>
  <c r="AE205" i="64"/>
  <c r="AB206" i="64"/>
  <c r="AD206" i="64"/>
  <c r="AE206" i="64"/>
  <c r="AB207" i="64"/>
  <c r="AD207" i="64"/>
  <c r="AE207" i="64"/>
  <c r="AB208" i="64"/>
  <c r="AD208" i="64"/>
  <c r="AE208" i="64"/>
  <c r="AB209" i="64"/>
  <c r="AD209" i="64"/>
  <c r="AE209" i="64"/>
  <c r="AB210" i="64"/>
  <c r="AD210" i="64"/>
  <c r="AE210" i="64"/>
  <c r="AB211" i="64"/>
  <c r="AD211" i="64"/>
  <c r="AE211" i="64"/>
  <c r="AB212" i="64"/>
  <c r="AD212" i="64"/>
  <c r="AE212" i="64"/>
  <c r="AB213" i="64"/>
  <c r="AD213" i="64"/>
  <c r="AE213" i="64"/>
  <c r="AB214" i="64"/>
  <c r="AD214" i="64"/>
  <c r="AE214" i="64"/>
  <c r="AB215" i="64"/>
  <c r="AD215" i="64"/>
  <c r="AE215" i="64"/>
  <c r="AB216" i="64"/>
  <c r="AD216" i="64"/>
  <c r="AE216" i="64"/>
  <c r="AB217" i="64"/>
  <c r="AD217" i="64"/>
  <c r="AE217" i="64"/>
  <c r="Q201" i="64"/>
  <c r="Q202" i="64"/>
  <c r="Q203" i="64"/>
  <c r="Q204" i="64"/>
  <c r="Q205" i="64"/>
  <c r="Q206" i="64"/>
  <c r="Q207" i="64"/>
  <c r="Q208" i="64"/>
  <c r="Q209" i="64"/>
  <c r="Q210" i="64"/>
  <c r="Q211" i="64"/>
  <c r="Q212" i="64"/>
  <c r="Q213" i="64"/>
  <c r="Q214" i="64"/>
  <c r="Q215" i="64"/>
  <c r="Q216" i="64"/>
  <c r="Q217" i="64"/>
  <c r="N201" i="64"/>
  <c r="O201" i="64" s="1"/>
  <c r="N202" i="64"/>
  <c r="O202" i="64" s="1"/>
  <c r="N203" i="64"/>
  <c r="O203" i="64" s="1"/>
  <c r="N204" i="64"/>
  <c r="O204" i="64" s="1"/>
  <c r="N205" i="64"/>
  <c r="O205" i="64" s="1"/>
  <c r="N206" i="64"/>
  <c r="O206" i="64" s="1"/>
  <c r="N207" i="64"/>
  <c r="O207" i="64" s="1"/>
  <c r="N208" i="64"/>
  <c r="O208" i="64" s="1"/>
  <c r="N209" i="64"/>
  <c r="O209" i="64" s="1"/>
  <c r="N210" i="64"/>
  <c r="O210" i="64" s="1"/>
  <c r="N211" i="64"/>
  <c r="O211" i="64" s="1"/>
  <c r="N212" i="64"/>
  <c r="O212" i="64" s="1"/>
  <c r="N213" i="64"/>
  <c r="O213" i="64" s="1"/>
  <c r="N214" i="64"/>
  <c r="O214" i="64" s="1"/>
  <c r="N215" i="64"/>
  <c r="O215" i="64" s="1"/>
  <c r="N216" i="64"/>
  <c r="O216" i="64" s="1"/>
  <c r="N217" i="64"/>
  <c r="O217" i="64" s="1"/>
  <c r="I217" i="64"/>
  <c r="AC217" i="64" s="1"/>
  <c r="I216" i="64"/>
  <c r="AC216" i="64" s="1"/>
  <c r="I215" i="64"/>
  <c r="AC215" i="64" s="1"/>
  <c r="I214" i="64"/>
  <c r="AC214" i="64" s="1"/>
  <c r="I213" i="64"/>
  <c r="AC213" i="64" s="1"/>
  <c r="I212" i="64"/>
  <c r="AC212" i="64" s="1"/>
  <c r="I211" i="64"/>
  <c r="AC211" i="64" s="1"/>
  <c r="I210" i="64"/>
  <c r="AC210" i="64" s="1"/>
  <c r="I209" i="64"/>
  <c r="AC209" i="64" s="1"/>
  <c r="I208" i="64"/>
  <c r="AC208" i="64" s="1"/>
  <c r="I207" i="64"/>
  <c r="AC207" i="64" s="1"/>
  <c r="I206" i="64"/>
  <c r="AC206" i="64" s="1"/>
  <c r="I205" i="64"/>
  <c r="AC205" i="64" s="1"/>
  <c r="I204" i="64"/>
  <c r="AC204" i="64" s="1"/>
  <c r="I203" i="64"/>
  <c r="AC203" i="64" s="1"/>
  <c r="I202" i="64"/>
  <c r="AC202" i="64" s="1"/>
  <c r="I201" i="64"/>
  <c r="AC201" i="64" s="1"/>
  <c r="AA217" i="64"/>
  <c r="AA216" i="64"/>
  <c r="AA215" i="64"/>
  <c r="AA214" i="64"/>
  <c r="AA213" i="64"/>
  <c r="AA212" i="64"/>
  <c r="AA211" i="64"/>
  <c r="AA210" i="64"/>
  <c r="AA209" i="64"/>
  <c r="AA208" i="64"/>
  <c r="AA207" i="64"/>
  <c r="AA206" i="64"/>
  <c r="AA205" i="64"/>
  <c r="AA204" i="64"/>
  <c r="AA203" i="64"/>
  <c r="AA202" i="64"/>
  <c r="AA201" i="64"/>
  <c r="AD198" i="64"/>
  <c r="AE198" i="64"/>
  <c r="AD199" i="64"/>
  <c r="AE199" i="64"/>
  <c r="AD200" i="64"/>
  <c r="AE200" i="64"/>
  <c r="AB198" i="64"/>
  <c r="AB199" i="64"/>
  <c r="AB200" i="64"/>
  <c r="Q200" i="64"/>
  <c r="Q199" i="64"/>
  <c r="Q198" i="64"/>
  <c r="AA200" i="64"/>
  <c r="AA199" i="64"/>
  <c r="AA198" i="64"/>
  <c r="I200" i="64"/>
  <c r="AC200" i="64" s="1"/>
  <c r="I199" i="64"/>
  <c r="AC199" i="64" s="1"/>
  <c r="I198" i="64"/>
  <c r="AC198" i="64" s="1"/>
  <c r="N200" i="64"/>
  <c r="O200" i="64" s="1"/>
  <c r="N199" i="64"/>
  <c r="O199" i="64" s="1"/>
  <c r="N198" i="64"/>
  <c r="O198" i="64" s="1"/>
  <c r="B22" i="63"/>
  <c r="AD106" i="64"/>
  <c r="AE106" i="64"/>
  <c r="AD107" i="64"/>
  <c r="AE107" i="64"/>
  <c r="AD108" i="64"/>
  <c r="AE108" i="64"/>
  <c r="AD109" i="64"/>
  <c r="AE109" i="64"/>
  <c r="AD110" i="64"/>
  <c r="AE110" i="64"/>
  <c r="AD111" i="64"/>
  <c r="AE111" i="64"/>
  <c r="AD112" i="64"/>
  <c r="AE112" i="64"/>
  <c r="AE113" i="64"/>
  <c r="AD114" i="64"/>
  <c r="AE114" i="64"/>
  <c r="AD115" i="64"/>
  <c r="AE115" i="64"/>
  <c r="AD116" i="64"/>
  <c r="AE116" i="64"/>
  <c r="AD117" i="64"/>
  <c r="AE117" i="64"/>
  <c r="AD118" i="64"/>
  <c r="AE118" i="64"/>
  <c r="AD119" i="64"/>
  <c r="AE119" i="64"/>
  <c r="AD120" i="64"/>
  <c r="AE120" i="64"/>
  <c r="AD121" i="64"/>
  <c r="AE121" i="64"/>
  <c r="AD122" i="64"/>
  <c r="AE122" i="64"/>
  <c r="AB106" i="64"/>
  <c r="AB107" i="64"/>
  <c r="AB108" i="64"/>
  <c r="AB109" i="64"/>
  <c r="AB110" i="64"/>
  <c r="AB111" i="64"/>
  <c r="AB112" i="64"/>
  <c r="AB114" i="64"/>
  <c r="AB115" i="64"/>
  <c r="AB116" i="64"/>
  <c r="AB117" i="64"/>
  <c r="AB118" i="64"/>
  <c r="AB119" i="64"/>
  <c r="AB120" i="64"/>
  <c r="AB121" i="64"/>
  <c r="AB122" i="64"/>
  <c r="AB103" i="64"/>
  <c r="AD103" i="64"/>
  <c r="AE103" i="64"/>
  <c r="N122" i="64"/>
  <c r="O122" i="64" s="1"/>
  <c r="Q122" i="64"/>
  <c r="N121" i="64"/>
  <c r="O121" i="64" s="1"/>
  <c r="Q121" i="64"/>
  <c r="Q120" i="64"/>
  <c r="N119" i="64"/>
  <c r="Q119" i="64"/>
  <c r="N118" i="64"/>
  <c r="O118" i="64" s="1"/>
  <c r="Q118" i="64"/>
  <c r="N117" i="64"/>
  <c r="O117" i="64" s="1"/>
  <c r="Q117" i="64"/>
  <c r="N116" i="64"/>
  <c r="O116" i="64" s="1"/>
  <c r="Q116" i="64"/>
  <c r="N115" i="64"/>
  <c r="O115" i="64" s="1"/>
  <c r="Q115" i="64"/>
  <c r="N114" i="64"/>
  <c r="O114" i="64" s="1"/>
  <c r="Q114" i="64"/>
  <c r="N113" i="64"/>
  <c r="O113" i="64" s="1"/>
  <c r="Q113" i="64"/>
  <c r="N112" i="64"/>
  <c r="O112" i="64" s="1"/>
  <c r="Q112" i="64"/>
  <c r="N111" i="64"/>
  <c r="O111" i="64" s="1"/>
  <c r="Q111" i="64"/>
  <c r="N110" i="64"/>
  <c r="O110" i="64" s="1"/>
  <c r="Q110" i="64"/>
  <c r="N109" i="64"/>
  <c r="Q109" i="64"/>
  <c r="Q108" i="64"/>
  <c r="N108" i="64"/>
  <c r="I122" i="64"/>
  <c r="AC122" i="64" s="1"/>
  <c r="I120" i="64"/>
  <c r="AC120" i="64" s="1"/>
  <c r="I119" i="64"/>
  <c r="AC119" i="64" s="1"/>
  <c r="I118" i="64"/>
  <c r="AC118" i="64" s="1"/>
  <c r="I117" i="64"/>
  <c r="AC117" i="64" s="1"/>
  <c r="I116" i="64"/>
  <c r="AC116" i="64" s="1"/>
  <c r="I115" i="64"/>
  <c r="AC115" i="64" s="1"/>
  <c r="I114" i="64"/>
  <c r="AC114" i="64" s="1"/>
  <c r="I113" i="64"/>
  <c r="AC113" i="64" s="1"/>
  <c r="I112" i="64"/>
  <c r="AC112" i="64" s="1"/>
  <c r="I111" i="64"/>
  <c r="AC111" i="64" s="1"/>
  <c r="I110" i="64"/>
  <c r="AC110" i="64" s="1"/>
  <c r="I109" i="64"/>
  <c r="AC109" i="64" s="1"/>
  <c r="I108" i="64"/>
  <c r="AC108" i="64" s="1"/>
  <c r="AA122" i="64"/>
  <c r="AA121" i="64"/>
  <c r="AA120" i="64"/>
  <c r="AA119" i="64"/>
  <c r="AA118" i="64"/>
  <c r="AA117" i="64"/>
  <c r="AA116" i="64"/>
  <c r="AA115" i="64"/>
  <c r="AA114" i="64"/>
  <c r="AA112" i="64"/>
  <c r="AA111" i="64"/>
  <c r="AA110" i="64"/>
  <c r="AA109" i="64"/>
  <c r="AA108" i="64"/>
  <c r="Q107" i="64"/>
  <c r="N107" i="64"/>
  <c r="O107" i="64" s="1"/>
  <c r="I107" i="64"/>
  <c r="AC107" i="64" s="1"/>
  <c r="AA107" i="64"/>
  <c r="Q106" i="64"/>
  <c r="Q103" i="64"/>
  <c r="N106" i="64"/>
  <c r="I106" i="64"/>
  <c r="AC106" i="64" s="1"/>
  <c r="AA106" i="64"/>
  <c r="N103" i="64"/>
  <c r="O103" i="64" s="1"/>
  <c r="AA103" i="64"/>
  <c r="I103" i="64"/>
  <c r="AC103" i="64" s="1"/>
  <c r="I328" i="64"/>
  <c r="AC328" i="64" s="1"/>
  <c r="I329" i="64"/>
  <c r="AC329" i="64" s="1"/>
  <c r="I330" i="64"/>
  <c r="AC330" i="64" s="1"/>
  <c r="I331" i="64"/>
  <c r="AC331" i="64" s="1"/>
  <c r="I332" i="64"/>
  <c r="AC332" i="64" s="1"/>
  <c r="I333" i="64"/>
  <c r="AC333" i="64" s="1"/>
  <c r="I334" i="64"/>
  <c r="AC334" i="64" s="1"/>
  <c r="I335" i="64"/>
  <c r="AC335" i="64" s="1"/>
  <c r="I336" i="64"/>
  <c r="AC336" i="64" s="1"/>
  <c r="I337" i="64"/>
  <c r="AC337" i="64" s="1"/>
  <c r="I338" i="64"/>
  <c r="AC338" i="64" s="1"/>
  <c r="I339" i="64"/>
  <c r="AC339" i="64" s="1"/>
  <c r="I340" i="64"/>
  <c r="AC340" i="64" s="1"/>
  <c r="I341" i="64"/>
  <c r="AC341" i="64" s="1"/>
  <c r="I342" i="64"/>
  <c r="AC342" i="64" s="1"/>
  <c r="I327" i="64"/>
  <c r="AC327" i="64" s="1"/>
  <c r="L343" i="64"/>
  <c r="AE105" i="64"/>
  <c r="AD105" i="64"/>
  <c r="AB105" i="64"/>
  <c r="AA105" i="64"/>
  <c r="N105" i="64"/>
  <c r="I105" i="64"/>
  <c r="AC105" i="64" s="1"/>
  <c r="AE104" i="64"/>
  <c r="AD104" i="64"/>
  <c r="AB104" i="64"/>
  <c r="AA104" i="64"/>
  <c r="Q104" i="64"/>
  <c r="N104" i="64"/>
  <c r="I104" i="64"/>
  <c r="AC104" i="64" s="1"/>
  <c r="B23" i="63"/>
  <c r="B20" i="63"/>
  <c r="N149" i="64"/>
  <c r="O149" i="64" s="1"/>
  <c r="N151" i="64"/>
  <c r="O151" i="64" s="1"/>
  <c r="N152" i="64"/>
  <c r="O152" i="64" s="1"/>
  <c r="N134" i="64"/>
  <c r="O134" i="64" s="1"/>
  <c r="AA17" i="64"/>
  <c r="D9" i="54"/>
  <c r="F9" i="54" s="1"/>
  <c r="I11" i="26"/>
  <c r="I301" i="64"/>
  <c r="AC301" i="64" s="1"/>
  <c r="I300" i="64"/>
  <c r="AC300" i="64" s="1"/>
  <c r="I299" i="64"/>
  <c r="AC299" i="64" s="1"/>
  <c r="AE299" i="64"/>
  <c r="AE300" i="64"/>
  <c r="AE301" i="64"/>
  <c r="AD299" i="64"/>
  <c r="AD300" i="64"/>
  <c r="AD301" i="64"/>
  <c r="AB299" i="64"/>
  <c r="AB300" i="64"/>
  <c r="AB301" i="64"/>
  <c r="AA299" i="64"/>
  <c r="AA300" i="64"/>
  <c r="AA301" i="64"/>
  <c r="Q299" i="64"/>
  <c r="Q300" i="64"/>
  <c r="Q301" i="64"/>
  <c r="I298" i="64"/>
  <c r="AC298" i="64" s="1"/>
  <c r="I297" i="64"/>
  <c r="AC297" i="64" s="1"/>
  <c r="I296" i="64"/>
  <c r="AC296" i="64" s="1"/>
  <c r="I295" i="64"/>
  <c r="AC295" i="64" s="1"/>
  <c r="I294" i="64"/>
  <c r="AC294" i="64" s="1"/>
  <c r="AE294" i="64"/>
  <c r="AE295" i="64"/>
  <c r="AE296" i="64"/>
  <c r="AE297" i="64"/>
  <c r="AE298" i="64"/>
  <c r="AD294" i="64"/>
  <c r="AD295" i="64"/>
  <c r="AD296" i="64"/>
  <c r="AD297" i="64"/>
  <c r="AD298" i="64"/>
  <c r="AB294" i="64"/>
  <c r="AB295" i="64"/>
  <c r="AB296" i="64"/>
  <c r="AB297" i="64"/>
  <c r="AB298" i="64"/>
  <c r="AA294" i="64"/>
  <c r="AA295" i="64"/>
  <c r="AA296" i="64"/>
  <c r="AA297" i="64"/>
  <c r="AA298" i="64"/>
  <c r="Q294" i="64"/>
  <c r="Q295" i="64"/>
  <c r="Q296" i="64"/>
  <c r="Q297" i="64"/>
  <c r="Q298" i="64"/>
  <c r="I293" i="64"/>
  <c r="AC293" i="64" s="1"/>
  <c r="I292" i="64"/>
  <c r="AC292" i="64" s="1"/>
  <c r="I291" i="64"/>
  <c r="AC291" i="64" s="1"/>
  <c r="I290" i="64"/>
  <c r="AC290" i="64" s="1"/>
  <c r="I289" i="64"/>
  <c r="AC289" i="64" s="1"/>
  <c r="I288" i="64"/>
  <c r="AC288" i="64" s="1"/>
  <c r="I287" i="64"/>
  <c r="AC287" i="64" s="1"/>
  <c r="I286" i="64"/>
  <c r="AC286" i="64" s="1"/>
  <c r="I285" i="64"/>
  <c r="AC285" i="64" s="1"/>
  <c r="N284" i="64"/>
  <c r="O284" i="64" s="1"/>
  <c r="AE284" i="64"/>
  <c r="AE285" i="64"/>
  <c r="AE286" i="64"/>
  <c r="AE287" i="64"/>
  <c r="AE288" i="64"/>
  <c r="AE289" i="64"/>
  <c r="AE290" i="64"/>
  <c r="AE291" i="64"/>
  <c r="AE292" i="64"/>
  <c r="AE293" i="64"/>
  <c r="AD284" i="64"/>
  <c r="AD285" i="64"/>
  <c r="AD286" i="64"/>
  <c r="AD287" i="64"/>
  <c r="AD288" i="64"/>
  <c r="AD289" i="64"/>
  <c r="AD290" i="64"/>
  <c r="AD291" i="64"/>
  <c r="AD292" i="64"/>
  <c r="AD293" i="64"/>
  <c r="AB284" i="64"/>
  <c r="AB285" i="64"/>
  <c r="AB286" i="64"/>
  <c r="AB287" i="64"/>
  <c r="AB288" i="64"/>
  <c r="AB289" i="64"/>
  <c r="AB290" i="64"/>
  <c r="AB291" i="64"/>
  <c r="AB292" i="64"/>
  <c r="AB293" i="64"/>
  <c r="AA285" i="64"/>
  <c r="AA286" i="64"/>
  <c r="AA287" i="64"/>
  <c r="AA288" i="64"/>
  <c r="AA289" i="64"/>
  <c r="AA290" i="64"/>
  <c r="AA291" i="64"/>
  <c r="AA292" i="64"/>
  <c r="AA293" i="64"/>
  <c r="Q284" i="64"/>
  <c r="Q285" i="64"/>
  <c r="Q286" i="64"/>
  <c r="Q287" i="64"/>
  <c r="Q288" i="64"/>
  <c r="Q289" i="64"/>
  <c r="Q290" i="64"/>
  <c r="Q291" i="64"/>
  <c r="Q292" i="64"/>
  <c r="Q293" i="64"/>
  <c r="I284" i="64"/>
  <c r="AC284" i="64" s="1"/>
  <c r="AA284" i="64"/>
  <c r="I152" i="64"/>
  <c r="AC152" i="64" s="1"/>
  <c r="AE151" i="64"/>
  <c r="AD151" i="64"/>
  <c r="AB151" i="64"/>
  <c r="Q151" i="64"/>
  <c r="I151" i="64"/>
  <c r="AC151" i="64" s="1"/>
  <c r="AA151" i="64"/>
  <c r="I150" i="64"/>
  <c r="AC150" i="64" s="1"/>
  <c r="N150" i="64"/>
  <c r="I149" i="64"/>
  <c r="AC149" i="64" s="1"/>
  <c r="F148" i="64"/>
  <c r="N148" i="64" s="1"/>
  <c r="AE148" i="64"/>
  <c r="AE149" i="64"/>
  <c r="AE150" i="64"/>
  <c r="AE152" i="64"/>
  <c r="AD148" i="64"/>
  <c r="AD149" i="64"/>
  <c r="AD150" i="64"/>
  <c r="AD152" i="64"/>
  <c r="AB148" i="64"/>
  <c r="AB149" i="64"/>
  <c r="AB150" i="64"/>
  <c r="AB152" i="64"/>
  <c r="AA149" i="64"/>
  <c r="AA150" i="64"/>
  <c r="AA152" i="64"/>
  <c r="Q149" i="64"/>
  <c r="Q150" i="64"/>
  <c r="Q152" i="64"/>
  <c r="Q148" i="64"/>
  <c r="I148" i="64"/>
  <c r="AC148" i="64" s="1"/>
  <c r="AA148" i="64"/>
  <c r="AD163" i="64"/>
  <c r="AE163" i="64"/>
  <c r="AD164" i="64"/>
  <c r="AE164" i="64"/>
  <c r="AD165" i="64"/>
  <c r="AE165" i="64"/>
  <c r="AB163" i="64"/>
  <c r="AB164" i="64"/>
  <c r="AB165" i="64"/>
  <c r="L166" i="64"/>
  <c r="B21" i="63" s="1"/>
  <c r="Q163" i="64"/>
  <c r="Q164" i="64"/>
  <c r="Q165" i="64"/>
  <c r="N163" i="64"/>
  <c r="O163" i="64" s="1"/>
  <c r="N164" i="64"/>
  <c r="O164" i="64" s="1"/>
  <c r="N165" i="64"/>
  <c r="O165" i="64" s="1"/>
  <c r="I162" i="64"/>
  <c r="AC162" i="64" s="1"/>
  <c r="I163" i="64"/>
  <c r="AC163" i="64" s="1"/>
  <c r="I164" i="64"/>
  <c r="AC164" i="64" s="1"/>
  <c r="I165" i="64"/>
  <c r="AC165" i="64" s="1"/>
  <c r="AA165" i="64"/>
  <c r="AA164" i="64"/>
  <c r="AA163" i="64"/>
  <c r="C114" i="7"/>
  <c r="D114" i="7"/>
  <c r="E114" i="7"/>
  <c r="F114" i="7"/>
  <c r="G114" i="7"/>
  <c r="H114" i="7"/>
  <c r="I114" i="7"/>
  <c r="J114" i="7"/>
  <c r="K114" i="7"/>
  <c r="L114" i="7"/>
  <c r="M114" i="7"/>
  <c r="B114" i="7"/>
  <c r="T106" i="101"/>
  <c r="C100" i="7"/>
  <c r="D100" i="7"/>
  <c r="E100" i="7"/>
  <c r="F100" i="7"/>
  <c r="G100" i="7"/>
  <c r="H100" i="7"/>
  <c r="I100" i="7"/>
  <c r="J100" i="7"/>
  <c r="K100" i="7"/>
  <c r="L100" i="7"/>
  <c r="M100" i="7"/>
  <c r="B100" i="7"/>
  <c r="O132" i="7"/>
  <c r="C129" i="7"/>
  <c r="D129" i="7"/>
  <c r="E129" i="7"/>
  <c r="F129" i="7"/>
  <c r="G129" i="7"/>
  <c r="H129" i="7"/>
  <c r="I129" i="7"/>
  <c r="J129" i="7"/>
  <c r="K129" i="7"/>
  <c r="L129" i="7"/>
  <c r="M129" i="7"/>
  <c r="C128" i="7"/>
  <c r="D128" i="7"/>
  <c r="E128" i="7"/>
  <c r="F128" i="7"/>
  <c r="G128" i="7"/>
  <c r="H128" i="7"/>
  <c r="I128" i="7"/>
  <c r="J128" i="7"/>
  <c r="K128" i="7"/>
  <c r="L128" i="7"/>
  <c r="M128" i="7"/>
  <c r="B129" i="7"/>
  <c r="B128" i="7"/>
  <c r="C125" i="7"/>
  <c r="D125" i="7"/>
  <c r="E125" i="7"/>
  <c r="F125" i="7"/>
  <c r="G125" i="7"/>
  <c r="H125" i="7"/>
  <c r="I125" i="7"/>
  <c r="J125" i="7"/>
  <c r="K125" i="7"/>
  <c r="L125" i="7"/>
  <c r="M125" i="7"/>
  <c r="C126" i="7"/>
  <c r="D126" i="7"/>
  <c r="E126" i="7"/>
  <c r="F126" i="7"/>
  <c r="G126" i="7"/>
  <c r="H126" i="7"/>
  <c r="I126" i="7"/>
  <c r="J126" i="7"/>
  <c r="K126" i="7"/>
  <c r="L126" i="7"/>
  <c r="M126" i="7"/>
  <c r="C127" i="7"/>
  <c r="D127" i="7"/>
  <c r="E127" i="7"/>
  <c r="F127" i="7"/>
  <c r="G127" i="7"/>
  <c r="H127" i="7"/>
  <c r="I127" i="7"/>
  <c r="J127" i="7"/>
  <c r="K127" i="7"/>
  <c r="L127" i="7"/>
  <c r="M127" i="7"/>
  <c r="B127" i="7"/>
  <c r="B126" i="7"/>
  <c r="B125" i="7"/>
  <c r="C124" i="7"/>
  <c r="D124" i="7"/>
  <c r="E124" i="7"/>
  <c r="F124" i="7"/>
  <c r="G124" i="7"/>
  <c r="H124" i="7"/>
  <c r="I124" i="7"/>
  <c r="J124" i="7"/>
  <c r="K124" i="7"/>
  <c r="L124" i="7"/>
  <c r="M124" i="7"/>
  <c r="B124" i="7"/>
  <c r="C118" i="7"/>
  <c r="D118" i="7"/>
  <c r="E118" i="7"/>
  <c r="F118" i="7"/>
  <c r="G118" i="7"/>
  <c r="H118" i="7"/>
  <c r="I118" i="7"/>
  <c r="J118" i="7"/>
  <c r="K118" i="7"/>
  <c r="L118" i="7"/>
  <c r="M118" i="7"/>
  <c r="B118" i="7"/>
  <c r="C119" i="7"/>
  <c r="D119" i="7"/>
  <c r="E119" i="7"/>
  <c r="F119" i="7"/>
  <c r="G119" i="7"/>
  <c r="H119" i="7"/>
  <c r="I119" i="7"/>
  <c r="J119" i="7"/>
  <c r="K119" i="7"/>
  <c r="L119" i="7"/>
  <c r="M119" i="7"/>
  <c r="B119" i="7"/>
  <c r="C111" i="7"/>
  <c r="D111" i="7"/>
  <c r="E111" i="7"/>
  <c r="F111" i="7"/>
  <c r="G111" i="7"/>
  <c r="H111" i="7"/>
  <c r="I111" i="7"/>
  <c r="J111" i="7"/>
  <c r="K111" i="7"/>
  <c r="L111" i="7"/>
  <c r="M111" i="7"/>
  <c r="B111" i="7"/>
  <c r="C109" i="7"/>
  <c r="D109" i="7"/>
  <c r="E109" i="7"/>
  <c r="F109" i="7"/>
  <c r="G109" i="7"/>
  <c r="H109" i="7"/>
  <c r="I109" i="7"/>
  <c r="J109" i="7"/>
  <c r="K109" i="7"/>
  <c r="L109" i="7"/>
  <c r="M109" i="7"/>
  <c r="B109" i="7"/>
  <c r="C108" i="7"/>
  <c r="D108" i="7"/>
  <c r="E108" i="7"/>
  <c r="F108" i="7"/>
  <c r="G108" i="7"/>
  <c r="H108" i="7"/>
  <c r="I108" i="7"/>
  <c r="J108" i="7"/>
  <c r="K108" i="7"/>
  <c r="L108" i="7"/>
  <c r="M108" i="7"/>
  <c r="B108" i="7"/>
  <c r="C102" i="7"/>
  <c r="D102" i="7"/>
  <c r="E102" i="7"/>
  <c r="F102" i="7"/>
  <c r="G102" i="7"/>
  <c r="H102" i="7"/>
  <c r="I102" i="7"/>
  <c r="J102" i="7"/>
  <c r="K102" i="7"/>
  <c r="L102" i="7"/>
  <c r="M102" i="7"/>
  <c r="C104" i="7"/>
  <c r="D104" i="7"/>
  <c r="E104" i="7"/>
  <c r="F104" i="7"/>
  <c r="G104" i="7"/>
  <c r="H104" i="7"/>
  <c r="I104" i="7"/>
  <c r="J104" i="7"/>
  <c r="K104" i="7"/>
  <c r="L104" i="7"/>
  <c r="M104" i="7"/>
  <c r="B104" i="7"/>
  <c r="B102" i="7"/>
  <c r="C101" i="7"/>
  <c r="D101" i="7"/>
  <c r="E101" i="7"/>
  <c r="H101" i="7"/>
  <c r="I101" i="7"/>
  <c r="L101" i="7"/>
  <c r="M101" i="7"/>
  <c r="B101" i="7"/>
  <c r="C95" i="7"/>
  <c r="D95" i="7"/>
  <c r="E95" i="7"/>
  <c r="F95" i="7"/>
  <c r="G95" i="7"/>
  <c r="H95" i="7"/>
  <c r="I95" i="7"/>
  <c r="J95" i="7"/>
  <c r="K95" i="7"/>
  <c r="L95" i="7"/>
  <c r="M95" i="7"/>
  <c r="B95" i="7"/>
  <c r="C77" i="7"/>
  <c r="D77" i="7"/>
  <c r="E77" i="7"/>
  <c r="F77" i="7"/>
  <c r="G77" i="7"/>
  <c r="H77" i="7"/>
  <c r="I77" i="7"/>
  <c r="J77" i="7"/>
  <c r="K77" i="7"/>
  <c r="L77" i="7"/>
  <c r="M77" i="7"/>
  <c r="B77" i="7"/>
  <c r="C74" i="7"/>
  <c r="D74" i="7"/>
  <c r="E74" i="7"/>
  <c r="F74" i="7"/>
  <c r="G74" i="7"/>
  <c r="H74" i="7"/>
  <c r="I74" i="7"/>
  <c r="J74" i="7"/>
  <c r="K74" i="7"/>
  <c r="L74" i="7"/>
  <c r="M74" i="7"/>
  <c r="C73" i="7"/>
  <c r="D73" i="7"/>
  <c r="E73" i="7"/>
  <c r="F73" i="7"/>
  <c r="G73" i="7"/>
  <c r="H73" i="7"/>
  <c r="I73" i="7"/>
  <c r="J73" i="7"/>
  <c r="K73" i="7"/>
  <c r="L73" i="7"/>
  <c r="M73" i="7"/>
  <c r="B74" i="7"/>
  <c r="B73" i="7"/>
  <c r="C71" i="7"/>
  <c r="D71" i="7"/>
  <c r="E71" i="7"/>
  <c r="F71" i="7"/>
  <c r="G71" i="7"/>
  <c r="H71" i="7"/>
  <c r="I71" i="7"/>
  <c r="J71" i="7"/>
  <c r="K71" i="7"/>
  <c r="L71" i="7"/>
  <c r="M71" i="7"/>
  <c r="B71" i="7"/>
  <c r="C64" i="7"/>
  <c r="D64" i="7"/>
  <c r="E64" i="7"/>
  <c r="F64" i="7"/>
  <c r="G64" i="7"/>
  <c r="H64" i="7"/>
  <c r="I64" i="7"/>
  <c r="J64" i="7"/>
  <c r="K64" i="7"/>
  <c r="L64" i="7"/>
  <c r="M64" i="7"/>
  <c r="B64" i="7"/>
  <c r="C68" i="7"/>
  <c r="D68" i="7"/>
  <c r="E68" i="7"/>
  <c r="F68" i="7"/>
  <c r="G68" i="7"/>
  <c r="H68" i="7"/>
  <c r="I68" i="7"/>
  <c r="J68" i="7"/>
  <c r="K68" i="7"/>
  <c r="L68" i="7"/>
  <c r="M68" i="7"/>
  <c r="B68" i="7"/>
  <c r="C66" i="7"/>
  <c r="D66" i="7"/>
  <c r="E66" i="7"/>
  <c r="F66" i="7"/>
  <c r="G66" i="7"/>
  <c r="H66" i="7"/>
  <c r="I66" i="7"/>
  <c r="J66" i="7"/>
  <c r="K66" i="7"/>
  <c r="L66" i="7"/>
  <c r="M66" i="7"/>
  <c r="B66" i="7"/>
  <c r="C59" i="7"/>
  <c r="D59" i="7"/>
  <c r="E59" i="7"/>
  <c r="F59" i="7"/>
  <c r="G59" i="7"/>
  <c r="H59" i="7"/>
  <c r="I59" i="7"/>
  <c r="J59" i="7"/>
  <c r="K59" i="7"/>
  <c r="L59" i="7"/>
  <c r="M59" i="7"/>
  <c r="B59" i="7"/>
  <c r="C57" i="7"/>
  <c r="D57" i="7"/>
  <c r="E57" i="7"/>
  <c r="F57" i="7"/>
  <c r="G57" i="7"/>
  <c r="H57" i="7"/>
  <c r="I57" i="7"/>
  <c r="J57" i="7"/>
  <c r="K57" i="7"/>
  <c r="L57" i="7"/>
  <c r="M57" i="7"/>
  <c r="B57" i="7"/>
  <c r="C56" i="7"/>
  <c r="D56" i="7"/>
  <c r="E56" i="7"/>
  <c r="F56" i="7"/>
  <c r="G56" i="7"/>
  <c r="H56" i="7"/>
  <c r="I56" i="7"/>
  <c r="J56" i="7"/>
  <c r="K56" i="7"/>
  <c r="L56" i="7"/>
  <c r="M56" i="7"/>
  <c r="B56" i="7"/>
  <c r="C53" i="7"/>
  <c r="D53" i="7"/>
  <c r="E53" i="7"/>
  <c r="F53" i="7"/>
  <c r="G53" i="7"/>
  <c r="H53" i="7"/>
  <c r="I53" i="7"/>
  <c r="J53" i="7"/>
  <c r="K53" i="7"/>
  <c r="L53" i="7"/>
  <c r="M53" i="7"/>
  <c r="B53" i="7"/>
  <c r="C51" i="7"/>
  <c r="D51" i="7"/>
  <c r="E51" i="7"/>
  <c r="F51" i="7"/>
  <c r="G51" i="7"/>
  <c r="H51" i="7"/>
  <c r="I51" i="7"/>
  <c r="J51" i="7"/>
  <c r="K51" i="7"/>
  <c r="L51" i="7"/>
  <c r="M51" i="7"/>
  <c r="B51" i="7"/>
  <c r="C55" i="7"/>
  <c r="D55" i="7"/>
  <c r="E55" i="7"/>
  <c r="F55" i="7"/>
  <c r="G55" i="7"/>
  <c r="H55" i="7"/>
  <c r="I55" i="7"/>
  <c r="J55" i="7"/>
  <c r="K55" i="7"/>
  <c r="L55" i="7"/>
  <c r="M55" i="7"/>
  <c r="C54" i="7"/>
  <c r="D54" i="7"/>
  <c r="E54" i="7"/>
  <c r="F54" i="7"/>
  <c r="G54" i="7"/>
  <c r="H54" i="7"/>
  <c r="I54" i="7"/>
  <c r="J54" i="7"/>
  <c r="K54" i="7"/>
  <c r="L54" i="7"/>
  <c r="M54" i="7"/>
  <c r="C52" i="7"/>
  <c r="D52" i="7"/>
  <c r="E52" i="7"/>
  <c r="F52" i="7"/>
  <c r="G52" i="7"/>
  <c r="H52" i="7"/>
  <c r="I52" i="7"/>
  <c r="J52" i="7"/>
  <c r="K52" i="7"/>
  <c r="L52" i="7"/>
  <c r="M52" i="7"/>
  <c r="C50" i="7"/>
  <c r="D50" i="7"/>
  <c r="E50" i="7"/>
  <c r="F50" i="7"/>
  <c r="G50" i="7"/>
  <c r="H50" i="7"/>
  <c r="I50" i="7"/>
  <c r="J50" i="7"/>
  <c r="K50" i="7"/>
  <c r="L50" i="7"/>
  <c r="M50" i="7"/>
  <c r="C49" i="7"/>
  <c r="D49" i="7"/>
  <c r="E49" i="7"/>
  <c r="F49" i="7"/>
  <c r="G49" i="7"/>
  <c r="H49" i="7"/>
  <c r="I49" i="7"/>
  <c r="J49" i="7"/>
  <c r="K49" i="7"/>
  <c r="L49" i="7"/>
  <c r="M49" i="7"/>
  <c r="C48" i="7"/>
  <c r="D48" i="7"/>
  <c r="E48" i="7"/>
  <c r="F48" i="7"/>
  <c r="G48" i="7"/>
  <c r="H48" i="7"/>
  <c r="I48" i="7"/>
  <c r="J48" i="7"/>
  <c r="K48" i="7"/>
  <c r="L48" i="7"/>
  <c r="M48" i="7"/>
  <c r="C47" i="7"/>
  <c r="D47" i="7"/>
  <c r="E47" i="7"/>
  <c r="F47" i="7"/>
  <c r="G47" i="7"/>
  <c r="H47" i="7"/>
  <c r="I47" i="7"/>
  <c r="J47" i="7"/>
  <c r="K47" i="7"/>
  <c r="L47" i="7"/>
  <c r="M47" i="7"/>
  <c r="C46" i="7"/>
  <c r="D46" i="7"/>
  <c r="E46" i="7"/>
  <c r="F46" i="7"/>
  <c r="G46" i="7"/>
  <c r="H46" i="7"/>
  <c r="I46" i="7"/>
  <c r="J46" i="7"/>
  <c r="K46" i="7"/>
  <c r="L46" i="7"/>
  <c r="M46" i="7"/>
  <c r="C45" i="7"/>
  <c r="D45" i="7"/>
  <c r="E45" i="7"/>
  <c r="F45" i="7"/>
  <c r="G45" i="7"/>
  <c r="H45" i="7"/>
  <c r="I45" i="7"/>
  <c r="J45" i="7"/>
  <c r="K45" i="7"/>
  <c r="L45" i="7"/>
  <c r="M45" i="7"/>
  <c r="C44" i="7"/>
  <c r="D44" i="7"/>
  <c r="E44" i="7"/>
  <c r="F44" i="7"/>
  <c r="G44" i="7"/>
  <c r="H44" i="7"/>
  <c r="I44" i="7"/>
  <c r="J44" i="7"/>
  <c r="K44" i="7"/>
  <c r="L44" i="7"/>
  <c r="M44" i="7"/>
  <c r="C43" i="7"/>
  <c r="D43" i="7"/>
  <c r="D61" i="7" s="1"/>
  <c r="E43" i="7"/>
  <c r="F43" i="7"/>
  <c r="G43" i="7"/>
  <c r="H43" i="7"/>
  <c r="I43" i="7"/>
  <c r="J43" i="7"/>
  <c r="J61" i="7" s="1"/>
  <c r="K43" i="7"/>
  <c r="L43" i="7"/>
  <c r="M43" i="7"/>
  <c r="B55" i="7"/>
  <c r="B54" i="7"/>
  <c r="B52" i="7"/>
  <c r="B50" i="7"/>
  <c r="B49" i="7"/>
  <c r="B48" i="7"/>
  <c r="B47" i="7"/>
  <c r="B46" i="7"/>
  <c r="B45" i="7"/>
  <c r="B44" i="7"/>
  <c r="B43" i="7"/>
  <c r="H81" i="102"/>
  <c r="D10" i="54" s="1"/>
  <c r="G81" i="102"/>
  <c r="E10" i="54" s="1"/>
  <c r="G10" i="54" s="1"/>
  <c r="H10" i="54" s="1"/>
  <c r="H72" i="102"/>
  <c r="G72" i="102"/>
  <c r="E9" i="54" s="1"/>
  <c r="G9" i="54" s="1"/>
  <c r="H61" i="102"/>
  <c r="G61" i="102"/>
  <c r="H53" i="102"/>
  <c r="H65" i="102" s="1"/>
  <c r="H66" i="102" s="1"/>
  <c r="H73" i="102" s="1"/>
  <c r="H82" i="102" s="1"/>
  <c r="G53" i="102"/>
  <c r="G65" i="102" s="1"/>
  <c r="G66" i="102" s="1"/>
  <c r="G73" i="102" s="1"/>
  <c r="G82" i="102" s="1"/>
  <c r="H43" i="102"/>
  <c r="G43" i="102"/>
  <c r="H38" i="102"/>
  <c r="G38" i="102"/>
  <c r="H32" i="102"/>
  <c r="G32" i="102"/>
  <c r="H27" i="102"/>
  <c r="G27" i="102"/>
  <c r="H21" i="102"/>
  <c r="G21" i="102"/>
  <c r="G39" i="102" s="1"/>
  <c r="H16" i="102"/>
  <c r="G16" i="102"/>
  <c r="H10" i="102"/>
  <c r="G10" i="102"/>
  <c r="S109" i="101"/>
  <c r="R109" i="101"/>
  <c r="Q109" i="101"/>
  <c r="Q110" i="101"/>
  <c r="P109" i="101"/>
  <c r="O109" i="101"/>
  <c r="N109" i="101"/>
  <c r="M109" i="101"/>
  <c r="L109" i="101"/>
  <c r="K109" i="101"/>
  <c r="J109" i="101"/>
  <c r="I109" i="101"/>
  <c r="H109" i="101"/>
  <c r="T109" i="101" s="1"/>
  <c r="T108" i="101"/>
  <c r="T107" i="101"/>
  <c r="S104" i="101"/>
  <c r="R104" i="101"/>
  <c r="R110" i="101" s="1"/>
  <c r="Q104" i="101"/>
  <c r="P104" i="101"/>
  <c r="P110" i="101"/>
  <c r="O104" i="101"/>
  <c r="N104" i="101"/>
  <c r="N110" i="101" s="1"/>
  <c r="M104" i="101"/>
  <c r="L104" i="101"/>
  <c r="L110" i="101"/>
  <c r="K104" i="101"/>
  <c r="K110" i="101" s="1"/>
  <c r="J104" i="101"/>
  <c r="J110" i="101" s="1"/>
  <c r="I104" i="101"/>
  <c r="H104" i="101"/>
  <c r="H110" i="101"/>
  <c r="T103" i="101"/>
  <c r="T102" i="101"/>
  <c r="T101" i="101"/>
  <c r="T100" i="101"/>
  <c r="T95" i="101"/>
  <c r="T94" i="101"/>
  <c r="T93" i="101"/>
  <c r="T91" i="101"/>
  <c r="T90" i="101"/>
  <c r="T89" i="101"/>
  <c r="T88" i="101"/>
  <c r="T87" i="101"/>
  <c r="T86" i="101"/>
  <c r="T85" i="101"/>
  <c r="T84" i="101"/>
  <c r="T83" i="101"/>
  <c r="T82" i="101"/>
  <c r="T81" i="101"/>
  <c r="P80" i="101"/>
  <c r="T80" i="101" s="1"/>
  <c r="T79" i="101"/>
  <c r="T77" i="101"/>
  <c r="T76" i="101"/>
  <c r="T75" i="101"/>
  <c r="T74" i="101"/>
  <c r="T73" i="101"/>
  <c r="T72" i="101"/>
  <c r="S71" i="101"/>
  <c r="R71" i="101"/>
  <c r="Q71" i="101"/>
  <c r="P71" i="101"/>
  <c r="O71" i="101"/>
  <c r="N71" i="101"/>
  <c r="M71" i="101"/>
  <c r="L71" i="101"/>
  <c r="K71" i="101"/>
  <c r="J71" i="101"/>
  <c r="I71" i="101"/>
  <c r="H71" i="101"/>
  <c r="T70" i="101"/>
  <c r="T69" i="101"/>
  <c r="T68" i="101"/>
  <c r="T67" i="101"/>
  <c r="T66" i="101"/>
  <c r="Q64" i="101"/>
  <c r="K101" i="7" s="1"/>
  <c r="P64" i="101"/>
  <c r="J101" i="7" s="1"/>
  <c r="N64" i="101"/>
  <c r="M64" i="101"/>
  <c r="G101" i="7" s="1"/>
  <c r="L64" i="101"/>
  <c r="F101" i="7" s="1"/>
  <c r="H64" i="101"/>
  <c r="T63" i="101"/>
  <c r="T62" i="101"/>
  <c r="T60" i="101"/>
  <c r="T59" i="101"/>
  <c r="T58" i="101"/>
  <c r="T57" i="101"/>
  <c r="T56" i="101"/>
  <c r="T55" i="101"/>
  <c r="R54" i="101"/>
  <c r="L54" i="101"/>
  <c r="J54" i="101"/>
  <c r="J96" i="101" s="1"/>
  <c r="S53" i="101"/>
  <c r="S54" i="101" s="1"/>
  <c r="R53" i="101"/>
  <c r="Q53" i="101"/>
  <c r="Q54" i="101"/>
  <c r="P53" i="101"/>
  <c r="P54" i="101" s="1"/>
  <c r="O53" i="101"/>
  <c r="O54" i="101" s="1"/>
  <c r="N53" i="101"/>
  <c r="N54" i="101"/>
  <c r="M53" i="101"/>
  <c r="L53" i="101"/>
  <c r="K53" i="101"/>
  <c r="K54" i="101"/>
  <c r="J53" i="101"/>
  <c r="I53" i="101"/>
  <c r="I54" i="101" s="1"/>
  <c r="H53" i="101"/>
  <c r="T52" i="101"/>
  <c r="T51" i="101"/>
  <c r="T50" i="101"/>
  <c r="T49" i="101"/>
  <c r="T47" i="101"/>
  <c r="T46" i="101"/>
  <c r="T45" i="101"/>
  <c r="T44" i="101"/>
  <c r="T43" i="101"/>
  <c r="T42" i="101"/>
  <c r="T41" i="101"/>
  <c r="T40" i="101"/>
  <c r="T38" i="101"/>
  <c r="T37" i="101"/>
  <c r="S36" i="101"/>
  <c r="S96" i="101" s="1"/>
  <c r="S97" i="101" s="1"/>
  <c r="S111" i="101" s="1"/>
  <c r="R36" i="101"/>
  <c r="Q36" i="101"/>
  <c r="P36" i="101"/>
  <c r="O36" i="101"/>
  <c r="N36" i="101"/>
  <c r="N96" i="101" s="1"/>
  <c r="M36" i="101"/>
  <c r="L36" i="101"/>
  <c r="K36" i="101"/>
  <c r="J36" i="101"/>
  <c r="I36" i="101"/>
  <c r="H36" i="101"/>
  <c r="T35" i="101"/>
  <c r="T34" i="101"/>
  <c r="T33" i="101"/>
  <c r="T31" i="101"/>
  <c r="T30" i="101"/>
  <c r="T29" i="101"/>
  <c r="T28" i="101"/>
  <c r="T27" i="101"/>
  <c r="T26" i="101"/>
  <c r="T25" i="101"/>
  <c r="T24" i="101"/>
  <c r="N22" i="101"/>
  <c r="S21" i="101"/>
  <c r="S22" i="101" s="1"/>
  <c r="R21" i="101"/>
  <c r="R22" i="101"/>
  <c r="Q21" i="101"/>
  <c r="Q22" i="101" s="1"/>
  <c r="P21" i="101"/>
  <c r="P22" i="101" s="1"/>
  <c r="O21" i="101"/>
  <c r="O22" i="101"/>
  <c r="N21" i="101"/>
  <c r="M21" i="101"/>
  <c r="M22" i="101" s="1"/>
  <c r="L21" i="101"/>
  <c r="L22" i="101"/>
  <c r="K21" i="101"/>
  <c r="K22" i="101"/>
  <c r="J21" i="101"/>
  <c r="J22" i="101" s="1"/>
  <c r="I21" i="101"/>
  <c r="I22" i="101"/>
  <c r="H21" i="101"/>
  <c r="T20" i="101"/>
  <c r="T19" i="101"/>
  <c r="T18" i="101"/>
  <c r="T17" i="101"/>
  <c r="T15" i="101"/>
  <c r="T14" i="101"/>
  <c r="T8" i="101"/>
  <c r="T7" i="101"/>
  <c r="N13" i="17"/>
  <c r="N14" i="17"/>
  <c r="N15" i="17"/>
  <c r="N16" i="17"/>
  <c r="N17" i="17"/>
  <c r="N18" i="17"/>
  <c r="N20" i="17"/>
  <c r="N21" i="17"/>
  <c r="N22" i="17"/>
  <c r="N23" i="17"/>
  <c r="N24" i="17"/>
  <c r="N25" i="17"/>
  <c r="N26" i="17"/>
  <c r="N27" i="17"/>
  <c r="N28" i="17"/>
  <c r="N29" i="17"/>
  <c r="N30" i="17"/>
  <c r="N31" i="17"/>
  <c r="N32" i="17"/>
  <c r="N33" i="17"/>
  <c r="N34" i="17"/>
  <c r="N35" i="17"/>
  <c r="N36" i="17"/>
  <c r="N37" i="17"/>
  <c r="B38" i="17"/>
  <c r="D38" i="17"/>
  <c r="F38" i="17"/>
  <c r="J38" i="17"/>
  <c r="L38" i="17"/>
  <c r="N41" i="17"/>
  <c r="N42" i="17"/>
  <c r="N43" i="17"/>
  <c r="N44" i="17"/>
  <c r="N45" i="17"/>
  <c r="N46" i="17"/>
  <c r="N47" i="17"/>
  <c r="N49" i="17"/>
  <c r="N51" i="17"/>
  <c r="N52" i="17"/>
  <c r="N54" i="17"/>
  <c r="N56" i="17"/>
  <c r="N57" i="17"/>
  <c r="N58" i="17"/>
  <c r="N62" i="17"/>
  <c r="N71" i="17"/>
  <c r="N72" i="17"/>
  <c r="N73" i="17"/>
  <c r="N74" i="17"/>
  <c r="N75" i="17"/>
  <c r="N76" i="17"/>
  <c r="N77" i="17"/>
  <c r="N78" i="17"/>
  <c r="N81" i="17"/>
  <c r="N83" i="17"/>
  <c r="N84" i="17"/>
  <c r="N85" i="17"/>
  <c r="N86" i="17"/>
  <c r="N87" i="17"/>
  <c r="N88" i="17"/>
  <c r="N89" i="17"/>
  <c r="N90" i="17"/>
  <c r="N91" i="17"/>
  <c r="N92" i="17"/>
  <c r="N93" i="17"/>
  <c r="N94" i="17"/>
  <c r="N95" i="17"/>
  <c r="N96" i="17"/>
  <c r="N97" i="17"/>
  <c r="N98" i="17"/>
  <c r="N99" i="17"/>
  <c r="N100" i="17"/>
  <c r="N101" i="17"/>
  <c r="N102" i="17"/>
  <c r="N103" i="17"/>
  <c r="N104" i="17"/>
  <c r="N108" i="17"/>
  <c r="N79" i="17"/>
  <c r="A1" i="43"/>
  <c r="N41" i="16"/>
  <c r="N42" i="16"/>
  <c r="N43" i="16"/>
  <c r="N44" i="16"/>
  <c r="N46" i="16"/>
  <c r="N47" i="16"/>
  <c r="N48" i="16"/>
  <c r="N50" i="16"/>
  <c r="N51" i="16"/>
  <c r="N52" i="16"/>
  <c r="N53" i="16"/>
  <c r="N54" i="16"/>
  <c r="N55" i="16"/>
  <c r="N56" i="16"/>
  <c r="N57" i="16"/>
  <c r="N64" i="16"/>
  <c r="N66" i="16"/>
  <c r="N67" i="16"/>
  <c r="N68" i="16"/>
  <c r="N69" i="16"/>
  <c r="N70" i="16"/>
  <c r="N71" i="16"/>
  <c r="N72" i="16"/>
  <c r="N73" i="16"/>
  <c r="N74" i="16"/>
  <c r="N75" i="16"/>
  <c r="N76" i="16"/>
  <c r="N77" i="16"/>
  <c r="N78" i="16"/>
  <c r="N79" i="16"/>
  <c r="N80" i="16"/>
  <c r="N81" i="16"/>
  <c r="N82" i="16"/>
  <c r="N83" i="16"/>
  <c r="N84" i="16"/>
  <c r="N85" i="16"/>
  <c r="N86" i="16"/>
  <c r="N87" i="16"/>
  <c r="N88" i="16"/>
  <c r="N89" i="16"/>
  <c r="N90" i="16"/>
  <c r="N91" i="16"/>
  <c r="N92" i="16"/>
  <c r="N93" i="16"/>
  <c r="N94" i="16"/>
  <c r="N95" i="16"/>
  <c r="N96" i="16"/>
  <c r="N97" i="16"/>
  <c r="N100" i="16"/>
  <c r="N101" i="16"/>
  <c r="N102" i="16"/>
  <c r="N103" i="16"/>
  <c r="N104" i="16"/>
  <c r="N40" i="16"/>
  <c r="N36" i="16"/>
  <c r="N15" i="16"/>
  <c r="N16" i="16"/>
  <c r="N17" i="16"/>
  <c r="N18" i="16"/>
  <c r="N19" i="16"/>
  <c r="N20" i="16"/>
  <c r="N21" i="16"/>
  <c r="N22" i="16"/>
  <c r="N23" i="16"/>
  <c r="N24" i="16"/>
  <c r="N25" i="16"/>
  <c r="N26" i="16"/>
  <c r="N27" i="16"/>
  <c r="N28" i="16"/>
  <c r="N29" i="16"/>
  <c r="N30" i="16"/>
  <c r="N31" i="16"/>
  <c r="N32" i="16"/>
  <c r="N33" i="16"/>
  <c r="N34" i="16"/>
  <c r="N35" i="16"/>
  <c r="N14" i="16"/>
  <c r="N13" i="16"/>
  <c r="L37" i="16"/>
  <c r="N86" i="7"/>
  <c r="Q86" i="7" s="1"/>
  <c r="C73" i="71" s="1"/>
  <c r="N85" i="7"/>
  <c r="Q85" i="7" s="1"/>
  <c r="C72" i="71" s="1"/>
  <c r="N84" i="7"/>
  <c r="Q84" i="7" s="1"/>
  <c r="C71" i="71" s="1"/>
  <c r="N83" i="7"/>
  <c r="Q83" i="7" s="1"/>
  <c r="C70" i="71" s="1"/>
  <c r="N82" i="7"/>
  <c r="Q82" i="7" s="1"/>
  <c r="C69" i="71" s="1"/>
  <c r="N81" i="7"/>
  <c r="Q81" i="7" s="1"/>
  <c r="C68" i="71" s="1"/>
  <c r="AE92" i="64"/>
  <c r="AD92" i="64"/>
  <c r="AB92" i="64"/>
  <c r="AA92" i="64"/>
  <c r="Q92" i="64"/>
  <c r="N92" i="64"/>
  <c r="O92" i="64" s="1"/>
  <c r="I92" i="64"/>
  <c r="AC92" i="64" s="1"/>
  <c r="AE91" i="64"/>
  <c r="AD91" i="64"/>
  <c r="AB91" i="64"/>
  <c r="AA91" i="64"/>
  <c r="Q91" i="64"/>
  <c r="N91" i="64"/>
  <c r="O91" i="64" s="1"/>
  <c r="I91" i="64"/>
  <c r="AC91" i="64" s="1"/>
  <c r="AE90" i="64"/>
  <c r="AD90" i="64"/>
  <c r="AB90" i="64"/>
  <c r="AA90" i="64"/>
  <c r="Q90" i="64"/>
  <c r="N90" i="64"/>
  <c r="O90" i="64" s="1"/>
  <c r="I90" i="64"/>
  <c r="AC90" i="64" s="1"/>
  <c r="AE89" i="64"/>
  <c r="AD89" i="64"/>
  <c r="AB89" i="64"/>
  <c r="AA89" i="64"/>
  <c r="Q89" i="64"/>
  <c r="N89" i="64"/>
  <c r="O89" i="64" s="1"/>
  <c r="I89" i="64"/>
  <c r="AC89" i="64" s="1"/>
  <c r="AE88" i="64"/>
  <c r="AD88" i="64"/>
  <c r="AB88" i="64"/>
  <c r="AA88" i="64"/>
  <c r="Q88" i="64"/>
  <c r="N88" i="64"/>
  <c r="O88" i="64" s="1"/>
  <c r="I88" i="64"/>
  <c r="AC88" i="64" s="1"/>
  <c r="AE87" i="64"/>
  <c r="AD87" i="64"/>
  <c r="AB87" i="64"/>
  <c r="AA87" i="64"/>
  <c r="Q87" i="64"/>
  <c r="N87" i="64"/>
  <c r="O87" i="64" s="1"/>
  <c r="I87" i="64"/>
  <c r="AC87" i="64" s="1"/>
  <c r="AE86" i="64"/>
  <c r="AD86" i="64"/>
  <c r="AB86" i="64"/>
  <c r="AA86" i="64"/>
  <c r="Q86" i="64"/>
  <c r="N86" i="64"/>
  <c r="O86" i="64" s="1"/>
  <c r="I86" i="64"/>
  <c r="AC86" i="64" s="1"/>
  <c r="AE85" i="64"/>
  <c r="AD85" i="64"/>
  <c r="AB85" i="64"/>
  <c r="AA85" i="64"/>
  <c r="Q85" i="64"/>
  <c r="N85" i="64"/>
  <c r="O85" i="64" s="1"/>
  <c r="I85" i="64"/>
  <c r="AC85" i="64" s="1"/>
  <c r="AE84" i="64"/>
  <c r="AD84" i="64"/>
  <c r="AB84" i="64"/>
  <c r="AA84" i="64"/>
  <c r="Q84" i="64"/>
  <c r="N84" i="64"/>
  <c r="O84" i="64" s="1"/>
  <c r="I84" i="64"/>
  <c r="AC84" i="64" s="1"/>
  <c r="AE83" i="64"/>
  <c r="AD83" i="64"/>
  <c r="AB83" i="64"/>
  <c r="AA83" i="64"/>
  <c r="Q83" i="64"/>
  <c r="N83" i="64"/>
  <c r="O83" i="64" s="1"/>
  <c r="I83" i="64"/>
  <c r="AC83" i="64" s="1"/>
  <c r="AE82" i="64"/>
  <c r="AD82" i="64"/>
  <c r="AB82" i="64"/>
  <c r="AA82" i="64"/>
  <c r="Q82" i="64"/>
  <c r="N82" i="64"/>
  <c r="O82" i="64" s="1"/>
  <c r="I82" i="64"/>
  <c r="AC82" i="64" s="1"/>
  <c r="A5" i="7"/>
  <c r="AA13" i="77"/>
  <c r="AA15" i="77" s="1"/>
  <c r="AB13" i="77"/>
  <c r="AB15" i="77" s="1"/>
  <c r="AC13" i="77"/>
  <c r="AC15" i="77" s="1"/>
  <c r="AD17" i="77"/>
  <c r="Z21" i="77"/>
  <c r="AB21" i="77"/>
  <c r="AC21" i="77"/>
  <c r="AD23" i="77"/>
  <c r="Z25" i="77"/>
  <c r="Z27" i="77" s="1"/>
  <c r="AA25" i="77"/>
  <c r="AA27" i="77" s="1"/>
  <c r="AB25" i="77"/>
  <c r="AB27" i="77" s="1"/>
  <c r="AC25" i="77"/>
  <c r="AC27" i="77" s="1"/>
  <c r="AD29" i="77"/>
  <c r="Z31" i="77"/>
  <c r="Z33" i="77" s="1"/>
  <c r="AA31" i="77"/>
  <c r="AA33" i="77" s="1"/>
  <c r="AB31" i="77"/>
  <c r="AB33" i="77" s="1"/>
  <c r="AC31" i="77"/>
  <c r="AC33" i="77" s="1"/>
  <c r="AD35" i="77"/>
  <c r="Z37" i="77"/>
  <c r="Z39" i="77" s="1"/>
  <c r="AA37" i="77"/>
  <c r="AA39" i="77" s="1"/>
  <c r="AB37" i="77"/>
  <c r="AB39" i="77" s="1"/>
  <c r="AC37" i="77"/>
  <c r="AC39" i="77" s="1"/>
  <c r="AD41" i="77"/>
  <c r="Z43" i="77"/>
  <c r="Z45" i="77" s="1"/>
  <c r="AA43" i="77"/>
  <c r="AA45" i="77" s="1"/>
  <c r="AB43" i="77"/>
  <c r="AB45" i="77" s="1"/>
  <c r="AC43" i="77"/>
  <c r="AC45" i="77" s="1"/>
  <c r="AD47" i="77"/>
  <c r="Z49" i="77"/>
  <c r="AA49" i="77"/>
  <c r="AA51" i="77" s="1"/>
  <c r="AB49" i="77"/>
  <c r="AB51" i="77" s="1"/>
  <c r="AC49" i="77"/>
  <c r="AC51" i="77" s="1"/>
  <c r="AD53" i="77"/>
  <c r="Z55" i="77"/>
  <c r="Z57" i="77" s="1"/>
  <c r="AA55" i="77"/>
  <c r="AA57" i="77" s="1"/>
  <c r="AB55" i="77"/>
  <c r="AB57" i="77" s="1"/>
  <c r="AC55" i="77"/>
  <c r="AC57" i="77" s="1"/>
  <c r="AD59" i="77"/>
  <c r="Z61" i="77"/>
  <c r="Z63" i="77" s="1"/>
  <c r="AA61" i="77"/>
  <c r="AA63" i="77" s="1"/>
  <c r="AB61" i="77"/>
  <c r="AB63" i="77" s="1"/>
  <c r="AC61" i="77"/>
  <c r="AC63" i="77" s="1"/>
  <c r="AD65" i="77"/>
  <c r="Z67" i="77"/>
  <c r="Z69" i="77" s="1"/>
  <c r="AA67" i="77"/>
  <c r="AA69" i="77" s="1"/>
  <c r="AB67" i="77"/>
  <c r="AB69" i="77" s="1"/>
  <c r="AC67" i="77"/>
  <c r="AC69" i="77" s="1"/>
  <c r="AD71" i="77"/>
  <c r="Z73" i="77"/>
  <c r="Z75" i="77" s="1"/>
  <c r="AA73" i="77"/>
  <c r="AA75" i="77" s="1"/>
  <c r="AB73" i="77"/>
  <c r="AB75" i="77" s="1"/>
  <c r="AC73" i="77"/>
  <c r="AC75" i="77" s="1"/>
  <c r="AD77" i="77"/>
  <c r="Z81" i="77"/>
  <c r="AA79" i="77"/>
  <c r="AA81" i="77" s="1"/>
  <c r="AB79" i="77"/>
  <c r="AB81" i="77" s="1"/>
  <c r="AC79" i="77"/>
  <c r="AC81" i="77" s="1"/>
  <c r="H109" i="77"/>
  <c r="P18" i="49"/>
  <c r="U18" i="49" s="1"/>
  <c r="P19" i="49"/>
  <c r="U19" i="49" s="1"/>
  <c r="G22" i="49"/>
  <c r="P22" i="49"/>
  <c r="U22" i="49" s="1"/>
  <c r="G23" i="49"/>
  <c r="G24" i="49"/>
  <c r="G25" i="49"/>
  <c r="G26" i="49"/>
  <c r="G27" i="49"/>
  <c r="P27" i="49"/>
  <c r="U27" i="49" s="1"/>
  <c r="P28" i="49"/>
  <c r="U28" i="49" s="1"/>
  <c r="I12" i="26"/>
  <c r="I13" i="26"/>
  <c r="I24" i="26" s="1"/>
  <c r="I29" i="26" s="1"/>
  <c r="I14" i="26"/>
  <c r="I15" i="26"/>
  <c r="I16" i="26"/>
  <c r="I17" i="26"/>
  <c r="I18" i="26"/>
  <c r="I19" i="26"/>
  <c r="I21" i="26"/>
  <c r="I22" i="26"/>
  <c r="C24" i="26"/>
  <c r="E24" i="26"/>
  <c r="B1" i="64"/>
  <c r="I17" i="64"/>
  <c r="AC17" i="64" s="1"/>
  <c r="Q17" i="64"/>
  <c r="AB17" i="64"/>
  <c r="AD17" i="64"/>
  <c r="AE17" i="64"/>
  <c r="I18" i="64"/>
  <c r="AC18" i="64" s="1"/>
  <c r="Q18" i="64"/>
  <c r="AA18" i="64"/>
  <c r="AB18" i="64"/>
  <c r="AD18" i="64"/>
  <c r="AE18" i="64"/>
  <c r="I19" i="64"/>
  <c r="AC19" i="64" s="1"/>
  <c r="Q19" i="64"/>
  <c r="AA19" i="64"/>
  <c r="AB19" i="64"/>
  <c r="AD19" i="64"/>
  <c r="AE19" i="64"/>
  <c r="I20" i="64"/>
  <c r="AC20" i="64" s="1"/>
  <c r="Q20" i="64"/>
  <c r="AA20" i="64"/>
  <c r="AB20" i="64"/>
  <c r="AD20" i="64"/>
  <c r="AE20" i="64"/>
  <c r="I21" i="64"/>
  <c r="AC21" i="64" s="1"/>
  <c r="Q21" i="64"/>
  <c r="AA21" i="64"/>
  <c r="AB21" i="64"/>
  <c r="AD21" i="64"/>
  <c r="AE21" i="64"/>
  <c r="I22" i="64"/>
  <c r="AC22" i="64" s="1"/>
  <c r="Q22" i="64"/>
  <c r="AA22" i="64"/>
  <c r="AB22" i="64"/>
  <c r="AD22" i="64"/>
  <c r="AE22" i="64"/>
  <c r="I23" i="64"/>
  <c r="AC23" i="64" s="1"/>
  <c r="Q23" i="64"/>
  <c r="AA23" i="64"/>
  <c r="AB23" i="64"/>
  <c r="AD23" i="64"/>
  <c r="AE23" i="64"/>
  <c r="I24" i="64"/>
  <c r="AC24" i="64" s="1"/>
  <c r="Q24" i="64"/>
  <c r="AA24" i="64"/>
  <c r="AB24" i="64"/>
  <c r="AD24" i="64"/>
  <c r="AE24" i="64"/>
  <c r="I25" i="64"/>
  <c r="AC25" i="64" s="1"/>
  <c r="Q25" i="64"/>
  <c r="AA25" i="64"/>
  <c r="AB25" i="64"/>
  <c r="AD25" i="64"/>
  <c r="AE25" i="64"/>
  <c r="I26" i="64"/>
  <c r="AC26" i="64" s="1"/>
  <c r="Q26" i="64"/>
  <c r="AA26" i="64"/>
  <c r="AB26" i="64"/>
  <c r="AD26" i="64"/>
  <c r="AE26" i="64"/>
  <c r="I27" i="64"/>
  <c r="AC27" i="64" s="1"/>
  <c r="Q27" i="64"/>
  <c r="AA27" i="64"/>
  <c r="AB27" i="64"/>
  <c r="AD27" i="64"/>
  <c r="AE27" i="64"/>
  <c r="I28" i="64"/>
  <c r="AC28" i="64" s="1"/>
  <c r="Q28" i="64"/>
  <c r="AA28" i="64"/>
  <c r="AB28" i="64"/>
  <c r="AD28" i="64"/>
  <c r="AE28" i="64"/>
  <c r="I41" i="64"/>
  <c r="AC41" i="64" s="1"/>
  <c r="N41" i="64"/>
  <c r="O41" i="64" s="1"/>
  <c r="Q41" i="64"/>
  <c r="AA41" i="64"/>
  <c r="AB41" i="64"/>
  <c r="AD41" i="64"/>
  <c r="AE41" i="64"/>
  <c r="I29" i="64"/>
  <c r="AC29" i="64" s="1"/>
  <c r="Q29" i="64"/>
  <c r="AA29" i="64"/>
  <c r="AB29" i="64"/>
  <c r="AD29" i="64"/>
  <c r="AE29" i="64"/>
  <c r="I30" i="64"/>
  <c r="AC30" i="64" s="1"/>
  <c r="Q30" i="64"/>
  <c r="AA30" i="64"/>
  <c r="AB30" i="64"/>
  <c r="AD30" i="64"/>
  <c r="AE30" i="64"/>
  <c r="I31" i="64"/>
  <c r="AC31" i="64" s="1"/>
  <c r="Q31" i="64"/>
  <c r="AA31" i="64"/>
  <c r="AB31" i="64"/>
  <c r="AD31" i="64"/>
  <c r="AE31" i="64"/>
  <c r="I35" i="64"/>
  <c r="AC35" i="64" s="1"/>
  <c r="N35" i="64"/>
  <c r="O35" i="64" s="1"/>
  <c r="Q35" i="64"/>
  <c r="AA35" i="64"/>
  <c r="AB35" i="64"/>
  <c r="AD35" i="64"/>
  <c r="AE35" i="64"/>
  <c r="I36" i="64"/>
  <c r="AC36" i="64" s="1"/>
  <c r="N36" i="64"/>
  <c r="O36" i="64" s="1"/>
  <c r="Q36" i="64"/>
  <c r="AA36" i="64"/>
  <c r="AB36" i="64"/>
  <c r="AD36" i="64"/>
  <c r="AE36" i="64"/>
  <c r="I37" i="64"/>
  <c r="AC37" i="64" s="1"/>
  <c r="N37" i="64"/>
  <c r="O37" i="64" s="1"/>
  <c r="Q37" i="64"/>
  <c r="AA37" i="64"/>
  <c r="AB37" i="64"/>
  <c r="AD37" i="64"/>
  <c r="AE37" i="64"/>
  <c r="I38" i="64"/>
  <c r="AC38" i="64" s="1"/>
  <c r="N38" i="64"/>
  <c r="O38" i="64" s="1"/>
  <c r="Q38" i="64"/>
  <c r="AA38" i="64"/>
  <c r="AB38" i="64"/>
  <c r="AD38" i="64"/>
  <c r="AE38" i="64"/>
  <c r="I39" i="64"/>
  <c r="AC39" i="64" s="1"/>
  <c r="N39" i="64"/>
  <c r="O39" i="64" s="1"/>
  <c r="Q39" i="64"/>
  <c r="AA39" i="64"/>
  <c r="AB39" i="64"/>
  <c r="AD39" i="64"/>
  <c r="AE39" i="64"/>
  <c r="I40" i="64"/>
  <c r="AC40" i="64" s="1"/>
  <c r="N40" i="64"/>
  <c r="O40" i="64" s="1"/>
  <c r="Q40" i="64"/>
  <c r="AA40" i="64"/>
  <c r="AB40" i="64"/>
  <c r="AD40" i="64"/>
  <c r="AE40" i="64"/>
  <c r="I42" i="64"/>
  <c r="AC42" i="64" s="1"/>
  <c r="N42" i="64"/>
  <c r="O42" i="64" s="1"/>
  <c r="Q42" i="64"/>
  <c r="AA42" i="64"/>
  <c r="AB42" i="64"/>
  <c r="AD42" i="64"/>
  <c r="AE42" i="64"/>
  <c r="I43" i="64"/>
  <c r="AC43" i="64" s="1"/>
  <c r="N43" i="64"/>
  <c r="O43" i="64" s="1"/>
  <c r="Q43" i="64"/>
  <c r="AA43" i="64"/>
  <c r="AB43" i="64"/>
  <c r="AD43" i="64"/>
  <c r="AE43" i="64"/>
  <c r="I44" i="64"/>
  <c r="AC44" i="64" s="1"/>
  <c r="N44" i="64"/>
  <c r="O44" i="64" s="1"/>
  <c r="Q44" i="64"/>
  <c r="AA44" i="64"/>
  <c r="AB44" i="64"/>
  <c r="AD44" i="64"/>
  <c r="AE44" i="64"/>
  <c r="I48" i="64"/>
  <c r="AC48" i="64" s="1"/>
  <c r="N48" i="64"/>
  <c r="O48" i="64" s="1"/>
  <c r="Q48" i="64"/>
  <c r="AA48" i="64"/>
  <c r="AB48" i="64"/>
  <c r="AD48" i="64"/>
  <c r="AE48" i="64"/>
  <c r="I49" i="64"/>
  <c r="AC49" i="64" s="1"/>
  <c r="N49" i="64"/>
  <c r="O49" i="64" s="1"/>
  <c r="Q49" i="64"/>
  <c r="AA49" i="64"/>
  <c r="AB49" i="64"/>
  <c r="AD49" i="64"/>
  <c r="AE49" i="64"/>
  <c r="I50" i="64"/>
  <c r="AC50" i="64" s="1"/>
  <c r="N50" i="64"/>
  <c r="O50" i="64" s="1"/>
  <c r="Q50" i="64"/>
  <c r="AA50" i="64"/>
  <c r="AB50" i="64"/>
  <c r="AD50" i="64"/>
  <c r="AE50" i="64"/>
  <c r="I51" i="64"/>
  <c r="AC51" i="64" s="1"/>
  <c r="N51" i="64"/>
  <c r="O51" i="64" s="1"/>
  <c r="Q51" i="64"/>
  <c r="AA51" i="64"/>
  <c r="AB51" i="64"/>
  <c r="AD51" i="64"/>
  <c r="AE51" i="64"/>
  <c r="I52" i="64"/>
  <c r="AC52" i="64" s="1"/>
  <c r="N52" i="64"/>
  <c r="O52" i="64" s="1"/>
  <c r="Q52" i="64"/>
  <c r="AA52" i="64"/>
  <c r="AB52" i="64"/>
  <c r="AD52" i="64"/>
  <c r="AE52" i="64"/>
  <c r="I53" i="64"/>
  <c r="AC53" i="64" s="1"/>
  <c r="N53" i="64"/>
  <c r="O53" i="64" s="1"/>
  <c r="Q53" i="64"/>
  <c r="AA53" i="64"/>
  <c r="AB53" i="64"/>
  <c r="AD53" i="64"/>
  <c r="AE53" i="64"/>
  <c r="I54" i="64"/>
  <c r="AC54" i="64" s="1"/>
  <c r="N54" i="64"/>
  <c r="O54" i="64" s="1"/>
  <c r="Q54" i="64"/>
  <c r="AA54" i="64"/>
  <c r="AB54" i="64"/>
  <c r="AD54" i="64"/>
  <c r="AE54" i="64"/>
  <c r="I55" i="64"/>
  <c r="AC55" i="64" s="1"/>
  <c r="N55" i="64"/>
  <c r="O55" i="64" s="1"/>
  <c r="Q55" i="64"/>
  <c r="AA55" i="64"/>
  <c r="AB55" i="64"/>
  <c r="AD55" i="64"/>
  <c r="AE55" i="64"/>
  <c r="I56" i="64"/>
  <c r="AC56" i="64" s="1"/>
  <c r="N56" i="64"/>
  <c r="O56" i="64" s="1"/>
  <c r="Q56" i="64"/>
  <c r="AA56" i="64"/>
  <c r="AB56" i="64"/>
  <c r="AD56" i="64"/>
  <c r="AE56" i="64"/>
  <c r="I57" i="64"/>
  <c r="AC57" i="64" s="1"/>
  <c r="N57" i="64"/>
  <c r="O57" i="64" s="1"/>
  <c r="Q57" i="64"/>
  <c r="AA57" i="64"/>
  <c r="AB57" i="64"/>
  <c r="AD57" i="64"/>
  <c r="AE57" i="64"/>
  <c r="I58" i="64"/>
  <c r="AC58" i="64" s="1"/>
  <c r="N58" i="64"/>
  <c r="O58" i="64" s="1"/>
  <c r="Q58" i="64"/>
  <c r="AA58" i="64"/>
  <c r="AB58" i="64"/>
  <c r="AD58" i="64"/>
  <c r="AE58" i="64"/>
  <c r="I59" i="64"/>
  <c r="AC59" i="64" s="1"/>
  <c r="N59" i="64"/>
  <c r="O59" i="64" s="1"/>
  <c r="Q59" i="64"/>
  <c r="AA59" i="64"/>
  <c r="AB59" i="64"/>
  <c r="AD59" i="64"/>
  <c r="AE59" i="64"/>
  <c r="I60" i="64"/>
  <c r="AC60" i="64" s="1"/>
  <c r="N60" i="64"/>
  <c r="O60" i="64" s="1"/>
  <c r="Q60" i="64"/>
  <c r="AA60" i="64"/>
  <c r="AB60" i="64"/>
  <c r="AD60" i="64"/>
  <c r="AE60" i="64"/>
  <c r="I61" i="64"/>
  <c r="AC61" i="64" s="1"/>
  <c r="N61" i="64"/>
  <c r="Q61" i="64"/>
  <c r="AA61" i="64"/>
  <c r="AB61" i="64"/>
  <c r="AD61" i="64"/>
  <c r="AE61" i="64"/>
  <c r="I62" i="64"/>
  <c r="AC62" i="64" s="1"/>
  <c r="N62" i="64"/>
  <c r="O62" i="64" s="1"/>
  <c r="Q62" i="64"/>
  <c r="AA62" i="64"/>
  <c r="AB62" i="64"/>
  <c r="AD62" i="64"/>
  <c r="AE62" i="64"/>
  <c r="I63" i="64"/>
  <c r="AC63" i="64" s="1"/>
  <c r="N63" i="64"/>
  <c r="O63" i="64" s="1"/>
  <c r="Q63" i="64"/>
  <c r="AA63" i="64"/>
  <c r="AB63" i="64"/>
  <c r="AD63" i="64"/>
  <c r="AE63" i="64"/>
  <c r="I64" i="64"/>
  <c r="AC64" i="64" s="1"/>
  <c r="N64" i="64"/>
  <c r="O64" i="64" s="1"/>
  <c r="Q64" i="64"/>
  <c r="AA64" i="64"/>
  <c r="AB64" i="64"/>
  <c r="AD64" i="64"/>
  <c r="AE64" i="64"/>
  <c r="I65" i="64"/>
  <c r="AC65" i="64" s="1"/>
  <c r="N65" i="64"/>
  <c r="O65" i="64" s="1"/>
  <c r="Q65" i="64"/>
  <c r="AA65" i="64"/>
  <c r="AB65" i="64"/>
  <c r="AD65" i="64"/>
  <c r="AE65" i="64"/>
  <c r="I66" i="64"/>
  <c r="AC66" i="64" s="1"/>
  <c r="N66" i="64"/>
  <c r="O66" i="64" s="1"/>
  <c r="Q66" i="64"/>
  <c r="AA66" i="64"/>
  <c r="AB66" i="64"/>
  <c r="AD66" i="64"/>
  <c r="AE66" i="64"/>
  <c r="I67" i="64"/>
  <c r="AC67" i="64" s="1"/>
  <c r="N67" i="64"/>
  <c r="O67" i="64" s="1"/>
  <c r="Q67" i="64"/>
  <c r="AA67" i="64"/>
  <c r="AB67" i="64"/>
  <c r="AD67" i="64"/>
  <c r="AE67" i="64"/>
  <c r="I68" i="64"/>
  <c r="I69" i="64"/>
  <c r="AC69" i="64" s="1"/>
  <c r="N69" i="64"/>
  <c r="O69" i="64" s="1"/>
  <c r="Q69" i="64"/>
  <c r="AA69" i="64"/>
  <c r="AB69" i="64"/>
  <c r="AD69" i="64"/>
  <c r="AE69" i="64"/>
  <c r="I70" i="64"/>
  <c r="AC70" i="64" s="1"/>
  <c r="N70" i="64"/>
  <c r="O70" i="64" s="1"/>
  <c r="Q70" i="64"/>
  <c r="AA70" i="64"/>
  <c r="AB70" i="64"/>
  <c r="AD70" i="64"/>
  <c r="AE70" i="64"/>
  <c r="I71" i="64"/>
  <c r="AC71" i="64" s="1"/>
  <c r="N71" i="64"/>
  <c r="O71" i="64" s="1"/>
  <c r="Q71" i="64"/>
  <c r="AA71" i="64"/>
  <c r="AB71" i="64"/>
  <c r="AD71" i="64"/>
  <c r="AE71" i="64"/>
  <c r="I72" i="64"/>
  <c r="AC72" i="64" s="1"/>
  <c r="N72" i="64"/>
  <c r="O72" i="64" s="1"/>
  <c r="Q72" i="64"/>
  <c r="AA72" i="64"/>
  <c r="AB72" i="64"/>
  <c r="AD72" i="64"/>
  <c r="AE72" i="64"/>
  <c r="I73" i="64"/>
  <c r="AC73" i="64" s="1"/>
  <c r="N73" i="64"/>
  <c r="O73" i="64" s="1"/>
  <c r="Q73" i="64"/>
  <c r="AA73" i="64"/>
  <c r="AB73" i="64"/>
  <c r="AD73" i="64"/>
  <c r="AE73" i="64"/>
  <c r="I74" i="64"/>
  <c r="AC74" i="64" s="1"/>
  <c r="N74" i="64"/>
  <c r="O74" i="64" s="1"/>
  <c r="Q74" i="64"/>
  <c r="AA74" i="64"/>
  <c r="AB74" i="64"/>
  <c r="AD74" i="64"/>
  <c r="AE74" i="64"/>
  <c r="I75" i="64"/>
  <c r="AC75" i="64" s="1"/>
  <c r="N75" i="64"/>
  <c r="O75" i="64" s="1"/>
  <c r="Q75" i="64"/>
  <c r="AA75" i="64"/>
  <c r="AB75" i="64"/>
  <c r="AD75" i="64"/>
  <c r="AE75" i="64"/>
  <c r="I76" i="64"/>
  <c r="I77" i="64"/>
  <c r="AC77" i="64" s="1"/>
  <c r="N77" i="64"/>
  <c r="O77" i="64" s="1"/>
  <c r="Q77" i="64"/>
  <c r="AA77" i="64"/>
  <c r="AB77" i="64"/>
  <c r="AD77" i="64"/>
  <c r="AE77" i="64"/>
  <c r="I78" i="64"/>
  <c r="AC78" i="64" s="1"/>
  <c r="N78" i="64"/>
  <c r="O78" i="64" s="1"/>
  <c r="Q78" i="64"/>
  <c r="AA78" i="64"/>
  <c r="AB78" i="64"/>
  <c r="AD78" i="64"/>
  <c r="AE78" i="64"/>
  <c r="I79" i="64"/>
  <c r="AC79" i="64" s="1"/>
  <c r="N79" i="64"/>
  <c r="O79" i="64" s="1"/>
  <c r="Q79" i="64"/>
  <c r="AA79" i="64"/>
  <c r="AB79" i="64"/>
  <c r="AD79" i="64"/>
  <c r="AE79" i="64"/>
  <c r="I80" i="64"/>
  <c r="AC80" i="64" s="1"/>
  <c r="N80" i="64"/>
  <c r="O80" i="64" s="1"/>
  <c r="Q80" i="64"/>
  <c r="AA80" i="64"/>
  <c r="AB80" i="64"/>
  <c r="AD80" i="64"/>
  <c r="AE80" i="64"/>
  <c r="I81" i="64"/>
  <c r="I93" i="64"/>
  <c r="I94" i="64"/>
  <c r="AC94" i="64" s="1"/>
  <c r="L94" i="64"/>
  <c r="L131" i="64" s="1"/>
  <c r="Q94" i="64"/>
  <c r="AA94" i="64"/>
  <c r="AB94" i="64"/>
  <c r="AD94" i="64"/>
  <c r="AE94" i="64"/>
  <c r="I95" i="64"/>
  <c r="AC95" i="64" s="1"/>
  <c r="N95" i="64"/>
  <c r="Q95" i="64"/>
  <c r="AA95" i="64"/>
  <c r="AB95" i="64"/>
  <c r="AD95" i="64"/>
  <c r="AE95" i="64"/>
  <c r="I96" i="64"/>
  <c r="AC96" i="64" s="1"/>
  <c r="N96" i="64"/>
  <c r="O96" i="64" s="1"/>
  <c r="Q96" i="64"/>
  <c r="AA96" i="64"/>
  <c r="AB96" i="64"/>
  <c r="AD96" i="64"/>
  <c r="AE96" i="64"/>
  <c r="I97" i="64"/>
  <c r="AC97" i="64" s="1"/>
  <c r="N97" i="64"/>
  <c r="O97" i="64" s="1"/>
  <c r="Q97" i="64"/>
  <c r="AA97" i="64"/>
  <c r="AB97" i="64"/>
  <c r="AD97" i="64"/>
  <c r="AE97" i="64"/>
  <c r="I98" i="64"/>
  <c r="AC98" i="64" s="1"/>
  <c r="N98" i="64"/>
  <c r="O98" i="64" s="1"/>
  <c r="Q98" i="64"/>
  <c r="AA98" i="64"/>
  <c r="AB98" i="64"/>
  <c r="AD98" i="64"/>
  <c r="AE98" i="64"/>
  <c r="I99" i="64"/>
  <c r="AC99" i="64" s="1"/>
  <c r="N99" i="64"/>
  <c r="O99" i="64" s="1"/>
  <c r="Q99" i="64"/>
  <c r="AA99" i="64"/>
  <c r="AB99" i="64"/>
  <c r="AD99" i="64"/>
  <c r="AE99" i="64"/>
  <c r="I100" i="64"/>
  <c r="AC100" i="64" s="1"/>
  <c r="N100" i="64"/>
  <c r="O100" i="64" s="1"/>
  <c r="Q100" i="64"/>
  <c r="AA100" i="64"/>
  <c r="AB100" i="64"/>
  <c r="AD100" i="64"/>
  <c r="AE100" i="64"/>
  <c r="I101" i="64"/>
  <c r="AC101" i="64" s="1"/>
  <c r="N101" i="64"/>
  <c r="O101" i="64" s="1"/>
  <c r="Q101" i="64"/>
  <c r="AA101" i="64"/>
  <c r="AB101" i="64"/>
  <c r="AD101" i="64"/>
  <c r="AE101" i="64"/>
  <c r="I102" i="64"/>
  <c r="AC102" i="64" s="1"/>
  <c r="N102" i="64"/>
  <c r="O102" i="64" s="1"/>
  <c r="Q102" i="64"/>
  <c r="AA102" i="64"/>
  <c r="AB102" i="64"/>
  <c r="AD102" i="64"/>
  <c r="AE102" i="64"/>
  <c r="I134" i="64"/>
  <c r="AC134" i="64" s="1"/>
  <c r="Q134" i="64"/>
  <c r="AA134" i="64"/>
  <c r="AB134" i="64"/>
  <c r="AD134" i="64"/>
  <c r="AE134" i="64"/>
  <c r="I135" i="64"/>
  <c r="AC135" i="64" s="1"/>
  <c r="N135" i="64"/>
  <c r="O135" i="64" s="1"/>
  <c r="Q135" i="64"/>
  <c r="AA135" i="64"/>
  <c r="AB135" i="64"/>
  <c r="AD135" i="64"/>
  <c r="AE135" i="64"/>
  <c r="I136" i="64"/>
  <c r="AC136" i="64" s="1"/>
  <c r="N136" i="64"/>
  <c r="O136" i="64" s="1"/>
  <c r="Q136" i="64"/>
  <c r="AA136" i="64"/>
  <c r="AB136" i="64"/>
  <c r="AD136" i="64"/>
  <c r="AE136" i="64"/>
  <c r="I137" i="64"/>
  <c r="AC137" i="64" s="1"/>
  <c r="N137" i="64"/>
  <c r="O137" i="64" s="1"/>
  <c r="Q137" i="64"/>
  <c r="AA137" i="64"/>
  <c r="AB137" i="64"/>
  <c r="AD137" i="64"/>
  <c r="AE137" i="64"/>
  <c r="I138" i="64"/>
  <c r="AC138" i="64" s="1"/>
  <c r="N138" i="64"/>
  <c r="O138" i="64" s="1"/>
  <c r="Q138" i="64"/>
  <c r="AA138" i="64"/>
  <c r="AB138" i="64"/>
  <c r="AD138" i="64"/>
  <c r="AE138" i="64"/>
  <c r="I139" i="64"/>
  <c r="AC139" i="64" s="1"/>
  <c r="N139" i="64"/>
  <c r="O139" i="64" s="1"/>
  <c r="Q139" i="64"/>
  <c r="AA139" i="64"/>
  <c r="AB139" i="64"/>
  <c r="AD139" i="64"/>
  <c r="AE139" i="64"/>
  <c r="I140" i="64"/>
  <c r="AC140" i="64" s="1"/>
  <c r="N140" i="64"/>
  <c r="O140" i="64" s="1"/>
  <c r="Q140" i="64"/>
  <c r="AA140" i="64"/>
  <c r="AB140" i="64"/>
  <c r="AD140" i="64"/>
  <c r="AE140" i="64"/>
  <c r="I141" i="64"/>
  <c r="AC141" i="64" s="1"/>
  <c r="N141" i="64"/>
  <c r="O141" i="64" s="1"/>
  <c r="Q141" i="64"/>
  <c r="AA141" i="64"/>
  <c r="AB141" i="64"/>
  <c r="AD141" i="64"/>
  <c r="AE141" i="64"/>
  <c r="I142" i="64"/>
  <c r="AC142" i="64" s="1"/>
  <c r="N142" i="64"/>
  <c r="O142" i="64" s="1"/>
  <c r="Q142" i="64"/>
  <c r="AA142" i="64"/>
  <c r="AB142" i="64"/>
  <c r="AD142" i="64"/>
  <c r="AE142" i="64"/>
  <c r="I143" i="64"/>
  <c r="AC143" i="64" s="1"/>
  <c r="N143" i="64"/>
  <c r="O143" i="64" s="1"/>
  <c r="Q143" i="64"/>
  <c r="AA143" i="64"/>
  <c r="AB143" i="64"/>
  <c r="AD143" i="64"/>
  <c r="AE143" i="64"/>
  <c r="I144" i="64"/>
  <c r="AC144" i="64" s="1"/>
  <c r="N144" i="64"/>
  <c r="O144" i="64" s="1"/>
  <c r="Q144" i="64"/>
  <c r="AA144" i="64"/>
  <c r="AB144" i="64"/>
  <c r="AD144" i="64"/>
  <c r="AE144" i="64"/>
  <c r="I145" i="64"/>
  <c r="AC145" i="64" s="1"/>
  <c r="N145" i="64"/>
  <c r="O145" i="64" s="1"/>
  <c r="Q145" i="64"/>
  <c r="AA145" i="64"/>
  <c r="AB145" i="64"/>
  <c r="AD145" i="64"/>
  <c r="AE145" i="64"/>
  <c r="I146" i="64"/>
  <c r="AC146" i="64" s="1"/>
  <c r="N146" i="64"/>
  <c r="O146" i="64" s="1"/>
  <c r="Q146" i="64"/>
  <c r="AA146" i="64"/>
  <c r="AB146" i="64"/>
  <c r="AD146" i="64"/>
  <c r="AE146" i="64"/>
  <c r="I147" i="64"/>
  <c r="AC147" i="64" s="1"/>
  <c r="N147" i="64"/>
  <c r="O147" i="64" s="1"/>
  <c r="Q147" i="64"/>
  <c r="AA147" i="64"/>
  <c r="AB147" i="64"/>
  <c r="AD147" i="64"/>
  <c r="AE147" i="64"/>
  <c r="I156" i="64"/>
  <c r="AC156" i="64" s="1"/>
  <c r="N156" i="64"/>
  <c r="O156" i="64" s="1"/>
  <c r="Q156" i="64"/>
  <c r="AA156" i="64"/>
  <c r="AB156" i="64"/>
  <c r="AD156" i="64"/>
  <c r="AE156" i="64"/>
  <c r="I157" i="64"/>
  <c r="AC157" i="64" s="1"/>
  <c r="N157" i="64"/>
  <c r="O157" i="64" s="1"/>
  <c r="Q157" i="64"/>
  <c r="AA157" i="64"/>
  <c r="AB157" i="64"/>
  <c r="AD157" i="64"/>
  <c r="AE157" i="64"/>
  <c r="I158" i="64"/>
  <c r="AC158" i="64" s="1"/>
  <c r="N158" i="64"/>
  <c r="O158" i="64" s="1"/>
  <c r="Q158" i="64"/>
  <c r="AA158" i="64"/>
  <c r="AB158" i="64"/>
  <c r="AD158" i="64"/>
  <c r="AE158" i="64"/>
  <c r="I159" i="64"/>
  <c r="AC159" i="64" s="1"/>
  <c r="N159" i="64"/>
  <c r="O159" i="64" s="1"/>
  <c r="Q159" i="64"/>
  <c r="AA159" i="64"/>
  <c r="AB159" i="64"/>
  <c r="AD159" i="64"/>
  <c r="AE159" i="64"/>
  <c r="I160" i="64"/>
  <c r="AC160" i="64" s="1"/>
  <c r="N160" i="64"/>
  <c r="O160" i="64" s="1"/>
  <c r="Q160" i="64"/>
  <c r="AA160" i="64"/>
  <c r="AB160" i="64"/>
  <c r="AD160" i="64"/>
  <c r="AE160" i="64"/>
  <c r="I161" i="64"/>
  <c r="AC161" i="64" s="1"/>
  <c r="N161" i="64"/>
  <c r="O161" i="64" s="1"/>
  <c r="Q161" i="64"/>
  <c r="AA161" i="64"/>
  <c r="AB161" i="64"/>
  <c r="AD161" i="64"/>
  <c r="AE161" i="64"/>
  <c r="N162" i="64"/>
  <c r="O162" i="64" s="1"/>
  <c r="Q162" i="64"/>
  <c r="AA162" i="64"/>
  <c r="AB162" i="64"/>
  <c r="AD162" i="64"/>
  <c r="AE162" i="64"/>
  <c r="I169" i="64"/>
  <c r="AC169" i="64" s="1"/>
  <c r="N169" i="64"/>
  <c r="Q169" i="64"/>
  <c r="AA169" i="64"/>
  <c r="AB169" i="64"/>
  <c r="AD169" i="64"/>
  <c r="AE169" i="64"/>
  <c r="I170" i="64"/>
  <c r="AC170" i="64" s="1"/>
  <c r="N170" i="64"/>
  <c r="O170" i="64" s="1"/>
  <c r="Q170" i="64"/>
  <c r="AA170" i="64"/>
  <c r="AB170" i="64"/>
  <c r="AD170" i="64"/>
  <c r="AE170" i="64"/>
  <c r="I171" i="64"/>
  <c r="AC171" i="64" s="1"/>
  <c r="N171" i="64"/>
  <c r="O171" i="64" s="1"/>
  <c r="Q171" i="64"/>
  <c r="AA171" i="64"/>
  <c r="AB171" i="64"/>
  <c r="AD171" i="64"/>
  <c r="AE171" i="64"/>
  <c r="I172" i="64"/>
  <c r="AC172" i="64" s="1"/>
  <c r="N172" i="64"/>
  <c r="O172" i="64" s="1"/>
  <c r="Q172" i="64"/>
  <c r="AA172" i="64"/>
  <c r="AB172" i="64"/>
  <c r="AD172" i="64"/>
  <c r="AE172" i="64"/>
  <c r="I173" i="64"/>
  <c r="AC173" i="64" s="1"/>
  <c r="N173" i="64"/>
  <c r="O173" i="64" s="1"/>
  <c r="Q173" i="64"/>
  <c r="AA173" i="64"/>
  <c r="AB173" i="64"/>
  <c r="AD173" i="64"/>
  <c r="AE173" i="64"/>
  <c r="I174" i="64"/>
  <c r="AC174" i="64" s="1"/>
  <c r="N174" i="64"/>
  <c r="O174" i="64" s="1"/>
  <c r="Q174" i="64"/>
  <c r="AA174" i="64"/>
  <c r="AB174" i="64"/>
  <c r="AD174" i="64"/>
  <c r="AE174" i="64"/>
  <c r="I175" i="64"/>
  <c r="AC175" i="64" s="1"/>
  <c r="N175" i="64"/>
  <c r="O175" i="64" s="1"/>
  <c r="Q175" i="64"/>
  <c r="AA175" i="64"/>
  <c r="AB175" i="64"/>
  <c r="AD175" i="64"/>
  <c r="AE175" i="64"/>
  <c r="I176" i="64"/>
  <c r="AC176" i="64" s="1"/>
  <c r="N176" i="64"/>
  <c r="O176" i="64" s="1"/>
  <c r="Q176" i="64"/>
  <c r="AA176" i="64"/>
  <c r="AB176" i="64"/>
  <c r="AD176" i="64"/>
  <c r="AE176" i="64"/>
  <c r="I177" i="64"/>
  <c r="AC177" i="64" s="1"/>
  <c r="N177" i="64"/>
  <c r="O177" i="64" s="1"/>
  <c r="Q177" i="64"/>
  <c r="AA177" i="64"/>
  <c r="AB177" i="64"/>
  <c r="AD177" i="64"/>
  <c r="AE177" i="64"/>
  <c r="I178" i="64"/>
  <c r="AC178" i="64" s="1"/>
  <c r="N178" i="64"/>
  <c r="O178" i="64" s="1"/>
  <c r="Q178" i="64"/>
  <c r="AA178" i="64"/>
  <c r="AB178" i="64"/>
  <c r="AD178" i="64"/>
  <c r="AE178" i="64"/>
  <c r="I179" i="64"/>
  <c r="AC179" i="64" s="1"/>
  <c r="N179" i="64"/>
  <c r="O179" i="64" s="1"/>
  <c r="Q179" i="64"/>
  <c r="AA179" i="64"/>
  <c r="AB179" i="64"/>
  <c r="AD179" i="64"/>
  <c r="AE179" i="64"/>
  <c r="I180" i="64"/>
  <c r="AC180" i="64" s="1"/>
  <c r="N180" i="64"/>
  <c r="O180" i="64" s="1"/>
  <c r="Q180" i="64"/>
  <c r="AA180" i="64"/>
  <c r="AB180" i="64"/>
  <c r="AD180" i="64"/>
  <c r="AE180" i="64"/>
  <c r="I181" i="64"/>
  <c r="AC181" i="64" s="1"/>
  <c r="N181" i="64"/>
  <c r="O181" i="64" s="1"/>
  <c r="Q181" i="64"/>
  <c r="AA181" i="64"/>
  <c r="AB181" i="64"/>
  <c r="AD181" i="64"/>
  <c r="AE181" i="64"/>
  <c r="I182" i="64"/>
  <c r="AC182" i="64" s="1"/>
  <c r="N182" i="64"/>
  <c r="O182" i="64" s="1"/>
  <c r="Q182" i="64"/>
  <c r="AA182" i="64"/>
  <c r="AB182" i="64"/>
  <c r="AD182" i="64"/>
  <c r="AE182" i="64"/>
  <c r="I183" i="64"/>
  <c r="AC183" i="64" s="1"/>
  <c r="N183" i="64"/>
  <c r="O183" i="64" s="1"/>
  <c r="Q183" i="64"/>
  <c r="AA183" i="64"/>
  <c r="AB183" i="64"/>
  <c r="AD183" i="64"/>
  <c r="AE183" i="64"/>
  <c r="I184" i="64"/>
  <c r="AC184" i="64" s="1"/>
  <c r="N184" i="64"/>
  <c r="O184" i="64" s="1"/>
  <c r="Q184" i="64"/>
  <c r="AA184" i="64"/>
  <c r="AB184" i="64"/>
  <c r="AD184" i="64"/>
  <c r="AE184" i="64"/>
  <c r="I185" i="64"/>
  <c r="AC185" i="64" s="1"/>
  <c r="N185" i="64"/>
  <c r="O185" i="64" s="1"/>
  <c r="Q185" i="64"/>
  <c r="AA185" i="64"/>
  <c r="AB185" i="64"/>
  <c r="AD185" i="64"/>
  <c r="AE185" i="64"/>
  <c r="I186" i="64"/>
  <c r="AC186" i="64" s="1"/>
  <c r="N186" i="64"/>
  <c r="O186" i="64" s="1"/>
  <c r="Q186" i="64"/>
  <c r="AA186" i="64"/>
  <c r="AB186" i="64"/>
  <c r="AD186" i="64"/>
  <c r="AE186" i="64"/>
  <c r="I187" i="64"/>
  <c r="AC187" i="64" s="1"/>
  <c r="N187" i="64"/>
  <c r="O187" i="64" s="1"/>
  <c r="Q187" i="64"/>
  <c r="AA187" i="64"/>
  <c r="AB187" i="64"/>
  <c r="AD187" i="64"/>
  <c r="AE187" i="64"/>
  <c r="I188" i="64"/>
  <c r="AC188" i="64" s="1"/>
  <c r="N188" i="64"/>
  <c r="O188" i="64" s="1"/>
  <c r="Q188" i="64"/>
  <c r="AA188" i="64"/>
  <c r="AB188" i="64"/>
  <c r="AD188" i="64"/>
  <c r="AE188" i="64"/>
  <c r="I189" i="64"/>
  <c r="AC189" i="64" s="1"/>
  <c r="N189" i="64"/>
  <c r="O189" i="64" s="1"/>
  <c r="Q189" i="64"/>
  <c r="AA189" i="64"/>
  <c r="AB189" i="64"/>
  <c r="AD189" i="64"/>
  <c r="AE189" i="64"/>
  <c r="I190" i="64"/>
  <c r="AC190" i="64" s="1"/>
  <c r="N190" i="64"/>
  <c r="O190" i="64" s="1"/>
  <c r="Q190" i="64"/>
  <c r="AA190" i="64"/>
  <c r="AB190" i="64"/>
  <c r="AD190" i="64"/>
  <c r="AE190" i="64"/>
  <c r="I191" i="64"/>
  <c r="AC191" i="64" s="1"/>
  <c r="N191" i="64"/>
  <c r="O191" i="64" s="1"/>
  <c r="Q191" i="64"/>
  <c r="AA191" i="64"/>
  <c r="AB191" i="64"/>
  <c r="AD191" i="64"/>
  <c r="AE191" i="64"/>
  <c r="I192" i="64"/>
  <c r="AC192" i="64" s="1"/>
  <c r="N192" i="64"/>
  <c r="O192" i="64" s="1"/>
  <c r="Q192" i="64"/>
  <c r="AA192" i="64"/>
  <c r="AB192" i="64"/>
  <c r="AD192" i="64"/>
  <c r="AE192" i="64"/>
  <c r="I193" i="64"/>
  <c r="AC193" i="64" s="1"/>
  <c r="N193" i="64"/>
  <c r="O193" i="64" s="1"/>
  <c r="Q193" i="64"/>
  <c r="AA193" i="64"/>
  <c r="AB193" i="64"/>
  <c r="AD193" i="64"/>
  <c r="AE193" i="64"/>
  <c r="I194" i="64"/>
  <c r="AC194" i="64" s="1"/>
  <c r="N194" i="64"/>
  <c r="O194" i="64" s="1"/>
  <c r="Q194" i="64"/>
  <c r="AA194" i="64"/>
  <c r="AB194" i="64"/>
  <c r="AD194" i="64"/>
  <c r="AE194" i="64"/>
  <c r="I195" i="64"/>
  <c r="AC195" i="64" s="1"/>
  <c r="N195" i="64"/>
  <c r="O195" i="64" s="1"/>
  <c r="Q195" i="64"/>
  <c r="AA195" i="64"/>
  <c r="AB195" i="64"/>
  <c r="AD195" i="64"/>
  <c r="AE195" i="64"/>
  <c r="I196" i="64"/>
  <c r="AC196" i="64" s="1"/>
  <c r="N196" i="64"/>
  <c r="O196" i="64" s="1"/>
  <c r="Q196" i="64"/>
  <c r="AA196" i="64"/>
  <c r="AB196" i="64"/>
  <c r="AD196" i="64"/>
  <c r="AE196" i="64"/>
  <c r="I197" i="64"/>
  <c r="AC197" i="64" s="1"/>
  <c r="N197" i="64"/>
  <c r="O197" i="64" s="1"/>
  <c r="Q197" i="64"/>
  <c r="AA197" i="64"/>
  <c r="AB197" i="64"/>
  <c r="AD197" i="64"/>
  <c r="AE197" i="64"/>
  <c r="I254" i="64"/>
  <c r="AC254" i="64" s="1"/>
  <c r="N254" i="64"/>
  <c r="Q254" i="64"/>
  <c r="AA254" i="64"/>
  <c r="AB254" i="64"/>
  <c r="AD254" i="64"/>
  <c r="AE254" i="64"/>
  <c r="I255" i="64"/>
  <c r="AC255" i="64" s="1"/>
  <c r="N255" i="64"/>
  <c r="O255" i="64" s="1"/>
  <c r="Q255" i="64"/>
  <c r="AA255" i="64"/>
  <c r="AB255" i="64"/>
  <c r="AD255" i="64"/>
  <c r="AE255" i="64"/>
  <c r="I256" i="64"/>
  <c r="AC256" i="64" s="1"/>
  <c r="N256" i="64"/>
  <c r="O256" i="64" s="1"/>
  <c r="Q256" i="64"/>
  <c r="AA256" i="64"/>
  <c r="AB256" i="64"/>
  <c r="AD256" i="64"/>
  <c r="AE256" i="64"/>
  <c r="I257" i="64"/>
  <c r="AC257" i="64" s="1"/>
  <c r="N257" i="64"/>
  <c r="O257" i="64" s="1"/>
  <c r="Q257" i="64"/>
  <c r="AA257" i="64"/>
  <c r="AB257" i="64"/>
  <c r="AD257" i="64"/>
  <c r="AE257" i="64"/>
  <c r="I258" i="64"/>
  <c r="AC258" i="64" s="1"/>
  <c r="N258" i="64"/>
  <c r="O258" i="64" s="1"/>
  <c r="Q258" i="64"/>
  <c r="AA258" i="64"/>
  <c r="AB258" i="64"/>
  <c r="AD258" i="64"/>
  <c r="AE258" i="64"/>
  <c r="I259" i="64"/>
  <c r="AC259" i="64" s="1"/>
  <c r="N259" i="64"/>
  <c r="O259" i="64" s="1"/>
  <c r="Q259" i="64"/>
  <c r="AA259" i="64"/>
  <c r="AB259" i="64"/>
  <c r="AD259" i="64"/>
  <c r="AE259" i="64"/>
  <c r="I260" i="64"/>
  <c r="AC260" i="64" s="1"/>
  <c r="N260" i="64"/>
  <c r="O260" i="64" s="1"/>
  <c r="Q260" i="64"/>
  <c r="AA260" i="64"/>
  <c r="AB260" i="64"/>
  <c r="AD260" i="64"/>
  <c r="AE260" i="64"/>
  <c r="I261" i="64"/>
  <c r="AC261" i="64" s="1"/>
  <c r="N261" i="64"/>
  <c r="O261" i="64" s="1"/>
  <c r="Q261" i="64"/>
  <c r="AA261" i="64"/>
  <c r="AB261" i="64"/>
  <c r="AD261" i="64"/>
  <c r="AE261" i="64"/>
  <c r="I262" i="64"/>
  <c r="AC262" i="64" s="1"/>
  <c r="N262" i="64"/>
  <c r="O262" i="64" s="1"/>
  <c r="Q262" i="64"/>
  <c r="AA262" i="64"/>
  <c r="AB262" i="64"/>
  <c r="AD262" i="64"/>
  <c r="AE262" i="64"/>
  <c r="I263" i="64"/>
  <c r="AC263" i="64" s="1"/>
  <c r="N263" i="64"/>
  <c r="O263" i="64" s="1"/>
  <c r="Q263" i="64"/>
  <c r="AA263" i="64"/>
  <c r="AB263" i="64"/>
  <c r="AD263" i="64"/>
  <c r="AE263" i="64"/>
  <c r="I264" i="64"/>
  <c r="AC264" i="64" s="1"/>
  <c r="N264" i="64"/>
  <c r="O264" i="64" s="1"/>
  <c r="Q264" i="64"/>
  <c r="AA264" i="64"/>
  <c r="AB264" i="64"/>
  <c r="AD264" i="64"/>
  <c r="AE264" i="64"/>
  <c r="I265" i="64"/>
  <c r="AC265" i="64" s="1"/>
  <c r="N265" i="64"/>
  <c r="O265" i="64" s="1"/>
  <c r="Q265" i="64"/>
  <c r="AA265" i="64"/>
  <c r="AB265" i="64"/>
  <c r="AD265" i="64"/>
  <c r="AE265" i="64"/>
  <c r="I266" i="64"/>
  <c r="AC266" i="64" s="1"/>
  <c r="N266" i="64"/>
  <c r="O266" i="64" s="1"/>
  <c r="Q266" i="64"/>
  <c r="AA266" i="64"/>
  <c r="AB266" i="64"/>
  <c r="AD266" i="64"/>
  <c r="AE266" i="64"/>
  <c r="I267" i="64"/>
  <c r="AC267" i="64" s="1"/>
  <c r="N267" i="64"/>
  <c r="O267" i="64" s="1"/>
  <c r="Q267" i="64"/>
  <c r="AA267" i="64"/>
  <c r="AB267" i="64"/>
  <c r="AD267" i="64"/>
  <c r="AE267" i="64"/>
  <c r="I268" i="64"/>
  <c r="AC268" i="64" s="1"/>
  <c r="N268" i="64"/>
  <c r="O268" i="64" s="1"/>
  <c r="Q268" i="64"/>
  <c r="AA268" i="64"/>
  <c r="AB268" i="64"/>
  <c r="AD268" i="64"/>
  <c r="AE268" i="64"/>
  <c r="I269" i="64"/>
  <c r="AC269" i="64" s="1"/>
  <c r="N269" i="64"/>
  <c r="O269" i="64" s="1"/>
  <c r="Q269" i="64"/>
  <c r="AA269" i="64"/>
  <c r="AB269" i="64"/>
  <c r="AD269" i="64"/>
  <c r="AE269" i="64"/>
  <c r="I270" i="64"/>
  <c r="AC270" i="64" s="1"/>
  <c r="N270" i="64"/>
  <c r="O270" i="64" s="1"/>
  <c r="Q270" i="64"/>
  <c r="AA270" i="64"/>
  <c r="AB270" i="64"/>
  <c r="AD270" i="64"/>
  <c r="AE270" i="64"/>
  <c r="I271" i="64"/>
  <c r="AC271" i="64" s="1"/>
  <c r="N271" i="64"/>
  <c r="O271" i="64" s="1"/>
  <c r="Q271" i="64"/>
  <c r="AA271" i="64"/>
  <c r="AB271" i="64"/>
  <c r="AD271" i="64"/>
  <c r="AE271" i="64"/>
  <c r="I272" i="64"/>
  <c r="AC272" i="64" s="1"/>
  <c r="N272" i="64"/>
  <c r="O272" i="64" s="1"/>
  <c r="Q272" i="64"/>
  <c r="AA272" i="64"/>
  <c r="AB272" i="64"/>
  <c r="AD272" i="64"/>
  <c r="AE272" i="64"/>
  <c r="I273" i="64"/>
  <c r="AC273" i="64" s="1"/>
  <c r="N273" i="64"/>
  <c r="O273" i="64" s="1"/>
  <c r="Q273" i="64"/>
  <c r="AA273" i="64"/>
  <c r="AB273" i="64"/>
  <c r="AD273" i="64"/>
  <c r="AE273" i="64"/>
  <c r="I274" i="64"/>
  <c r="AC274" i="64" s="1"/>
  <c r="N274" i="64"/>
  <c r="O274" i="64" s="1"/>
  <c r="Q274" i="64"/>
  <c r="AA274" i="64"/>
  <c r="AB274" i="64"/>
  <c r="AD274" i="64"/>
  <c r="AE274" i="64"/>
  <c r="I275" i="64"/>
  <c r="AC275" i="64" s="1"/>
  <c r="N275" i="64"/>
  <c r="O275" i="64" s="1"/>
  <c r="Q275" i="64"/>
  <c r="AA275" i="64"/>
  <c r="AB275" i="64"/>
  <c r="AD275" i="64"/>
  <c r="AE275" i="64"/>
  <c r="I276" i="64"/>
  <c r="AC276" i="64" s="1"/>
  <c r="N276" i="64"/>
  <c r="O276" i="64" s="1"/>
  <c r="Q276" i="64"/>
  <c r="AA276" i="64"/>
  <c r="AB276" i="64"/>
  <c r="AD276" i="64"/>
  <c r="AE276" i="64"/>
  <c r="I277" i="64"/>
  <c r="AC277" i="64" s="1"/>
  <c r="N277" i="64"/>
  <c r="O277" i="64" s="1"/>
  <c r="Q277" i="64"/>
  <c r="AA277" i="64"/>
  <c r="AB277" i="64"/>
  <c r="AD277" i="64"/>
  <c r="AE277" i="64"/>
  <c r="I278" i="64"/>
  <c r="AC278" i="64" s="1"/>
  <c r="N278" i="64"/>
  <c r="O278" i="64" s="1"/>
  <c r="Q278" i="64"/>
  <c r="AA278" i="64"/>
  <c r="AB278" i="64"/>
  <c r="AD278" i="64"/>
  <c r="AE278" i="64"/>
  <c r="I279" i="64"/>
  <c r="AC279" i="64" s="1"/>
  <c r="N279" i="64"/>
  <c r="O279" i="64" s="1"/>
  <c r="Q279" i="64"/>
  <c r="AA279" i="64"/>
  <c r="AB279" i="64"/>
  <c r="AD279" i="64"/>
  <c r="AE279" i="64"/>
  <c r="I280" i="64"/>
  <c r="AC280" i="64" s="1"/>
  <c r="N280" i="64"/>
  <c r="O280" i="64" s="1"/>
  <c r="Q280" i="64"/>
  <c r="AA280" i="64"/>
  <c r="AB280" i="64"/>
  <c r="AD280" i="64"/>
  <c r="AE280" i="64"/>
  <c r="I281" i="64"/>
  <c r="AC281" i="64" s="1"/>
  <c r="N281" i="64"/>
  <c r="O281" i="64" s="1"/>
  <c r="Q281" i="64"/>
  <c r="AA281" i="64"/>
  <c r="AB281" i="64"/>
  <c r="AD281" i="64"/>
  <c r="AE281" i="64"/>
  <c r="I282" i="64"/>
  <c r="AC282" i="64" s="1"/>
  <c r="N282" i="64"/>
  <c r="O282" i="64" s="1"/>
  <c r="Q282" i="64"/>
  <c r="AA282" i="64"/>
  <c r="AB282" i="64"/>
  <c r="AD282" i="64"/>
  <c r="AE282" i="64"/>
  <c r="I283" i="64"/>
  <c r="AC283" i="64" s="1"/>
  <c r="N283" i="64"/>
  <c r="O283" i="64" s="1"/>
  <c r="Q283" i="64"/>
  <c r="AA283" i="64"/>
  <c r="AB283" i="64"/>
  <c r="AD283" i="64"/>
  <c r="AE283" i="64"/>
  <c r="N12" i="7"/>
  <c r="N13" i="7"/>
  <c r="Q13" i="7" s="1"/>
  <c r="C13" i="71" s="1"/>
  <c r="D13" i="71" s="1"/>
  <c r="N14" i="7"/>
  <c r="Q14" i="7" s="1"/>
  <c r="C14" i="71" s="1"/>
  <c r="F14" i="71" s="1"/>
  <c r="K14" i="71" s="1"/>
  <c r="N14" i="71" s="1"/>
  <c r="N15" i="7"/>
  <c r="Q15" i="7" s="1"/>
  <c r="C15" i="71" s="1"/>
  <c r="D15" i="71" s="1"/>
  <c r="N16" i="7"/>
  <c r="Q16" i="7" s="1"/>
  <c r="C16" i="71" s="1"/>
  <c r="N17" i="7"/>
  <c r="Q17" i="7" s="1"/>
  <c r="C17" i="71" s="1"/>
  <c r="D17" i="71" s="1"/>
  <c r="N18" i="7"/>
  <c r="Q18" i="7" s="1"/>
  <c r="N19" i="7"/>
  <c r="Q19" i="7" s="1"/>
  <c r="D19" i="71" s="1"/>
  <c r="N20" i="7"/>
  <c r="Q20" i="7" s="1"/>
  <c r="N21" i="7"/>
  <c r="Q21" i="7" s="1"/>
  <c r="C21" i="71" s="1"/>
  <c r="D21" i="71" s="1"/>
  <c r="Q24" i="7"/>
  <c r="C24" i="71" s="1"/>
  <c r="F24" i="71" s="1"/>
  <c r="K24" i="71" s="1"/>
  <c r="N24" i="71" s="1"/>
  <c r="Q25" i="7"/>
  <c r="C25" i="71" s="1"/>
  <c r="N26" i="7"/>
  <c r="Q26" i="7" s="1"/>
  <c r="C26" i="71" s="1"/>
  <c r="F26" i="71" s="1"/>
  <c r="K26" i="71" s="1"/>
  <c r="N26" i="71" s="1"/>
  <c r="N27" i="7"/>
  <c r="N28" i="7"/>
  <c r="Q28" i="7" s="1"/>
  <c r="N29" i="7"/>
  <c r="Q29" i="7" s="1"/>
  <c r="C29" i="71" s="1"/>
  <c r="N30" i="7"/>
  <c r="Q30" i="7" s="1"/>
  <c r="N31" i="7"/>
  <c r="Q31" i="7" s="1"/>
  <c r="C31" i="71" s="1"/>
  <c r="D31" i="71" s="1"/>
  <c r="N32" i="7"/>
  <c r="Q32" i="7" s="1"/>
  <c r="C32" i="71" s="1"/>
  <c r="F32" i="71" s="1"/>
  <c r="K32" i="71" s="1"/>
  <c r="N32" i="71" s="1"/>
  <c r="N33" i="7"/>
  <c r="Q33" i="7" s="1"/>
  <c r="N34" i="7"/>
  <c r="Q34" i="7" s="1"/>
  <c r="C34" i="71" s="1"/>
  <c r="F34" i="71" s="1"/>
  <c r="K34" i="71" s="1"/>
  <c r="N34" i="71" s="1"/>
  <c r="N35" i="7"/>
  <c r="Q35" i="7" s="1"/>
  <c r="C35" i="71" s="1"/>
  <c r="D35" i="71" s="1"/>
  <c r="Q36" i="7"/>
  <c r="Q38" i="7"/>
  <c r="Q39" i="7"/>
  <c r="C42" i="71" s="1"/>
  <c r="K57" i="71"/>
  <c r="A12" i="20"/>
  <c r="H13" i="20"/>
  <c r="H14" i="20"/>
  <c r="H15" i="20"/>
  <c r="H16" i="20"/>
  <c r="H17" i="20"/>
  <c r="H18" i="20"/>
  <c r="H19" i="20"/>
  <c r="H20" i="20"/>
  <c r="H21" i="20"/>
  <c r="H22" i="20"/>
  <c r="H23" i="20"/>
  <c r="H24" i="20"/>
  <c r="H25" i="20"/>
  <c r="H26" i="20"/>
  <c r="H27" i="20"/>
  <c r="H28" i="20"/>
  <c r="H29" i="20"/>
  <c r="H30" i="20"/>
  <c r="H31" i="20"/>
  <c r="H32" i="20"/>
  <c r="H33" i="20"/>
  <c r="H34" i="20"/>
  <c r="H35" i="20"/>
  <c r="H36" i="20"/>
  <c r="B37" i="20"/>
  <c r="D37" i="20"/>
  <c r="F37" i="20"/>
  <c r="A39" i="20"/>
  <c r="H40" i="20"/>
  <c r="H41" i="20"/>
  <c r="H42" i="20"/>
  <c r="H43" i="20"/>
  <c r="H44" i="20"/>
  <c r="H45" i="20"/>
  <c r="H46" i="20"/>
  <c r="H47" i="20"/>
  <c r="H49" i="20"/>
  <c r="H50" i="20"/>
  <c r="H51" i="20"/>
  <c r="H53" i="20"/>
  <c r="H54" i="20"/>
  <c r="H66" i="20"/>
  <c r="H67" i="20"/>
  <c r="H68" i="20"/>
  <c r="H69" i="20"/>
  <c r="H70" i="20"/>
  <c r="H71" i="20"/>
  <c r="H72" i="20"/>
  <c r="H73" i="20"/>
  <c r="H74" i="20"/>
  <c r="H75" i="20"/>
  <c r="H76" i="20"/>
  <c r="H77" i="20"/>
  <c r="H78" i="20"/>
  <c r="H79" i="20"/>
  <c r="H80" i="20"/>
  <c r="H81" i="20"/>
  <c r="H82" i="20"/>
  <c r="H83" i="20"/>
  <c r="H84" i="20"/>
  <c r="H85" i="20"/>
  <c r="H86" i="20"/>
  <c r="H87" i="20"/>
  <c r="H88" i="20"/>
  <c r="H89" i="20"/>
  <c r="H90" i="20"/>
  <c r="H91" i="20"/>
  <c r="H92" i="20"/>
  <c r="H93" i="20"/>
  <c r="H94" i="20"/>
  <c r="H95" i="20"/>
  <c r="H96" i="20"/>
  <c r="H97" i="20"/>
  <c r="H98" i="20"/>
  <c r="H99" i="20"/>
  <c r="H100" i="20"/>
  <c r="H101" i="20"/>
  <c r="H102" i="20"/>
  <c r="H103" i="20"/>
  <c r="H104" i="20"/>
  <c r="H105" i="20"/>
  <c r="F106" i="20"/>
  <c r="F108" i="20" s="1"/>
  <c r="A5" i="16"/>
  <c r="A6" i="16"/>
  <c r="A12" i="16"/>
  <c r="A12" i="17" s="1"/>
  <c r="B37" i="16"/>
  <c r="D37" i="16"/>
  <c r="F37" i="16"/>
  <c r="H37" i="16"/>
  <c r="J37" i="16"/>
  <c r="A39" i="16"/>
  <c r="A40" i="17" s="1"/>
  <c r="D37" i="71"/>
  <c r="F37" i="71" s="1"/>
  <c r="K37" i="71" s="1"/>
  <c r="N37" i="71" s="1"/>
  <c r="H45" i="71"/>
  <c r="I45" i="71"/>
  <c r="I20" i="26"/>
  <c r="G24" i="26"/>
  <c r="Q27" i="7"/>
  <c r="C27" i="71" s="1"/>
  <c r="F27" i="71" s="1"/>
  <c r="K27" i="71" s="1"/>
  <c r="N27" i="71" s="1"/>
  <c r="G17" i="102"/>
  <c r="G44" i="102"/>
  <c r="H17" i="102"/>
  <c r="H39" i="102"/>
  <c r="H44" i="102" s="1"/>
  <c r="T36" i="101"/>
  <c r="N97" i="101"/>
  <c r="N111" i="101"/>
  <c r="T71" i="101"/>
  <c r="P96" i="101"/>
  <c r="P97" i="101" s="1"/>
  <c r="P111" i="101"/>
  <c r="T53" i="101"/>
  <c r="M110" i="101"/>
  <c r="S110" i="101"/>
  <c r="T21" i="101"/>
  <c r="H22" i="101"/>
  <c r="I96" i="101"/>
  <c r="I97" i="101" s="1"/>
  <c r="I111" i="101" s="1"/>
  <c r="O96" i="101"/>
  <c r="L96" i="101"/>
  <c r="L97" i="101" s="1"/>
  <c r="L111" i="101" s="1"/>
  <c r="T104" i="101"/>
  <c r="O97" i="101"/>
  <c r="O111" i="101" s="1"/>
  <c r="R96" i="101"/>
  <c r="R97" i="101" s="1"/>
  <c r="R111" i="101" s="1"/>
  <c r="I110" i="101"/>
  <c r="O110" i="101"/>
  <c r="T110" i="101"/>
  <c r="Q96" i="101"/>
  <c r="Q97" i="101"/>
  <c r="Q111" i="101" s="1"/>
  <c r="T22" i="101"/>
  <c r="K96" i="101"/>
  <c r="K97" i="101"/>
  <c r="K111" i="101" s="1"/>
  <c r="H54" i="101"/>
  <c r="H96" i="101" s="1"/>
  <c r="T64" i="101"/>
  <c r="D28" i="18"/>
  <c r="Z51" i="77"/>
  <c r="D31" i="19"/>
  <c r="D33" i="19" s="1"/>
  <c r="F10" i="54"/>
  <c r="P24" i="49"/>
  <c r="U24" i="49" s="1"/>
  <c r="E20" i="21"/>
  <c r="E18" i="21"/>
  <c r="E21" i="21"/>
  <c r="E19" i="21"/>
  <c r="B17" i="63"/>
  <c r="N130" i="7" l="1"/>
  <c r="Q130" i="7" s="1"/>
  <c r="C118" i="71" s="1"/>
  <c r="H27" i="63" s="1"/>
  <c r="C18" i="71"/>
  <c r="F18" i="71" s="1"/>
  <c r="Q12" i="7"/>
  <c r="I61" i="7"/>
  <c r="I133" i="7" s="1"/>
  <c r="N72" i="7"/>
  <c r="Q72" i="7" s="1"/>
  <c r="C58" i="71" s="1"/>
  <c r="N75" i="7"/>
  <c r="Q75" i="7" s="1"/>
  <c r="C62" i="71" s="1"/>
  <c r="N78" i="7"/>
  <c r="Q78" i="7" s="1"/>
  <c r="C65" i="71" s="1"/>
  <c r="N88" i="7"/>
  <c r="Q88" i="7" s="1"/>
  <c r="C75" i="71" s="1"/>
  <c r="D75" i="71" s="1"/>
  <c r="F75" i="71" s="1"/>
  <c r="N98" i="7"/>
  <c r="Q98" i="7" s="1"/>
  <c r="C85" i="71" s="1"/>
  <c r="H61" i="7"/>
  <c r="H135" i="7" s="1"/>
  <c r="N68" i="7"/>
  <c r="Q68" i="7" s="1"/>
  <c r="C52" i="71" s="1"/>
  <c r="F52" i="71" s="1"/>
  <c r="N99" i="7"/>
  <c r="Q99" i="7" s="1"/>
  <c r="C86" i="71" s="1"/>
  <c r="M61" i="7"/>
  <c r="G61" i="7"/>
  <c r="L61" i="7"/>
  <c r="F61" i="7"/>
  <c r="F135" i="7" s="1"/>
  <c r="K61" i="7"/>
  <c r="E61" i="7"/>
  <c r="N37" i="16"/>
  <c r="O148" i="64"/>
  <c r="D106" i="17"/>
  <c r="N82" i="17"/>
  <c r="D72" i="71"/>
  <c r="F72" i="71" s="1"/>
  <c r="D73" i="71"/>
  <c r="F73" i="71" s="1"/>
  <c r="D94" i="71"/>
  <c r="F94" i="71" s="1"/>
  <c r="K94" i="71" s="1"/>
  <c r="N94" i="71" s="1"/>
  <c r="E12" i="21"/>
  <c r="F12" i="21" s="1"/>
  <c r="B56" i="20" s="1"/>
  <c r="H65" i="71" s="1"/>
  <c r="D65" i="71"/>
  <c r="F65" i="71" s="1"/>
  <c r="D68" i="71"/>
  <c r="F68" i="71" s="1"/>
  <c r="D71" i="71"/>
  <c r="F71" i="71" s="1"/>
  <c r="D69" i="71"/>
  <c r="F69" i="71" s="1"/>
  <c r="U72" i="105"/>
  <c r="D22" i="19"/>
  <c r="F22" i="19" s="1"/>
  <c r="B69" i="17" s="1"/>
  <c r="L78" i="71" s="1"/>
  <c r="N78" i="71" s="1"/>
  <c r="D70" i="71"/>
  <c r="F70" i="71" s="1"/>
  <c r="F16" i="71"/>
  <c r="K16" i="71" s="1"/>
  <c r="N16" i="71" s="1"/>
  <c r="C316" i="64"/>
  <c r="C318" i="64" s="1"/>
  <c r="C310" i="64"/>
  <c r="C312" i="64" s="1"/>
  <c r="N36" i="49"/>
  <c r="P20" i="49"/>
  <c r="O30" i="49"/>
  <c r="P292" i="64"/>
  <c r="R292" i="64" s="1"/>
  <c r="U327" i="64"/>
  <c r="V327" i="64" s="1"/>
  <c r="X327" i="64" s="1"/>
  <c r="U223" i="64"/>
  <c r="U341" i="64"/>
  <c r="V341" i="64" s="1"/>
  <c r="X341" i="64" s="1"/>
  <c r="U338" i="64"/>
  <c r="V338" i="64" s="1"/>
  <c r="X338" i="64" s="1"/>
  <c r="U335" i="64"/>
  <c r="V335" i="64" s="1"/>
  <c r="X335" i="64" s="1"/>
  <c r="U332" i="64"/>
  <c r="V332" i="64" s="1"/>
  <c r="X332" i="64" s="1"/>
  <c r="U254" i="64"/>
  <c r="U297" i="64"/>
  <c r="U342" i="64"/>
  <c r="V342" i="64" s="1"/>
  <c r="X342" i="64" s="1"/>
  <c r="U339" i="64"/>
  <c r="V339" i="64" s="1"/>
  <c r="X339" i="64" s="1"/>
  <c r="U336" i="64"/>
  <c r="V336" i="64" s="1"/>
  <c r="X336" i="64" s="1"/>
  <c r="U333" i="64"/>
  <c r="V333" i="64" s="1"/>
  <c r="X333" i="64" s="1"/>
  <c r="U340" i="64"/>
  <c r="V340" i="64" s="1"/>
  <c r="X340" i="64" s="1"/>
  <c r="U337" i="64"/>
  <c r="V337" i="64" s="1"/>
  <c r="X337" i="64" s="1"/>
  <c r="U334" i="64"/>
  <c r="V334" i="64" s="1"/>
  <c r="X334" i="64" s="1"/>
  <c r="U331" i="64"/>
  <c r="V331" i="64" s="1"/>
  <c r="X331" i="64" s="1"/>
  <c r="O104" i="64"/>
  <c r="N9" i="64"/>
  <c r="O105" i="64"/>
  <c r="U105" i="64" s="1"/>
  <c r="V105" i="64" s="1"/>
  <c r="X105" i="64" s="1"/>
  <c r="O106" i="64"/>
  <c r="U106" i="64" s="1"/>
  <c r="V106" i="64" s="1"/>
  <c r="X106" i="64" s="1"/>
  <c r="O108" i="64"/>
  <c r="P108" i="64" s="1"/>
  <c r="O109" i="64"/>
  <c r="U109" i="64" s="1"/>
  <c r="V109" i="64" s="1"/>
  <c r="X109" i="64" s="1"/>
  <c r="O119" i="64"/>
  <c r="U119" i="64" s="1"/>
  <c r="V119" i="64" s="1"/>
  <c r="X119" i="64" s="1"/>
  <c r="L313" i="64"/>
  <c r="U60" i="64"/>
  <c r="V60" i="64" s="1"/>
  <c r="X60" i="64" s="1"/>
  <c r="U28" i="64"/>
  <c r="U24" i="64"/>
  <c r="V24" i="64" s="1"/>
  <c r="X24" i="64" s="1"/>
  <c r="P17" i="64"/>
  <c r="P237" i="64"/>
  <c r="U17" i="64"/>
  <c r="U175" i="64"/>
  <c r="U208" i="64"/>
  <c r="U219" i="64"/>
  <c r="U120" i="64"/>
  <c r="V120" i="64" s="1"/>
  <c r="X120" i="64" s="1"/>
  <c r="U198" i="64"/>
  <c r="U206" i="64"/>
  <c r="P217" i="64"/>
  <c r="U201" i="64"/>
  <c r="U241" i="64"/>
  <c r="U161" i="64"/>
  <c r="U30" i="64"/>
  <c r="V30" i="64" s="1"/>
  <c r="X30" i="64" s="1"/>
  <c r="U288" i="64"/>
  <c r="U300" i="64"/>
  <c r="U115" i="64"/>
  <c r="V115" i="64" s="1"/>
  <c r="X115" i="64" s="1"/>
  <c r="P220" i="64"/>
  <c r="U230" i="64"/>
  <c r="U232" i="64"/>
  <c r="U113" i="64"/>
  <c r="V113" i="64" s="1"/>
  <c r="X113" i="64" s="1"/>
  <c r="U158" i="64"/>
  <c r="U101" i="64"/>
  <c r="V101" i="64" s="1"/>
  <c r="X101" i="64" s="1"/>
  <c r="U72" i="64"/>
  <c r="V72" i="64" s="1"/>
  <c r="X72" i="64" s="1"/>
  <c r="T64" i="105"/>
  <c r="T69" i="105" s="1"/>
  <c r="D21" i="19" s="1"/>
  <c r="F21" i="19" s="1"/>
  <c r="Y43" i="105"/>
  <c r="Y64" i="105" s="1"/>
  <c r="P40" i="77"/>
  <c r="Z83" i="77"/>
  <c r="Z85" i="77" s="1"/>
  <c r="F13" i="71"/>
  <c r="K13" i="71" s="1"/>
  <c r="N13" i="71" s="1"/>
  <c r="N70" i="7"/>
  <c r="Q70" i="7" s="1"/>
  <c r="C54" i="71" s="1"/>
  <c r="N87" i="7"/>
  <c r="Q87" i="7" s="1"/>
  <c r="C74" i="71" s="1"/>
  <c r="N105" i="7"/>
  <c r="Q105" i="7" s="1"/>
  <c r="C92" i="71" s="1"/>
  <c r="N116" i="7"/>
  <c r="Q116" i="7" s="1"/>
  <c r="C103" i="71" s="1"/>
  <c r="N43" i="7"/>
  <c r="O43" i="7" s="1"/>
  <c r="N49" i="7"/>
  <c r="O49" i="7" s="1"/>
  <c r="Q49" i="7" s="1"/>
  <c r="C61" i="7"/>
  <c r="N50" i="7"/>
  <c r="O50" i="7" s="1"/>
  <c r="Q50" i="7" s="1"/>
  <c r="N52" i="7"/>
  <c r="N54" i="7"/>
  <c r="N55" i="7"/>
  <c r="O55" i="7" s="1"/>
  <c r="Q55" i="7" s="1"/>
  <c r="N51" i="7"/>
  <c r="O51" i="7" s="1"/>
  <c r="Q51" i="7" s="1"/>
  <c r="N56" i="7"/>
  <c r="N57" i="7"/>
  <c r="O57" i="7" s="1"/>
  <c r="N59" i="7"/>
  <c r="O59" i="7" s="1"/>
  <c r="N64" i="7"/>
  <c r="Q64" i="7" s="1"/>
  <c r="C48" i="71" s="1"/>
  <c r="N71" i="7"/>
  <c r="Q71" i="7" s="1"/>
  <c r="C56" i="71" s="1"/>
  <c r="I33" i="26" s="1"/>
  <c r="I34" i="26" s="1"/>
  <c r="N73" i="7"/>
  <c r="Q73" i="7" s="1"/>
  <c r="C60" i="71" s="1"/>
  <c r="I132" i="7"/>
  <c r="N74" i="7"/>
  <c r="Q74" i="7" s="1"/>
  <c r="C61" i="71" s="1"/>
  <c r="N77" i="7"/>
  <c r="Q77" i="7" s="1"/>
  <c r="C64" i="71" s="1"/>
  <c r="D64" i="71" s="1"/>
  <c r="F64" i="71" s="1"/>
  <c r="N95" i="7"/>
  <c r="Q95" i="7" s="1"/>
  <c r="C82" i="71" s="1"/>
  <c r="D132" i="7"/>
  <c r="D135" i="7" s="1"/>
  <c r="N102" i="7"/>
  <c r="Q102" i="7" s="1"/>
  <c r="C89" i="71" s="1"/>
  <c r="N108" i="7"/>
  <c r="Q108" i="7" s="1"/>
  <c r="C95" i="71" s="1"/>
  <c r="D95" i="71" s="1"/>
  <c r="F95" i="71" s="1"/>
  <c r="N109" i="7"/>
  <c r="Q109" i="7" s="1"/>
  <c r="C96" i="71" s="1"/>
  <c r="N119" i="7"/>
  <c r="Q119" i="7" s="1"/>
  <c r="C106" i="71" s="1"/>
  <c r="F106" i="71" s="1"/>
  <c r="N118" i="7"/>
  <c r="Q118" i="7" s="1"/>
  <c r="C105" i="71" s="1"/>
  <c r="N124" i="7"/>
  <c r="Q124" i="7" s="1"/>
  <c r="C111" i="71" s="1"/>
  <c r="E37" i="27" s="1"/>
  <c r="N126" i="7"/>
  <c r="Q126" i="7" s="1"/>
  <c r="C113" i="71" s="1"/>
  <c r="N125" i="7"/>
  <c r="N129" i="7"/>
  <c r="Q129" i="7" s="1"/>
  <c r="C117" i="71" s="1"/>
  <c r="N100" i="7"/>
  <c r="Q100" i="7" s="1"/>
  <c r="C87" i="71" s="1"/>
  <c r="D87" i="71" s="1"/>
  <c r="F87" i="71" s="1"/>
  <c r="K87" i="71" s="1"/>
  <c r="N87" i="71" s="1"/>
  <c r="N114" i="7"/>
  <c r="Q114" i="7" s="1"/>
  <c r="C101" i="71" s="1"/>
  <c r="N79" i="7"/>
  <c r="C66" i="71" s="1"/>
  <c r="N80" i="7"/>
  <c r="Q80" i="7" s="1"/>
  <c r="C67" i="71" s="1"/>
  <c r="N94" i="7"/>
  <c r="Q94" i="7" s="1"/>
  <c r="C81" i="71" s="1"/>
  <c r="N113" i="7"/>
  <c r="Q113" i="7" s="1"/>
  <c r="C100" i="71" s="1"/>
  <c r="N117" i="7"/>
  <c r="Q117" i="7" s="1"/>
  <c r="C104" i="71" s="1"/>
  <c r="N120" i="7"/>
  <c r="Q120" i="7" s="1"/>
  <c r="C107" i="71" s="1"/>
  <c r="N123" i="7"/>
  <c r="Q123" i="7" s="1"/>
  <c r="C110" i="71" s="1"/>
  <c r="N76" i="7"/>
  <c r="Q76" i="7" s="1"/>
  <c r="C63" i="71" s="1"/>
  <c r="N60" i="77"/>
  <c r="L107" i="17"/>
  <c r="L109" i="17" s="1"/>
  <c r="N80" i="17"/>
  <c r="B52" i="77"/>
  <c r="C51" i="19"/>
  <c r="AD31" i="77"/>
  <c r="AD67" i="77"/>
  <c r="AD73" i="77"/>
  <c r="AD25" i="77"/>
  <c r="AD49" i="77"/>
  <c r="H57" i="77"/>
  <c r="AB83" i="77"/>
  <c r="AB85" i="77" s="1"/>
  <c r="AC83" i="77"/>
  <c r="AC85" i="77" s="1"/>
  <c r="AD37" i="77"/>
  <c r="AD55" i="77"/>
  <c r="AD79" i="77"/>
  <c r="AD43" i="77"/>
  <c r="AD13" i="77"/>
  <c r="AD61" i="77"/>
  <c r="F105" i="16"/>
  <c r="F107" i="16" s="1"/>
  <c r="D107" i="17"/>
  <c r="D109" i="17" s="1"/>
  <c r="N53" i="7"/>
  <c r="O53" i="7" s="1"/>
  <c r="Q53" i="7" s="1"/>
  <c r="K132" i="7"/>
  <c r="F132" i="7"/>
  <c r="N103" i="7"/>
  <c r="Q103" i="7" s="1"/>
  <c r="C90" i="71" s="1"/>
  <c r="N121" i="7"/>
  <c r="Q121" i="7" s="1"/>
  <c r="C108" i="71" s="1"/>
  <c r="N65" i="7"/>
  <c r="Q65" i="7" s="1"/>
  <c r="C49" i="71" s="1"/>
  <c r="N101" i="7"/>
  <c r="Q101" i="7" s="1"/>
  <c r="C88" i="71" s="1"/>
  <c r="N45" i="7"/>
  <c r="O45" i="7" s="1"/>
  <c r="Q45" i="7" s="1"/>
  <c r="N46" i="7"/>
  <c r="O46" i="7" s="1"/>
  <c r="Q46" i="7" s="1"/>
  <c r="N58" i="7"/>
  <c r="C43" i="71" s="1"/>
  <c r="N69" i="7"/>
  <c r="Q69" i="7" s="1"/>
  <c r="C53" i="71" s="1"/>
  <c r="N89" i="7"/>
  <c r="Q89" i="7" s="1"/>
  <c r="C76" i="71" s="1"/>
  <c r="N110" i="7"/>
  <c r="Q110" i="7" s="1"/>
  <c r="C97" i="71" s="1"/>
  <c r="N48" i="7"/>
  <c r="O48" i="7" s="1"/>
  <c r="Q48" i="7" s="1"/>
  <c r="N66" i="7"/>
  <c r="Q66" i="7" s="1"/>
  <c r="H132" i="7"/>
  <c r="N104" i="7"/>
  <c r="Q104" i="7" s="1"/>
  <c r="C91" i="71" s="1"/>
  <c r="F91" i="71" s="1"/>
  <c r="N111" i="7"/>
  <c r="Q111" i="7" s="1"/>
  <c r="C98" i="71" s="1"/>
  <c r="D98" i="71" s="1"/>
  <c r="F98" i="71" s="1"/>
  <c r="N127" i="7"/>
  <c r="Q127" i="7" s="1"/>
  <c r="C114" i="71" s="1"/>
  <c r="F114" i="71" s="1"/>
  <c r="N128" i="7"/>
  <c r="Q128" i="7" s="1"/>
  <c r="C115" i="71" s="1"/>
  <c r="D37" i="18" s="1"/>
  <c r="L132" i="7"/>
  <c r="L133" i="7" s="1"/>
  <c r="N67" i="7"/>
  <c r="Q67" i="7" s="1"/>
  <c r="C51" i="71" s="1"/>
  <c r="N112" i="7"/>
  <c r="Q112" i="7" s="1"/>
  <c r="C99" i="71" s="1"/>
  <c r="D99" i="71" s="1"/>
  <c r="F99" i="71" s="1"/>
  <c r="N115" i="7"/>
  <c r="Q115" i="7" s="1"/>
  <c r="C102" i="71" s="1"/>
  <c r="Q125" i="7"/>
  <c r="C112" i="71" s="1"/>
  <c r="B9" i="66"/>
  <c r="B10" i="66" s="1"/>
  <c r="O54" i="7"/>
  <c r="Q54" i="7" s="1"/>
  <c r="O56" i="7"/>
  <c r="Q56" i="7" s="1"/>
  <c r="O58" i="7"/>
  <c r="O52" i="7"/>
  <c r="Q52" i="7" s="1"/>
  <c r="N44" i="7"/>
  <c r="O44" i="7" s="1"/>
  <c r="Q44" i="7" s="1"/>
  <c r="B132" i="7"/>
  <c r="B61" i="7"/>
  <c r="E132" i="7"/>
  <c r="E133" i="7" s="1"/>
  <c r="N47" i="7"/>
  <c r="O47" i="7" s="1"/>
  <c r="Q47" i="7" s="1"/>
  <c r="Q57" i="7"/>
  <c r="Q79" i="7"/>
  <c r="Q59" i="7"/>
  <c r="F35" i="71"/>
  <c r="K35" i="71" s="1"/>
  <c r="N35" i="71" s="1"/>
  <c r="F31" i="71"/>
  <c r="K31" i="71" s="1"/>
  <c r="N31" i="71" s="1"/>
  <c r="P100" i="64"/>
  <c r="R100" i="64" s="1"/>
  <c r="P103" i="64"/>
  <c r="T103" i="64" s="1"/>
  <c r="U116" i="64"/>
  <c r="V116" i="64" s="1"/>
  <c r="X116" i="64" s="1"/>
  <c r="U122" i="64"/>
  <c r="V122" i="64" s="1"/>
  <c r="X122" i="64" s="1"/>
  <c r="U291" i="64"/>
  <c r="P256" i="64"/>
  <c r="P255" i="64"/>
  <c r="P85" i="64"/>
  <c r="T85" i="64" s="1"/>
  <c r="U294" i="64"/>
  <c r="P300" i="64"/>
  <c r="U18" i="64"/>
  <c r="U240" i="64"/>
  <c r="U226" i="64"/>
  <c r="P136" i="64"/>
  <c r="R136" i="64" s="1"/>
  <c r="U97" i="64"/>
  <c r="V97" i="64" s="1"/>
  <c r="X97" i="64" s="1"/>
  <c r="U74" i="64"/>
  <c r="V74" i="64" s="1"/>
  <c r="X74" i="64" s="1"/>
  <c r="U117" i="64"/>
  <c r="V117" i="64" s="1"/>
  <c r="X117" i="64" s="1"/>
  <c r="U170" i="64"/>
  <c r="U157" i="64"/>
  <c r="U141" i="64"/>
  <c r="V141" i="64" s="1"/>
  <c r="X141" i="64" s="1"/>
  <c r="U137" i="64"/>
  <c r="V137" i="64" s="1"/>
  <c r="X137" i="64" s="1"/>
  <c r="P90" i="64"/>
  <c r="T90" i="64" s="1"/>
  <c r="P149" i="64"/>
  <c r="R149" i="64" s="1"/>
  <c r="U149" i="64" s="1"/>
  <c r="V149" i="64" s="1"/>
  <c r="X149" i="64" s="1"/>
  <c r="P284" i="64"/>
  <c r="R284" i="64" s="1"/>
  <c r="P335" i="64"/>
  <c r="T335" i="64" s="1"/>
  <c r="P333" i="64"/>
  <c r="R333" i="64" s="1"/>
  <c r="P121" i="64"/>
  <c r="R121" i="64" s="1"/>
  <c r="U38" i="64"/>
  <c r="Q45" i="64"/>
  <c r="U31" i="64"/>
  <c r="P29" i="64"/>
  <c r="T29" i="64" s="1"/>
  <c r="P28" i="64"/>
  <c r="U27" i="64"/>
  <c r="V27" i="64" s="1"/>
  <c r="X27" i="64" s="1"/>
  <c r="P22" i="64"/>
  <c r="U21" i="64"/>
  <c r="P83" i="64"/>
  <c r="T83" i="64" s="1"/>
  <c r="U225" i="64"/>
  <c r="P236" i="64"/>
  <c r="R236" i="64" s="1"/>
  <c r="P233" i="64"/>
  <c r="U182" i="64"/>
  <c r="N251" i="64"/>
  <c r="D22" i="63" s="1"/>
  <c r="U159" i="64"/>
  <c r="P42" i="64"/>
  <c r="P202" i="64"/>
  <c r="U204" i="64"/>
  <c r="P218" i="64"/>
  <c r="P58" i="64"/>
  <c r="R58" i="64" s="1"/>
  <c r="P291" i="64"/>
  <c r="R291" i="64" s="1"/>
  <c r="P199" i="64"/>
  <c r="P200" i="64"/>
  <c r="U202" i="64"/>
  <c r="U173" i="64"/>
  <c r="P173" i="64"/>
  <c r="P228" i="64"/>
  <c r="U203" i="64"/>
  <c r="P21" i="64"/>
  <c r="U292" i="64"/>
  <c r="U286" i="64"/>
  <c r="Q303" i="64"/>
  <c r="P208" i="64"/>
  <c r="U258" i="64"/>
  <c r="U195" i="64"/>
  <c r="P191" i="64"/>
  <c r="R191" i="64" s="1"/>
  <c r="P190" i="64"/>
  <c r="R190" i="64" s="1"/>
  <c r="U136" i="64"/>
  <c r="V136" i="64" s="1"/>
  <c r="X136" i="64" s="1"/>
  <c r="P135" i="64"/>
  <c r="P97" i="64"/>
  <c r="U80" i="64"/>
  <c r="V80" i="64" s="1"/>
  <c r="X80" i="64" s="1"/>
  <c r="P75" i="64"/>
  <c r="P165" i="64"/>
  <c r="U164" i="64"/>
  <c r="P116" i="64"/>
  <c r="P122" i="64"/>
  <c r="U114" i="64"/>
  <c r="V114" i="64" s="1"/>
  <c r="X114" i="64" s="1"/>
  <c r="U199" i="64"/>
  <c r="U216" i="64"/>
  <c r="P222" i="64"/>
  <c r="P223" i="64"/>
  <c r="U220" i="64"/>
  <c r="U227" i="64"/>
  <c r="P226" i="64"/>
  <c r="P234" i="64"/>
  <c r="U242" i="64"/>
  <c r="U238" i="64"/>
  <c r="P331" i="64"/>
  <c r="P341" i="64"/>
  <c r="U233" i="64"/>
  <c r="U79" i="64"/>
  <c r="V79" i="64" s="1"/>
  <c r="X79" i="64" s="1"/>
  <c r="N166" i="64"/>
  <c r="D21" i="63" s="1"/>
  <c r="P196" i="64"/>
  <c r="P182" i="64"/>
  <c r="P160" i="64"/>
  <c r="U139" i="64"/>
  <c r="V139" i="64" s="1"/>
  <c r="X139" i="64" s="1"/>
  <c r="U290" i="64"/>
  <c r="P293" i="64"/>
  <c r="P332" i="64"/>
  <c r="R332" i="64" s="1"/>
  <c r="U236" i="64"/>
  <c r="U67" i="64"/>
  <c r="V67" i="64" s="1"/>
  <c r="X67" i="64" s="1"/>
  <c r="N343" i="64"/>
  <c r="N345" i="64" s="1"/>
  <c r="U276" i="64"/>
  <c r="P266" i="64"/>
  <c r="U265" i="64"/>
  <c r="P258" i="64"/>
  <c r="U256" i="64"/>
  <c r="P158" i="64"/>
  <c r="R158" i="64" s="1"/>
  <c r="P157" i="64"/>
  <c r="P64" i="64"/>
  <c r="T64" i="64" s="1"/>
  <c r="P62" i="64"/>
  <c r="P61" i="64"/>
  <c r="U55" i="64"/>
  <c r="V55" i="64" s="1"/>
  <c r="X55" i="64" s="1"/>
  <c r="U51" i="64"/>
  <c r="V51" i="64" s="1"/>
  <c r="X51" i="64" s="1"/>
  <c r="U44" i="64"/>
  <c r="U43" i="64"/>
  <c r="U37" i="64"/>
  <c r="P31" i="64"/>
  <c r="P30" i="64"/>
  <c r="U29" i="64"/>
  <c r="V29" i="64" s="1"/>
  <c r="X29" i="64" s="1"/>
  <c r="P27" i="64"/>
  <c r="T27" i="64" s="1"/>
  <c r="U83" i="64"/>
  <c r="V83" i="64" s="1"/>
  <c r="X83" i="64" s="1"/>
  <c r="U88" i="64"/>
  <c r="V88" i="64" s="1"/>
  <c r="X88" i="64" s="1"/>
  <c r="P215" i="64"/>
  <c r="P203" i="64"/>
  <c r="U218" i="64"/>
  <c r="U228" i="64"/>
  <c r="P327" i="64"/>
  <c r="R327" i="64" s="1"/>
  <c r="U22" i="64"/>
  <c r="U121" i="64"/>
  <c r="V121" i="64" s="1"/>
  <c r="X121" i="64" s="1"/>
  <c r="U160" i="64"/>
  <c r="P134" i="64"/>
  <c r="R134" i="64" s="1"/>
  <c r="P101" i="64"/>
  <c r="T101" i="64" s="1"/>
  <c r="U100" i="64"/>
  <c r="V100" i="64" s="1"/>
  <c r="X100" i="64" s="1"/>
  <c r="U65" i="64"/>
  <c r="V65" i="64" s="1"/>
  <c r="X65" i="64" s="1"/>
  <c r="U64" i="64"/>
  <c r="V64" i="64" s="1"/>
  <c r="X64" i="64" s="1"/>
  <c r="U63" i="64"/>
  <c r="V63" i="64" s="1"/>
  <c r="X63" i="64" s="1"/>
  <c r="U59" i="64"/>
  <c r="V59" i="64" s="1"/>
  <c r="X59" i="64" s="1"/>
  <c r="U58" i="64"/>
  <c r="V58" i="64" s="1"/>
  <c r="X58" i="64" s="1"/>
  <c r="U54" i="64"/>
  <c r="V54" i="64" s="1"/>
  <c r="X54" i="64" s="1"/>
  <c r="U53" i="64"/>
  <c r="V53" i="64" s="1"/>
  <c r="X53" i="64" s="1"/>
  <c r="U49" i="64"/>
  <c r="V49" i="64" s="1"/>
  <c r="X49" i="64" s="1"/>
  <c r="B18" i="63"/>
  <c r="U42" i="64"/>
  <c r="N45" i="64"/>
  <c r="D18" i="63" s="1"/>
  <c r="P37" i="64"/>
  <c r="U36" i="64"/>
  <c r="U41" i="64"/>
  <c r="P41" i="64"/>
  <c r="P24" i="64"/>
  <c r="T24" i="64" s="1"/>
  <c r="P276" i="64"/>
  <c r="U190" i="64"/>
  <c r="P142" i="64"/>
  <c r="T142" i="64" s="1"/>
  <c r="U142" i="64"/>
  <c r="V142" i="64" s="1"/>
  <c r="X142" i="64" s="1"/>
  <c r="P70" i="64"/>
  <c r="U70" i="64"/>
  <c r="V70" i="64" s="1"/>
  <c r="X70" i="64" s="1"/>
  <c r="P151" i="64"/>
  <c r="T151" i="64" s="1"/>
  <c r="U284" i="64"/>
  <c r="P288" i="64"/>
  <c r="P294" i="64"/>
  <c r="U283" i="64"/>
  <c r="P283" i="64"/>
  <c r="P280" i="64"/>
  <c r="P273" i="64"/>
  <c r="P271" i="64"/>
  <c r="U259" i="64"/>
  <c r="P259" i="64"/>
  <c r="P156" i="64"/>
  <c r="Q166" i="64"/>
  <c r="U138" i="64"/>
  <c r="V138" i="64" s="1"/>
  <c r="X138" i="64" s="1"/>
  <c r="N94" i="64"/>
  <c r="N131" i="64" s="1"/>
  <c r="P82" i="64"/>
  <c r="U82" i="64"/>
  <c r="V82" i="64" s="1"/>
  <c r="X82" i="64" s="1"/>
  <c r="P88" i="64"/>
  <c r="T88" i="64" s="1"/>
  <c r="P113" i="64"/>
  <c r="T113" i="64" s="1"/>
  <c r="P198" i="64"/>
  <c r="U237" i="64"/>
  <c r="P235" i="64"/>
  <c r="P342" i="64"/>
  <c r="Q343" i="64"/>
  <c r="P337" i="64"/>
  <c r="P334" i="64"/>
  <c r="P328" i="64"/>
  <c r="T328" i="64" s="1"/>
  <c r="O254" i="64"/>
  <c r="O303" i="64" s="1"/>
  <c r="F23" i="63" s="1"/>
  <c r="N303" i="64"/>
  <c r="D23" i="63" s="1"/>
  <c r="P161" i="64"/>
  <c r="Q153" i="64"/>
  <c r="P141" i="64"/>
  <c r="T141" i="64" s="1"/>
  <c r="P112" i="64"/>
  <c r="U112" i="64"/>
  <c r="V112" i="64" s="1"/>
  <c r="X112" i="64" s="1"/>
  <c r="U261" i="64"/>
  <c r="P261" i="64"/>
  <c r="P260" i="64"/>
  <c r="P186" i="64"/>
  <c r="U52" i="64"/>
  <c r="V52" i="64" s="1"/>
  <c r="X52" i="64" s="1"/>
  <c r="P52" i="64"/>
  <c r="P26" i="64"/>
  <c r="T26" i="64" s="1"/>
  <c r="U26" i="64"/>
  <c r="V26" i="64" s="1"/>
  <c r="X26" i="64" s="1"/>
  <c r="Q32" i="64"/>
  <c r="U20" i="64"/>
  <c r="P20" i="64"/>
  <c r="U84" i="64"/>
  <c r="V84" i="64" s="1"/>
  <c r="X84" i="64" s="1"/>
  <c r="U87" i="64"/>
  <c r="V87" i="64" s="1"/>
  <c r="X87" i="64" s="1"/>
  <c r="O32" i="64"/>
  <c r="U163" i="64"/>
  <c r="P299" i="64"/>
  <c r="U299" i="64"/>
  <c r="U151" i="64"/>
  <c r="V151" i="64" s="1"/>
  <c r="X151" i="64" s="1"/>
  <c r="P114" i="64"/>
  <c r="P120" i="64"/>
  <c r="T120" i="64" s="1"/>
  <c r="U200" i="64"/>
  <c r="U212" i="64"/>
  <c r="P216" i="64"/>
  <c r="P204" i="64"/>
  <c r="U217" i="64"/>
  <c r="U213" i="64"/>
  <c r="P213" i="64"/>
  <c r="P211" i="64"/>
  <c r="P205" i="64"/>
  <c r="U205" i="64"/>
  <c r="P201" i="64"/>
  <c r="P227" i="64"/>
  <c r="U239" i="64"/>
  <c r="U281" i="64"/>
  <c r="P281" i="64"/>
  <c r="U257" i="64"/>
  <c r="P257" i="64"/>
  <c r="U260" i="64"/>
  <c r="O169" i="64"/>
  <c r="O251" i="64" s="1"/>
  <c r="F22" i="63" s="1"/>
  <c r="U75" i="64"/>
  <c r="V75" i="64" s="1"/>
  <c r="X75" i="64" s="1"/>
  <c r="U176" i="64"/>
  <c r="P175" i="64"/>
  <c r="Q251" i="64"/>
  <c r="P159" i="64"/>
  <c r="U69" i="64"/>
  <c r="V69" i="64" s="1"/>
  <c r="X69" i="64" s="1"/>
  <c r="P67" i="64"/>
  <c r="T67" i="64" s="1"/>
  <c r="P19" i="64"/>
  <c r="U19" i="64"/>
  <c r="P18" i="64"/>
  <c r="P295" i="64"/>
  <c r="U295" i="64"/>
  <c r="P115" i="64"/>
  <c r="U89" i="64"/>
  <c r="V89" i="64" s="1"/>
  <c r="X89" i="64" s="1"/>
  <c r="P232" i="64"/>
  <c r="P143" i="64"/>
  <c r="T143" i="64" s="1"/>
  <c r="U287" i="64"/>
  <c r="U229" i="64"/>
  <c r="P243" i="64"/>
  <c r="R243" i="64" s="1"/>
  <c r="P275" i="64"/>
  <c r="P187" i="64"/>
  <c r="R187" i="64" s="1"/>
  <c r="U187" i="64" s="1"/>
  <c r="P176" i="64"/>
  <c r="R176" i="64" s="1"/>
  <c r="P56" i="64"/>
  <c r="P38" i="64"/>
  <c r="U209" i="64"/>
  <c r="U146" i="64"/>
  <c r="V146" i="64" s="1"/>
  <c r="X146" i="64" s="1"/>
  <c r="P51" i="64"/>
  <c r="R51" i="64" s="1"/>
  <c r="P239" i="64"/>
  <c r="R239" i="64" s="1"/>
  <c r="P171" i="64"/>
  <c r="U171" i="64"/>
  <c r="P140" i="64"/>
  <c r="U140" i="64"/>
  <c r="V140" i="64" s="1"/>
  <c r="X140" i="64" s="1"/>
  <c r="P50" i="64"/>
  <c r="U50" i="64"/>
  <c r="V50" i="64" s="1"/>
  <c r="X50" i="64" s="1"/>
  <c r="P210" i="64"/>
  <c r="U210" i="64"/>
  <c r="U231" i="64"/>
  <c r="P231" i="64"/>
  <c r="R231" i="64" s="1"/>
  <c r="U267" i="64"/>
  <c r="P267" i="64"/>
  <c r="P184" i="64"/>
  <c r="U184" i="64"/>
  <c r="U181" i="64"/>
  <c r="P181" i="64"/>
  <c r="P23" i="64"/>
  <c r="U23" i="64"/>
  <c r="U174" i="64"/>
  <c r="P174" i="64"/>
  <c r="P338" i="64"/>
  <c r="R338" i="64" s="1"/>
  <c r="P110" i="64"/>
  <c r="U110" i="64"/>
  <c r="V110" i="64" s="1"/>
  <c r="X110" i="64" s="1"/>
  <c r="P221" i="64"/>
  <c r="U221" i="64"/>
  <c r="P339" i="64"/>
  <c r="P179" i="64"/>
  <c r="U179" i="64"/>
  <c r="P78" i="64"/>
  <c r="U78" i="64"/>
  <c r="V78" i="64" s="1"/>
  <c r="X78" i="64" s="1"/>
  <c r="U92" i="64"/>
  <c r="V92" i="64" s="1"/>
  <c r="X92" i="64" s="1"/>
  <c r="P92" i="64"/>
  <c r="O150" i="64"/>
  <c r="P150" i="64" s="1"/>
  <c r="N153" i="64"/>
  <c r="D20" i="63" s="1"/>
  <c r="U296" i="64"/>
  <c r="P296" i="64"/>
  <c r="P111" i="64"/>
  <c r="U111" i="64"/>
  <c r="V111" i="64" s="1"/>
  <c r="X111" i="64" s="1"/>
  <c r="U207" i="64"/>
  <c r="P207" i="64"/>
  <c r="P279" i="64"/>
  <c r="U279" i="64"/>
  <c r="U270" i="64"/>
  <c r="P270" i="64"/>
  <c r="U264" i="64"/>
  <c r="P264" i="64"/>
  <c r="U178" i="64"/>
  <c r="P178" i="64"/>
  <c r="P297" i="64"/>
  <c r="P278" i="64"/>
  <c r="U278" i="64"/>
  <c r="P25" i="64"/>
  <c r="U25" i="64"/>
  <c r="U104" i="64"/>
  <c r="V104" i="64" s="1"/>
  <c r="X104" i="64" s="1"/>
  <c r="P104" i="64"/>
  <c r="U214" i="64"/>
  <c r="P214" i="64"/>
  <c r="U224" i="64"/>
  <c r="P224" i="64"/>
  <c r="U277" i="64"/>
  <c r="P265" i="64"/>
  <c r="U143" i="64"/>
  <c r="V143" i="64" s="1"/>
  <c r="X143" i="64" s="1"/>
  <c r="U99" i="64"/>
  <c r="V99" i="64" s="1"/>
  <c r="X99" i="64" s="1"/>
  <c r="P39" i="64"/>
  <c r="P241" i="64"/>
  <c r="P72" i="64"/>
  <c r="T72" i="64" s="1"/>
  <c r="U62" i="64"/>
  <c r="V62" i="64" s="1"/>
  <c r="X62" i="64" s="1"/>
  <c r="P117" i="64"/>
  <c r="T117" i="64" s="1"/>
  <c r="P219" i="64"/>
  <c r="O45" i="64"/>
  <c r="F18" i="63" s="1"/>
  <c r="U196" i="64"/>
  <c r="U183" i="64"/>
  <c r="P180" i="64"/>
  <c r="P146" i="64"/>
  <c r="T146" i="64" s="1"/>
  <c r="U285" i="64"/>
  <c r="P107" i="64"/>
  <c r="R107" i="64" s="1"/>
  <c r="U107" i="64" s="1"/>
  <c r="V107" i="64" s="1"/>
  <c r="X107" i="64" s="1"/>
  <c r="U255" i="64"/>
  <c r="P195" i="64"/>
  <c r="R195" i="64" s="1"/>
  <c r="U177" i="64"/>
  <c r="U134" i="64"/>
  <c r="V134" i="64" s="1"/>
  <c r="X134" i="64" s="1"/>
  <c r="U85" i="64"/>
  <c r="V85" i="64" s="1"/>
  <c r="X85" i="64" s="1"/>
  <c r="P162" i="64"/>
  <c r="R162" i="64" s="1"/>
  <c r="U162" i="64" s="1"/>
  <c r="U293" i="64"/>
  <c r="U211" i="64"/>
  <c r="U234" i="64"/>
  <c r="U271" i="64"/>
  <c r="P71" i="64"/>
  <c r="P55" i="64"/>
  <c r="P49" i="64"/>
  <c r="T49" i="64" s="1"/>
  <c r="U275" i="64"/>
  <c r="U266" i="64"/>
  <c r="P189" i="64"/>
  <c r="U66" i="64"/>
  <c r="V66" i="64" s="1"/>
  <c r="X66" i="64" s="1"/>
  <c r="P89" i="64"/>
  <c r="R89" i="64" s="1"/>
  <c r="U165" i="64"/>
  <c r="P164" i="64"/>
  <c r="P230" i="64"/>
  <c r="U235" i="64"/>
  <c r="P240" i="64"/>
  <c r="U197" i="64"/>
  <c r="P197" i="64"/>
  <c r="P193" i="64"/>
  <c r="U193" i="64"/>
  <c r="P35" i="64"/>
  <c r="U35" i="64"/>
  <c r="P269" i="64"/>
  <c r="U269" i="64"/>
  <c r="U145" i="64"/>
  <c r="V145" i="64" s="1"/>
  <c r="X145" i="64" s="1"/>
  <c r="P145" i="64"/>
  <c r="U301" i="64"/>
  <c r="P301" i="64"/>
  <c r="U268" i="64"/>
  <c r="P268" i="64"/>
  <c r="U192" i="64"/>
  <c r="P192" i="64"/>
  <c r="P169" i="64"/>
  <c r="U169" i="64"/>
  <c r="U144" i="64"/>
  <c r="V144" i="64" s="1"/>
  <c r="X144" i="64" s="1"/>
  <c r="P144" i="64"/>
  <c r="U98" i="64"/>
  <c r="V98" i="64" s="1"/>
  <c r="X98" i="64" s="1"/>
  <c r="P98" i="64"/>
  <c r="P272" i="64"/>
  <c r="P263" i="64"/>
  <c r="U263" i="64"/>
  <c r="U185" i="64"/>
  <c r="P185" i="64"/>
  <c r="P77" i="64"/>
  <c r="U77" i="64"/>
  <c r="V77" i="64" s="1"/>
  <c r="X77" i="64" s="1"/>
  <c r="U172" i="64"/>
  <c r="P172" i="64"/>
  <c r="U86" i="64"/>
  <c r="V86" i="64" s="1"/>
  <c r="X86" i="64" s="1"/>
  <c r="P86" i="64"/>
  <c r="U118" i="64"/>
  <c r="V118" i="64" s="1"/>
  <c r="X118" i="64" s="1"/>
  <c r="P118" i="64"/>
  <c r="P254" i="64"/>
  <c r="P194" i="64"/>
  <c r="U194" i="64"/>
  <c r="P96" i="64"/>
  <c r="U96" i="64"/>
  <c r="V96" i="64" s="1"/>
  <c r="X96" i="64" s="1"/>
  <c r="P91" i="64"/>
  <c r="U91" i="64"/>
  <c r="V91" i="64" s="1"/>
  <c r="X91" i="64" s="1"/>
  <c r="U298" i="64"/>
  <c r="P298" i="64"/>
  <c r="R217" i="64"/>
  <c r="P274" i="64"/>
  <c r="P170" i="64"/>
  <c r="P138" i="64"/>
  <c r="P69" i="64"/>
  <c r="T69" i="64" s="1"/>
  <c r="P60" i="64"/>
  <c r="P43" i="64"/>
  <c r="P36" i="64"/>
  <c r="P163" i="64"/>
  <c r="P329" i="64"/>
  <c r="P139" i="64"/>
  <c r="U71" i="64"/>
  <c r="V71" i="64" s="1"/>
  <c r="X71" i="64" s="1"/>
  <c r="P53" i="64"/>
  <c r="U90" i="64"/>
  <c r="V90" i="64" s="1"/>
  <c r="X90" i="64" s="1"/>
  <c r="P287" i="64"/>
  <c r="P336" i="64"/>
  <c r="U191" i="64"/>
  <c r="U156" i="64"/>
  <c r="P147" i="64"/>
  <c r="P65" i="64"/>
  <c r="U39" i="64"/>
  <c r="U289" i="64"/>
  <c r="P209" i="64"/>
  <c r="P225" i="64"/>
  <c r="O166" i="64"/>
  <c r="F21" i="63" s="1"/>
  <c r="P80" i="64"/>
  <c r="P63" i="64"/>
  <c r="P54" i="64"/>
  <c r="T54" i="64" s="1"/>
  <c r="P87" i="64"/>
  <c r="P290" i="64"/>
  <c r="U282" i="64"/>
  <c r="P238" i="64"/>
  <c r="P330" i="64"/>
  <c r="P282" i="64"/>
  <c r="P148" i="64"/>
  <c r="U148" i="64"/>
  <c r="V148" i="64" s="1"/>
  <c r="X148" i="64" s="1"/>
  <c r="O61" i="64"/>
  <c r="U61" i="64"/>
  <c r="V61" i="64" s="1"/>
  <c r="X61" i="64" s="1"/>
  <c r="D10" i="18"/>
  <c r="B98" i="16" s="1"/>
  <c r="I114" i="71" s="1"/>
  <c r="H133" i="7"/>
  <c r="O343" i="64"/>
  <c r="U102" i="64"/>
  <c r="V102" i="64" s="1"/>
  <c r="X102" i="64" s="1"/>
  <c r="P102" i="64"/>
  <c r="F17" i="71"/>
  <c r="K17" i="71" s="1"/>
  <c r="N17" i="71" s="1"/>
  <c r="Q37" i="7"/>
  <c r="Q43" i="7"/>
  <c r="C28" i="71"/>
  <c r="F28" i="71" s="1"/>
  <c r="K28" i="71" s="1"/>
  <c r="N28" i="71" s="1"/>
  <c r="C30" i="71"/>
  <c r="F30" i="71" s="1"/>
  <c r="K30" i="71" s="1"/>
  <c r="N30" i="71" s="1"/>
  <c r="P262" i="64"/>
  <c r="U262" i="64"/>
  <c r="P73" i="64"/>
  <c r="U73" i="64"/>
  <c r="V73" i="64" s="1"/>
  <c r="X73" i="64" s="1"/>
  <c r="F21" i="71"/>
  <c r="K21" i="71" s="1"/>
  <c r="N21" i="71" s="1"/>
  <c r="H97" i="101"/>
  <c r="P152" i="64"/>
  <c r="U152" i="64"/>
  <c r="V152" i="64" s="1"/>
  <c r="X152" i="64" s="1"/>
  <c r="H37" i="20"/>
  <c r="D42" i="71"/>
  <c r="F42" i="71" s="1"/>
  <c r="K42" i="71" s="1"/>
  <c r="N42" i="71" s="1"/>
  <c r="D25" i="71"/>
  <c r="O95" i="64"/>
  <c r="U95" i="64"/>
  <c r="V95" i="64" s="1"/>
  <c r="X95" i="64" s="1"/>
  <c r="P48" i="64"/>
  <c r="U48" i="64"/>
  <c r="P183" i="64"/>
  <c r="P57" i="64"/>
  <c r="U57" i="64"/>
  <c r="V57" i="64" s="1"/>
  <c r="X57" i="64" s="1"/>
  <c r="U280" i="64"/>
  <c r="P94" i="64"/>
  <c r="P66" i="64"/>
  <c r="P285" i="64"/>
  <c r="D29" i="71"/>
  <c r="F29" i="71" s="1"/>
  <c r="K29" i="71" s="1"/>
  <c r="N29" i="71" s="1"/>
  <c r="F15" i="71"/>
  <c r="K15" i="71" s="1"/>
  <c r="N15" i="71" s="1"/>
  <c r="U135" i="64"/>
  <c r="P79" i="64"/>
  <c r="T79" i="64" s="1"/>
  <c r="F19" i="71"/>
  <c r="K19" i="71" s="1"/>
  <c r="N19" i="71" s="1"/>
  <c r="P277" i="64"/>
  <c r="P188" i="64"/>
  <c r="P137" i="64"/>
  <c r="P59" i="64"/>
  <c r="T59" i="64" s="1"/>
  <c r="P95" i="64"/>
  <c r="U56" i="64"/>
  <c r="V56" i="64" s="1"/>
  <c r="X56" i="64" s="1"/>
  <c r="P177" i="64"/>
  <c r="P99" i="64"/>
  <c r="P74" i="64"/>
  <c r="P44" i="64"/>
  <c r="P40" i="64"/>
  <c r="H9" i="54"/>
  <c r="U215" i="64"/>
  <c r="P229" i="64"/>
  <c r="U243" i="64"/>
  <c r="P289" i="64"/>
  <c r="U222" i="64"/>
  <c r="P212" i="64"/>
  <c r="P206" i="64"/>
  <c r="P84" i="64"/>
  <c r="J97" i="101"/>
  <c r="J111" i="101" s="1"/>
  <c r="M54" i="101"/>
  <c r="M96" i="101" s="1"/>
  <c r="M97" i="101" s="1"/>
  <c r="M111" i="101" s="1"/>
  <c r="G132" i="7"/>
  <c r="P286" i="64"/>
  <c r="U103" i="64"/>
  <c r="V103" i="64" s="1"/>
  <c r="X103" i="64" s="1"/>
  <c r="P242" i="64"/>
  <c r="P340" i="64"/>
  <c r="T340" i="64" s="1"/>
  <c r="J132" i="7"/>
  <c r="M132" i="7"/>
  <c r="M133" i="7" s="1"/>
  <c r="N63" i="77" l="1"/>
  <c r="N65" i="77" s="1"/>
  <c r="N67" i="77" s="1"/>
  <c r="C50" i="19"/>
  <c r="K18" i="71"/>
  <c r="I135" i="7"/>
  <c r="O61" i="7"/>
  <c r="N61" i="7"/>
  <c r="C12" i="71"/>
  <c r="F133" i="7"/>
  <c r="F11" i="54"/>
  <c r="F12" i="54" s="1"/>
  <c r="C9" i="108" s="1"/>
  <c r="K27" i="108" s="1"/>
  <c r="AA12" i="108" s="1"/>
  <c r="D48" i="71"/>
  <c r="F48" i="71" s="1"/>
  <c r="D43" i="71"/>
  <c r="D45" i="71" s="1"/>
  <c r="P106" i="64"/>
  <c r="R72" i="64"/>
  <c r="T327" i="64"/>
  <c r="P109" i="64"/>
  <c r="B70" i="17"/>
  <c r="L79" i="71" s="1"/>
  <c r="N79" i="71" s="1"/>
  <c r="D49" i="19"/>
  <c r="D50" i="19"/>
  <c r="F115" i="71"/>
  <c r="D76" i="71"/>
  <c r="F76" i="71" s="1"/>
  <c r="K76" i="71" s="1"/>
  <c r="D49" i="71"/>
  <c r="F49" i="71" s="1"/>
  <c r="E15" i="21"/>
  <c r="F15" i="21" s="1"/>
  <c r="D81" i="71"/>
  <c r="F81" i="71" s="1"/>
  <c r="N37" i="49"/>
  <c r="D63" i="71"/>
  <c r="F63" i="71" s="1"/>
  <c r="K63" i="71" s="1"/>
  <c r="E14" i="21"/>
  <c r="F14" i="21" s="1"/>
  <c r="B58" i="20" s="1"/>
  <c r="D67" i="71"/>
  <c r="F67" i="71" s="1"/>
  <c r="D89" i="71"/>
  <c r="F89" i="71" s="1"/>
  <c r="E13" i="21"/>
  <c r="F13" i="21" s="1"/>
  <c r="B57" i="20" s="1"/>
  <c r="H66" i="71" s="1"/>
  <c r="D66" i="71"/>
  <c r="F66" i="71" s="1"/>
  <c r="E38" i="27"/>
  <c r="D111" i="71"/>
  <c r="F111" i="71" s="1"/>
  <c r="W67" i="105"/>
  <c r="W69" i="105" s="1"/>
  <c r="D74" i="71"/>
  <c r="F74" i="71" s="1"/>
  <c r="AA16" i="108"/>
  <c r="AA23" i="108"/>
  <c r="D101" i="71"/>
  <c r="F101" i="71" s="1"/>
  <c r="R328" i="64"/>
  <c r="U328" i="64" s="1"/>
  <c r="V328" i="64" s="1"/>
  <c r="T136" i="64"/>
  <c r="Y136" i="64" s="1"/>
  <c r="Z136" i="64" s="1"/>
  <c r="R160" i="64"/>
  <c r="Y340" i="64"/>
  <c r="Z340" i="64" s="1"/>
  <c r="AF340" i="64" s="1"/>
  <c r="R215" i="64"/>
  <c r="R146" i="64"/>
  <c r="R49" i="64"/>
  <c r="Y141" i="64"/>
  <c r="Z141" i="64" s="1"/>
  <c r="Y113" i="64"/>
  <c r="Z113" i="64" s="1"/>
  <c r="R64" i="64"/>
  <c r="C314" i="64"/>
  <c r="U20" i="49"/>
  <c r="P30" i="49"/>
  <c r="T72" i="105"/>
  <c r="Y72" i="64"/>
  <c r="Z72" i="64" s="1"/>
  <c r="R151" i="64"/>
  <c r="T100" i="64"/>
  <c r="Y100" i="64" s="1"/>
  <c r="Z100" i="64" s="1"/>
  <c r="P119" i="64"/>
  <c r="R119" i="64" s="1"/>
  <c r="Y26" i="64"/>
  <c r="Z26" i="64" s="1"/>
  <c r="R142" i="64"/>
  <c r="R266" i="64"/>
  <c r="Y29" i="64"/>
  <c r="Z29" i="64" s="1"/>
  <c r="R17" i="64"/>
  <c r="Y120" i="64"/>
  <c r="Z120" i="64" s="1"/>
  <c r="R335" i="64"/>
  <c r="Y27" i="64"/>
  <c r="Z27" i="64" s="1"/>
  <c r="R255" i="64"/>
  <c r="R240" i="64"/>
  <c r="R38" i="64"/>
  <c r="R103" i="64"/>
  <c r="T30" i="64"/>
  <c r="Y30" i="64" s="1"/>
  <c r="Z30" i="64" s="1"/>
  <c r="T149" i="64"/>
  <c r="Y149" i="64" s="1"/>
  <c r="Z149" i="64" s="1"/>
  <c r="Y24" i="64"/>
  <c r="Z24" i="64" s="1"/>
  <c r="Y117" i="64"/>
  <c r="Z117" i="64" s="1"/>
  <c r="R42" i="64"/>
  <c r="R199" i="64"/>
  <c r="R28" i="64"/>
  <c r="R101" i="64"/>
  <c r="R230" i="64"/>
  <c r="R256" i="64"/>
  <c r="R237" i="64"/>
  <c r="R21" i="64"/>
  <c r="T333" i="64"/>
  <c r="Y333" i="64" s="1"/>
  <c r="Z333" i="64" s="1"/>
  <c r="AF333" i="64" s="1"/>
  <c r="T107" i="64"/>
  <c r="Y107" i="64" s="1"/>
  <c r="Z107" i="64" s="1"/>
  <c r="R220" i="64"/>
  <c r="R22" i="64"/>
  <c r="N313" i="64"/>
  <c r="N314" i="64" s="1"/>
  <c r="D17" i="63"/>
  <c r="N307" i="64"/>
  <c r="R210" i="64"/>
  <c r="F17" i="63"/>
  <c r="R85" i="64"/>
  <c r="Y64" i="64"/>
  <c r="Z64" i="64" s="1"/>
  <c r="R54" i="64"/>
  <c r="Y85" i="64"/>
  <c r="Z85" i="64" s="1"/>
  <c r="B19" i="63"/>
  <c r="B25" i="63" s="1"/>
  <c r="L307" i="64"/>
  <c r="R83" i="64"/>
  <c r="R29" i="64"/>
  <c r="R90" i="64"/>
  <c r="Y54" i="64"/>
  <c r="Z54" i="64" s="1"/>
  <c r="T332" i="64"/>
  <c r="Y332" i="64" s="1"/>
  <c r="Z332" i="64" s="1"/>
  <c r="T58" i="64"/>
  <c r="Y58" i="64" s="1"/>
  <c r="Z58" i="64" s="1"/>
  <c r="Y101" i="64"/>
  <c r="Z101" i="64" s="1"/>
  <c r="Y83" i="64"/>
  <c r="Z83" i="64" s="1"/>
  <c r="R173" i="64"/>
  <c r="T59" i="77"/>
  <c r="T60" i="77" s="1"/>
  <c r="K133" i="7"/>
  <c r="L135" i="7"/>
  <c r="D133" i="7"/>
  <c r="K135" i="7"/>
  <c r="X67" i="105"/>
  <c r="X69" i="105" s="1"/>
  <c r="E11" i="21"/>
  <c r="F11" i="21" s="1"/>
  <c r="F22" i="21" s="1"/>
  <c r="C60" i="106"/>
  <c r="C61" i="106" s="1"/>
  <c r="G66" i="105"/>
  <c r="Q58" i="7"/>
  <c r="Q61" i="7" s="1"/>
  <c r="N106" i="17"/>
  <c r="L119" i="71" s="1"/>
  <c r="D44" i="19"/>
  <c r="D46" i="19" s="1"/>
  <c r="H53" i="17" s="1"/>
  <c r="AD85" i="77"/>
  <c r="B135" i="7"/>
  <c r="B133" i="7"/>
  <c r="E135" i="7"/>
  <c r="F25" i="71"/>
  <c r="K25" i="71" s="1"/>
  <c r="N25" i="71" s="1"/>
  <c r="M135" i="7"/>
  <c r="O153" i="64"/>
  <c r="F20" i="63" s="1"/>
  <c r="Y59" i="64"/>
  <c r="Z59" i="64" s="1"/>
  <c r="R143" i="64"/>
  <c r="Y142" i="64"/>
  <c r="Z142" i="64" s="1"/>
  <c r="R218" i="64"/>
  <c r="R300" i="64"/>
  <c r="Y146" i="64"/>
  <c r="Z146" i="64" s="1"/>
  <c r="T338" i="64"/>
  <c r="Y338" i="64" s="1"/>
  <c r="Z338" i="64" s="1"/>
  <c r="AF338" i="64" s="1"/>
  <c r="R67" i="64"/>
  <c r="R30" i="64"/>
  <c r="R88" i="64"/>
  <c r="R202" i="64"/>
  <c r="R233" i="64"/>
  <c r="R141" i="64"/>
  <c r="R156" i="64"/>
  <c r="R200" i="64"/>
  <c r="R275" i="64"/>
  <c r="Y67" i="64"/>
  <c r="Z67" i="64" s="1"/>
  <c r="R232" i="64"/>
  <c r="R208" i="64"/>
  <c r="Y151" i="64"/>
  <c r="Z151" i="64" s="1"/>
  <c r="Y88" i="64"/>
  <c r="Z88" i="64" s="1"/>
  <c r="T121" i="64"/>
  <c r="Y121" i="64" s="1"/>
  <c r="Z121" i="64" s="1"/>
  <c r="Y335" i="64"/>
  <c r="Z335" i="64" s="1"/>
  <c r="R159" i="64"/>
  <c r="R222" i="64"/>
  <c r="R189" i="64"/>
  <c r="U189" i="64" s="1"/>
  <c r="R69" i="64"/>
  <c r="R186" i="64"/>
  <c r="U186" i="64" s="1"/>
  <c r="R113" i="64"/>
  <c r="T62" i="64"/>
  <c r="Y62" i="64" s="1"/>
  <c r="Z62" i="64" s="1"/>
  <c r="R62" i="64"/>
  <c r="R234" i="64"/>
  <c r="R165" i="64"/>
  <c r="R31" i="64"/>
  <c r="R228" i="64"/>
  <c r="R340" i="64"/>
  <c r="Y79" i="64"/>
  <c r="Z79" i="64" s="1"/>
  <c r="Y49" i="64"/>
  <c r="Z49" i="64" s="1"/>
  <c r="T51" i="64"/>
  <c r="Y51" i="64" s="1"/>
  <c r="Z51" i="64" s="1"/>
  <c r="R117" i="64"/>
  <c r="R226" i="64"/>
  <c r="T75" i="64"/>
  <c r="Y75" i="64" s="1"/>
  <c r="Z75" i="64" s="1"/>
  <c r="R75" i="64"/>
  <c r="R61" i="64"/>
  <c r="T61" i="64"/>
  <c r="Y61" i="64" s="1"/>
  <c r="Z61" i="64" s="1"/>
  <c r="R27" i="64"/>
  <c r="R157" i="64"/>
  <c r="R182" i="64"/>
  <c r="T341" i="64"/>
  <c r="Y341" i="64" s="1"/>
  <c r="Z341" i="64" s="1"/>
  <c r="R341" i="64"/>
  <c r="Y69" i="64"/>
  <c r="Z69" i="64" s="1"/>
  <c r="R43" i="64"/>
  <c r="R288" i="64"/>
  <c r="R293" i="64"/>
  <c r="R196" i="64"/>
  <c r="R331" i="64"/>
  <c r="T331" i="64"/>
  <c r="Y331" i="64" s="1"/>
  <c r="Z331" i="64" s="1"/>
  <c r="AF331" i="64" s="1"/>
  <c r="T122" i="64"/>
  <c r="Y122" i="64" s="1"/>
  <c r="Z122" i="64" s="1"/>
  <c r="R122" i="64"/>
  <c r="T97" i="64"/>
  <c r="Y97" i="64" s="1"/>
  <c r="Z97" i="64" s="1"/>
  <c r="R97" i="64"/>
  <c r="R258" i="64"/>
  <c r="R203" i="64"/>
  <c r="R223" i="64"/>
  <c r="R116" i="64"/>
  <c r="T116" i="64"/>
  <c r="Y116" i="64" s="1"/>
  <c r="Z116" i="64" s="1"/>
  <c r="R135" i="64"/>
  <c r="T135" i="64"/>
  <c r="U150" i="64"/>
  <c r="V150" i="64" s="1"/>
  <c r="X150" i="64" s="1"/>
  <c r="T134" i="64"/>
  <c r="Y134" i="64" s="1"/>
  <c r="Z134" i="64" s="1"/>
  <c r="R18" i="64"/>
  <c r="R280" i="64"/>
  <c r="R227" i="64"/>
  <c r="R216" i="64"/>
  <c r="T108" i="64"/>
  <c r="R108" i="64"/>
  <c r="U108" i="64" s="1"/>
  <c r="V108" i="64" s="1"/>
  <c r="X108" i="64" s="1"/>
  <c r="R261" i="64"/>
  <c r="T334" i="64"/>
  <c r="Y334" i="64" s="1"/>
  <c r="Z334" i="64" s="1"/>
  <c r="AF334" i="64" s="1"/>
  <c r="R334" i="64"/>
  <c r="T342" i="64"/>
  <c r="Y342" i="64" s="1"/>
  <c r="Z342" i="64" s="1"/>
  <c r="R342" i="64"/>
  <c r="R41" i="64"/>
  <c r="R115" i="64"/>
  <c r="T115" i="64"/>
  <c r="Y115" i="64" s="1"/>
  <c r="Z115" i="64" s="1"/>
  <c r="R257" i="64"/>
  <c r="R201" i="64"/>
  <c r="R235" i="64"/>
  <c r="T109" i="64"/>
  <c r="Y109" i="64" s="1"/>
  <c r="Z109" i="64" s="1"/>
  <c r="R109" i="64"/>
  <c r="T82" i="64"/>
  <c r="Y82" i="64" s="1"/>
  <c r="Z82" i="64" s="1"/>
  <c r="R82" i="64"/>
  <c r="R273" i="64"/>
  <c r="U273" i="64" s="1"/>
  <c r="R276" i="64"/>
  <c r="R271" i="64"/>
  <c r="T56" i="64"/>
  <c r="Y56" i="64" s="1"/>
  <c r="Z56" i="64" s="1"/>
  <c r="R56" i="64"/>
  <c r="R19" i="64"/>
  <c r="R26" i="64"/>
  <c r="R294" i="64"/>
  <c r="T70" i="64"/>
  <c r="Y70" i="64" s="1"/>
  <c r="Z70" i="64" s="1"/>
  <c r="R70" i="64"/>
  <c r="Y143" i="64"/>
  <c r="Z143" i="64" s="1"/>
  <c r="R175" i="64"/>
  <c r="R281" i="64"/>
  <c r="R205" i="64"/>
  <c r="R120" i="64"/>
  <c r="R299" i="64"/>
  <c r="T112" i="64"/>
  <c r="Y112" i="64" s="1"/>
  <c r="Z112" i="64" s="1"/>
  <c r="R112" i="64"/>
  <c r="R161" i="64"/>
  <c r="T337" i="64"/>
  <c r="Y337" i="64" s="1"/>
  <c r="Z337" i="64" s="1"/>
  <c r="AF337" i="64" s="1"/>
  <c r="R337" i="64"/>
  <c r="O94" i="64"/>
  <c r="O131" i="64" s="1"/>
  <c r="O307" i="64" s="1"/>
  <c r="U94" i="64"/>
  <c r="V94" i="64" s="1"/>
  <c r="X94" i="64" s="1"/>
  <c r="R283" i="64"/>
  <c r="R211" i="64"/>
  <c r="R20" i="64"/>
  <c r="R198" i="64"/>
  <c r="R259" i="64"/>
  <c r="R24" i="64"/>
  <c r="R37" i="64"/>
  <c r="R295" i="64"/>
  <c r="R213" i="64"/>
  <c r="R204" i="64"/>
  <c r="T114" i="64"/>
  <c r="Y114" i="64" s="1"/>
  <c r="Z114" i="64" s="1"/>
  <c r="R114" i="64"/>
  <c r="R52" i="64"/>
  <c r="T52" i="64"/>
  <c r="Y52" i="64" s="1"/>
  <c r="Z52" i="64" s="1"/>
  <c r="R260" i="64"/>
  <c r="R164" i="64"/>
  <c r="R55" i="64"/>
  <c r="T55" i="64"/>
  <c r="Y55" i="64" s="1"/>
  <c r="Z55" i="64" s="1"/>
  <c r="R180" i="64"/>
  <c r="U180" i="64" s="1"/>
  <c r="R219" i="64"/>
  <c r="R39" i="64"/>
  <c r="R25" i="64"/>
  <c r="R297" i="64"/>
  <c r="R264" i="64"/>
  <c r="R174" i="64"/>
  <c r="R59" i="64"/>
  <c r="T71" i="64"/>
  <c r="Y71" i="64" s="1"/>
  <c r="Z71" i="64" s="1"/>
  <c r="R71" i="64"/>
  <c r="R214" i="64"/>
  <c r="R279" i="64"/>
  <c r="T111" i="64"/>
  <c r="Y111" i="64" s="1"/>
  <c r="Z111" i="64" s="1"/>
  <c r="R111" i="64"/>
  <c r="R179" i="64"/>
  <c r="T110" i="64"/>
  <c r="Y110" i="64" s="1"/>
  <c r="Z110" i="64" s="1"/>
  <c r="R110" i="64"/>
  <c r="R171" i="64"/>
  <c r="R278" i="64"/>
  <c r="T150" i="64"/>
  <c r="R150" i="64"/>
  <c r="R270" i="64"/>
  <c r="R92" i="64"/>
  <c r="T92" i="64"/>
  <c r="Y92" i="64" s="1"/>
  <c r="Z92" i="64" s="1"/>
  <c r="T339" i="64"/>
  <c r="Y339" i="64" s="1"/>
  <c r="Z339" i="64" s="1"/>
  <c r="R339" i="64"/>
  <c r="R23" i="64"/>
  <c r="R184" i="64"/>
  <c r="R265" i="64"/>
  <c r="R104" i="64"/>
  <c r="T104" i="64"/>
  <c r="Y104" i="64" s="1"/>
  <c r="Z104" i="64" s="1"/>
  <c r="R106" i="64"/>
  <c r="T106" i="64"/>
  <c r="Y106" i="64" s="1"/>
  <c r="Z106" i="64" s="1"/>
  <c r="R267" i="64"/>
  <c r="T50" i="64"/>
  <c r="Y50" i="64" s="1"/>
  <c r="Z50" i="64" s="1"/>
  <c r="R50" i="64"/>
  <c r="T89" i="64"/>
  <c r="Y89" i="64" s="1"/>
  <c r="Z89" i="64" s="1"/>
  <c r="R178" i="64"/>
  <c r="R207" i="64"/>
  <c r="R296" i="64"/>
  <c r="R241" i="64"/>
  <c r="R224" i="64"/>
  <c r="R78" i="64"/>
  <c r="T78" i="64"/>
  <c r="Y78" i="64" s="1"/>
  <c r="Z78" i="64" s="1"/>
  <c r="R221" i="64"/>
  <c r="R181" i="64"/>
  <c r="T140" i="64"/>
  <c r="Y140" i="64" s="1"/>
  <c r="Z140" i="64" s="1"/>
  <c r="R140" i="64"/>
  <c r="T80" i="64"/>
  <c r="Y80" i="64" s="1"/>
  <c r="Z80" i="64" s="1"/>
  <c r="R80" i="64"/>
  <c r="T65" i="64"/>
  <c r="Y65" i="64" s="1"/>
  <c r="Z65" i="64" s="1"/>
  <c r="R65" i="64"/>
  <c r="T336" i="64"/>
  <c r="Y336" i="64" s="1"/>
  <c r="R336" i="64"/>
  <c r="T329" i="64"/>
  <c r="R329" i="64"/>
  <c r="R169" i="64"/>
  <c r="R197" i="64"/>
  <c r="T147" i="64"/>
  <c r="R147" i="64"/>
  <c r="U147" i="64" s="1"/>
  <c r="V147" i="64" s="1"/>
  <c r="X147" i="64" s="1"/>
  <c r="R287" i="64"/>
  <c r="R163" i="64"/>
  <c r="P166" i="64"/>
  <c r="T138" i="64"/>
  <c r="Y138" i="64" s="1"/>
  <c r="Z138" i="64" s="1"/>
  <c r="R138" i="64"/>
  <c r="R91" i="64"/>
  <c r="T91" i="64"/>
  <c r="Y91" i="64" s="1"/>
  <c r="Z91" i="64" s="1"/>
  <c r="R194" i="64"/>
  <c r="R86" i="64"/>
  <c r="T86" i="64"/>
  <c r="Y86" i="64" s="1"/>
  <c r="Z86" i="64" s="1"/>
  <c r="R98" i="64"/>
  <c r="T98" i="64"/>
  <c r="Y98" i="64" s="1"/>
  <c r="Z98" i="64" s="1"/>
  <c r="R35" i="64"/>
  <c r="R282" i="64"/>
  <c r="R290" i="64"/>
  <c r="R225" i="64"/>
  <c r="U166" i="64"/>
  <c r="M21" i="63" s="1"/>
  <c r="Y90" i="64"/>
  <c r="Z90" i="64" s="1"/>
  <c r="R36" i="64"/>
  <c r="R170" i="64"/>
  <c r="R254" i="64"/>
  <c r="R77" i="64"/>
  <c r="T77" i="64"/>
  <c r="Y77" i="64" s="1"/>
  <c r="Z77" i="64" s="1"/>
  <c r="R263" i="64"/>
  <c r="T145" i="64"/>
  <c r="Y145" i="64" s="1"/>
  <c r="Z145" i="64" s="1"/>
  <c r="R145" i="64"/>
  <c r="T87" i="64"/>
  <c r="Y87" i="64" s="1"/>
  <c r="Z87" i="64" s="1"/>
  <c r="R87" i="64"/>
  <c r="R209" i="64"/>
  <c r="T53" i="64"/>
  <c r="Y53" i="64" s="1"/>
  <c r="Z53" i="64" s="1"/>
  <c r="R53" i="64"/>
  <c r="R274" i="64"/>
  <c r="U274" i="64" s="1"/>
  <c r="R172" i="64"/>
  <c r="R185" i="64"/>
  <c r="T144" i="64"/>
  <c r="Y144" i="64" s="1"/>
  <c r="Z144" i="64" s="1"/>
  <c r="R144" i="64"/>
  <c r="R192" i="64"/>
  <c r="R330" i="64"/>
  <c r="T330" i="64"/>
  <c r="R298" i="64"/>
  <c r="R272" i="64"/>
  <c r="U272" i="64" s="1"/>
  <c r="R301" i="64"/>
  <c r="R238" i="64"/>
  <c r="T63" i="64"/>
  <c r="Y63" i="64" s="1"/>
  <c r="Z63" i="64" s="1"/>
  <c r="R63" i="64"/>
  <c r="R139" i="64"/>
  <c r="T139" i="64"/>
  <c r="Y139" i="64" s="1"/>
  <c r="Z139" i="64" s="1"/>
  <c r="T60" i="64"/>
  <c r="Y60" i="64" s="1"/>
  <c r="Z60" i="64" s="1"/>
  <c r="R60" i="64"/>
  <c r="T96" i="64"/>
  <c r="Y96" i="64" s="1"/>
  <c r="Z96" i="64" s="1"/>
  <c r="R96" i="64"/>
  <c r="R118" i="64"/>
  <c r="T118" i="64"/>
  <c r="Y118" i="64" s="1"/>
  <c r="Z118" i="64" s="1"/>
  <c r="R268" i="64"/>
  <c r="R269" i="64"/>
  <c r="R193" i="64"/>
  <c r="R277" i="64"/>
  <c r="V48" i="64"/>
  <c r="K55" i="71"/>
  <c r="N55" i="71" s="1"/>
  <c r="K84" i="71"/>
  <c r="N84" i="71" s="1"/>
  <c r="R74" i="64"/>
  <c r="T74" i="64"/>
  <c r="Y74" i="64" s="1"/>
  <c r="Z74" i="64" s="1"/>
  <c r="V135" i="64"/>
  <c r="R102" i="64"/>
  <c r="T102" i="64"/>
  <c r="Y102" i="64" s="1"/>
  <c r="Z102" i="64" s="1"/>
  <c r="J133" i="7"/>
  <c r="J135" i="7"/>
  <c r="T99" i="64"/>
  <c r="Y99" i="64" s="1"/>
  <c r="Z99" i="64" s="1"/>
  <c r="R99" i="64"/>
  <c r="R152" i="64"/>
  <c r="T152" i="64"/>
  <c r="Y152" i="64" s="1"/>
  <c r="Z152" i="64" s="1"/>
  <c r="T96" i="101"/>
  <c r="C50" i="71"/>
  <c r="K74" i="71"/>
  <c r="Y103" i="64"/>
  <c r="Z103" i="64" s="1"/>
  <c r="R44" i="64"/>
  <c r="T66" i="64"/>
  <c r="Y66" i="64" s="1"/>
  <c r="Z66" i="64" s="1"/>
  <c r="R66" i="64"/>
  <c r="R286" i="64"/>
  <c r="P47" i="77"/>
  <c r="R229" i="64"/>
  <c r="R177" i="64"/>
  <c r="P251" i="64"/>
  <c r="T54" i="101"/>
  <c r="T57" i="64"/>
  <c r="Y57" i="64" s="1"/>
  <c r="Z57" i="64" s="1"/>
  <c r="R57" i="64"/>
  <c r="T73" i="64"/>
  <c r="Y73" i="64" s="1"/>
  <c r="Z73" i="64" s="1"/>
  <c r="R73" i="64"/>
  <c r="K52" i="71"/>
  <c r="N52" i="71" s="1"/>
  <c r="D19" i="63"/>
  <c r="R148" i="64"/>
  <c r="T148" i="64"/>
  <c r="Y148" i="64" s="1"/>
  <c r="Z148" i="64" s="1"/>
  <c r="P343" i="64"/>
  <c r="Y327" i="64"/>
  <c r="Z327" i="64" s="1"/>
  <c r="AF327" i="64" s="1"/>
  <c r="R206" i="64"/>
  <c r="R212" i="64"/>
  <c r="R48" i="64"/>
  <c r="T48" i="64"/>
  <c r="C132" i="7"/>
  <c r="T137" i="64"/>
  <c r="R137" i="64"/>
  <c r="P153" i="64"/>
  <c r="P32" i="64"/>
  <c r="R183" i="64"/>
  <c r="P303" i="64"/>
  <c r="R94" i="64"/>
  <c r="T94" i="64"/>
  <c r="H111" i="101"/>
  <c r="T111" i="101" s="1"/>
  <c r="T97" i="101"/>
  <c r="G133" i="7"/>
  <c r="G135" i="7"/>
  <c r="R242" i="64"/>
  <c r="T84" i="64"/>
  <c r="Y84" i="64" s="1"/>
  <c r="Z84" i="64" s="1"/>
  <c r="R84" i="64"/>
  <c r="R289" i="64"/>
  <c r="R40" i="64"/>
  <c r="P45" i="64"/>
  <c r="T95" i="64"/>
  <c r="Y95" i="64" s="1"/>
  <c r="Z95" i="64" s="1"/>
  <c r="R95" i="64"/>
  <c r="R188" i="64"/>
  <c r="U188" i="64" s="1"/>
  <c r="R79" i="64"/>
  <c r="R285" i="64"/>
  <c r="U32" i="64"/>
  <c r="R262" i="64"/>
  <c r="O133" i="7"/>
  <c r="O135" i="7"/>
  <c r="AA26" i="108" l="1"/>
  <c r="AA24" i="108"/>
  <c r="L27" i="108"/>
  <c r="AA8" i="108"/>
  <c r="AA18" i="108"/>
  <c r="AA13" i="108"/>
  <c r="AA39" i="108"/>
  <c r="AA6" i="108"/>
  <c r="AA36" i="108"/>
  <c r="AA37" i="108"/>
  <c r="AA22" i="108"/>
  <c r="AA38" i="108"/>
  <c r="AA11" i="108"/>
  <c r="AA29" i="108"/>
  <c r="AA28" i="108"/>
  <c r="AA27" i="108"/>
  <c r="AA21" i="108"/>
  <c r="AA7" i="108"/>
  <c r="AA9" i="108"/>
  <c r="AA17" i="108"/>
  <c r="AA31" i="108"/>
  <c r="AA14" i="108"/>
  <c r="AA34" i="108"/>
  <c r="AA33" i="108"/>
  <c r="AA32" i="108"/>
  <c r="AA19" i="108"/>
  <c r="K66" i="71"/>
  <c r="N66" i="71" s="1"/>
  <c r="F43" i="71"/>
  <c r="K43" i="71" s="1"/>
  <c r="N43" i="71" s="1"/>
  <c r="C45" i="71"/>
  <c r="F12" i="71"/>
  <c r="K12" i="71" s="1"/>
  <c r="N12" i="71" s="1"/>
  <c r="AF77" i="64"/>
  <c r="AF54" i="64"/>
  <c r="AF72" i="64"/>
  <c r="AF116" i="64"/>
  <c r="AF114" i="64"/>
  <c r="AF115" i="64"/>
  <c r="AF104" i="64"/>
  <c r="AF142" i="64"/>
  <c r="AF69" i="64"/>
  <c r="AF117" i="64"/>
  <c r="AF143" i="64"/>
  <c r="AF113" i="64"/>
  <c r="AF70" i="64"/>
  <c r="AF97" i="64"/>
  <c r="AF151" i="64"/>
  <c r="AF90" i="64"/>
  <c r="AF85" i="64"/>
  <c r="AF64" i="64"/>
  <c r="AF106" i="64"/>
  <c r="AF88" i="64"/>
  <c r="AF140" i="64"/>
  <c r="AF82" i="64"/>
  <c r="AF112" i="64"/>
  <c r="AF141" i="64"/>
  <c r="AF83" i="64"/>
  <c r="L316" i="64"/>
  <c r="AF101" i="64"/>
  <c r="AF136" i="64"/>
  <c r="AF100" i="64"/>
  <c r="AF109" i="64"/>
  <c r="AF118" i="64"/>
  <c r="AF59" i="64"/>
  <c r="AF79" i="64"/>
  <c r="AF78" i="64"/>
  <c r="D53" i="19"/>
  <c r="H19" i="17" s="1"/>
  <c r="K48" i="71"/>
  <c r="W72" i="105"/>
  <c r="D24" i="19"/>
  <c r="F24" i="19" s="1"/>
  <c r="B65" i="17" s="1"/>
  <c r="N38" i="49"/>
  <c r="E39" i="49"/>
  <c r="E41" i="49" s="1"/>
  <c r="D36" i="19" s="1"/>
  <c r="D38" i="19" s="1"/>
  <c r="H67" i="71"/>
  <c r="H58" i="20"/>
  <c r="X72" i="105"/>
  <c r="D25" i="19"/>
  <c r="F25" i="19" s="1"/>
  <c r="H81" i="71"/>
  <c r="B59" i="20"/>
  <c r="H59" i="20" s="1"/>
  <c r="N53" i="17"/>
  <c r="L61" i="71" s="1"/>
  <c r="K59" i="71"/>
  <c r="D113" i="71"/>
  <c r="F113" i="71" s="1"/>
  <c r="K113" i="71" s="1"/>
  <c r="N113" i="71" s="1"/>
  <c r="D105" i="71"/>
  <c r="F105" i="71" s="1"/>
  <c r="K105" i="71" s="1"/>
  <c r="N105" i="71" s="1"/>
  <c r="D96" i="71"/>
  <c r="F96" i="71" s="1"/>
  <c r="K96" i="71" s="1"/>
  <c r="N96" i="71" s="1"/>
  <c r="D85" i="71"/>
  <c r="F85" i="71" s="1"/>
  <c r="K85" i="71" s="1"/>
  <c r="N85" i="71" s="1"/>
  <c r="D58" i="71"/>
  <c r="F58" i="71" s="1"/>
  <c r="D62" i="71"/>
  <c r="F62" i="71" s="1"/>
  <c r="K62" i="71" s="1"/>
  <c r="N62" i="71" s="1"/>
  <c r="D108" i="71"/>
  <c r="F108" i="71" s="1"/>
  <c r="K108" i="71" s="1"/>
  <c r="N108" i="71" s="1"/>
  <c r="D86" i="71"/>
  <c r="F86" i="71" s="1"/>
  <c r="K86" i="71" s="1"/>
  <c r="N86" i="71" s="1"/>
  <c r="D112" i="71"/>
  <c r="F112" i="71" s="1"/>
  <c r="K112" i="71" s="1"/>
  <c r="N112" i="71" s="1"/>
  <c r="D104" i="71"/>
  <c r="F104" i="71" s="1"/>
  <c r="D93" i="71"/>
  <c r="F93" i="71" s="1"/>
  <c r="K93" i="71" s="1"/>
  <c r="N93" i="71" s="1"/>
  <c r="D83" i="71"/>
  <c r="F83" i="71" s="1"/>
  <c r="K83" i="71" s="1"/>
  <c r="N83" i="71" s="1"/>
  <c r="D56" i="71"/>
  <c r="F56" i="71" s="1"/>
  <c r="D100" i="71"/>
  <c r="F100" i="71" s="1"/>
  <c r="K100" i="71" s="1"/>
  <c r="N100" i="71" s="1"/>
  <c r="D61" i="71"/>
  <c r="F61" i="71" s="1"/>
  <c r="D107" i="71"/>
  <c r="F107" i="71" s="1"/>
  <c r="K107" i="71" s="1"/>
  <c r="N107" i="71" s="1"/>
  <c r="D60" i="71"/>
  <c r="F60" i="71" s="1"/>
  <c r="K60" i="71" s="1"/>
  <c r="N60" i="71" s="1"/>
  <c r="D110" i="71"/>
  <c r="F110" i="71" s="1"/>
  <c r="K110" i="71" s="1"/>
  <c r="N110" i="71" s="1"/>
  <c r="D103" i="71"/>
  <c r="F103" i="71" s="1"/>
  <c r="K103" i="71" s="1"/>
  <c r="N103" i="71" s="1"/>
  <c r="D92" i="71"/>
  <c r="F92" i="71" s="1"/>
  <c r="K92" i="71" s="1"/>
  <c r="N92" i="71" s="1"/>
  <c r="D82" i="71"/>
  <c r="F82" i="71" s="1"/>
  <c r="K82" i="71" s="1"/>
  <c r="N82" i="71" s="1"/>
  <c r="D51" i="71"/>
  <c r="F51" i="71" s="1"/>
  <c r="K51" i="71" s="1"/>
  <c r="N51" i="71" s="1"/>
  <c r="D53" i="71"/>
  <c r="F53" i="71" s="1"/>
  <c r="K53" i="71" s="1"/>
  <c r="N53" i="71" s="1"/>
  <c r="D117" i="71"/>
  <c r="F117" i="71" s="1"/>
  <c r="K117" i="71" s="1"/>
  <c r="N117" i="71" s="1"/>
  <c r="D109" i="71"/>
  <c r="F109" i="71" s="1"/>
  <c r="K109" i="71" s="1"/>
  <c r="N109" i="71" s="1"/>
  <c r="D102" i="71"/>
  <c r="F102" i="71" s="1"/>
  <c r="K102" i="71" s="1"/>
  <c r="N102" i="71" s="1"/>
  <c r="D90" i="71"/>
  <c r="F90" i="71" s="1"/>
  <c r="K90" i="71" s="1"/>
  <c r="N90" i="71" s="1"/>
  <c r="D88" i="71"/>
  <c r="F88" i="71" s="1"/>
  <c r="K88" i="71" s="1"/>
  <c r="N88" i="71" s="1"/>
  <c r="D54" i="71"/>
  <c r="F54" i="71" s="1"/>
  <c r="K54" i="71" s="1"/>
  <c r="N54" i="71" s="1"/>
  <c r="D97" i="71"/>
  <c r="F97" i="71" s="1"/>
  <c r="K97" i="71" s="1"/>
  <c r="N97" i="71" s="1"/>
  <c r="D50" i="71"/>
  <c r="F50" i="71" s="1"/>
  <c r="K50" i="71" s="1"/>
  <c r="N50" i="71" s="1"/>
  <c r="AF339" i="64"/>
  <c r="AF60" i="64"/>
  <c r="AF30" i="64"/>
  <c r="AF120" i="64"/>
  <c r="T119" i="64"/>
  <c r="Y119" i="64" s="1"/>
  <c r="Z119" i="64" s="1"/>
  <c r="U153" i="64"/>
  <c r="M20" i="63" s="1"/>
  <c r="AF29" i="64"/>
  <c r="U329" i="64"/>
  <c r="V329" i="64" s="1"/>
  <c r="AF27" i="64"/>
  <c r="U330" i="64"/>
  <c r="AF335" i="64"/>
  <c r="N316" i="64"/>
  <c r="O315" i="64" s="1"/>
  <c r="O316" i="64" s="1"/>
  <c r="AF61" i="64"/>
  <c r="AF50" i="64"/>
  <c r="AF52" i="64"/>
  <c r="AF62" i="64"/>
  <c r="AF342" i="64"/>
  <c r="AF146" i="64"/>
  <c r="AF67" i="64"/>
  <c r="AF63" i="64"/>
  <c r="Y94" i="64"/>
  <c r="Z94" i="64" s="1"/>
  <c r="D25" i="63"/>
  <c r="AF65" i="64"/>
  <c r="AF149" i="64"/>
  <c r="AF55" i="64"/>
  <c r="AF51" i="64"/>
  <c r="AF75" i="64"/>
  <c r="AF134" i="64"/>
  <c r="O60" i="106"/>
  <c r="N50" i="17"/>
  <c r="L59" i="71" s="1"/>
  <c r="R32" i="64"/>
  <c r="H17" i="63" s="1"/>
  <c r="AF91" i="64"/>
  <c r="AF49" i="64"/>
  <c r="R166" i="64"/>
  <c r="H21" i="63" s="1"/>
  <c r="AF121" i="64"/>
  <c r="AF122" i="64"/>
  <c r="T343" i="64"/>
  <c r="R343" i="64"/>
  <c r="AF89" i="64"/>
  <c r="Y150" i="64"/>
  <c r="Z150" i="64" s="1"/>
  <c r="AF58" i="64"/>
  <c r="AF26" i="64"/>
  <c r="Y108" i="64"/>
  <c r="Z108" i="64" s="1"/>
  <c r="U303" i="64"/>
  <c r="AF24" i="64"/>
  <c r="AF111" i="64"/>
  <c r="AF92" i="64"/>
  <c r="AF110" i="64"/>
  <c r="AF96" i="64"/>
  <c r="AF145" i="64"/>
  <c r="AF80" i="64"/>
  <c r="AF98" i="64"/>
  <c r="AF107" i="64"/>
  <c r="AF139" i="64"/>
  <c r="AF144" i="64"/>
  <c r="AF86" i="64"/>
  <c r="Z336" i="64"/>
  <c r="AF336" i="64" s="1"/>
  <c r="AF341" i="64"/>
  <c r="AF102" i="64"/>
  <c r="AF138" i="64"/>
  <c r="Y147" i="64"/>
  <c r="Z147" i="64" s="1"/>
  <c r="AF71" i="64"/>
  <c r="AF53" i="64"/>
  <c r="AF87" i="64"/>
  <c r="AF95" i="64"/>
  <c r="AF57" i="64"/>
  <c r="AF152" i="64"/>
  <c r="AF148" i="64"/>
  <c r="R303" i="64"/>
  <c r="H23" i="63" s="1"/>
  <c r="AF84" i="64"/>
  <c r="Q90" i="7"/>
  <c r="N132" i="7"/>
  <c r="F19" i="63"/>
  <c r="F25" i="63" s="1"/>
  <c r="AF332" i="64"/>
  <c r="U40" i="64"/>
  <c r="R45" i="64"/>
  <c r="H18" i="63" s="1"/>
  <c r="R153" i="64"/>
  <c r="H20" i="63" s="1"/>
  <c r="C133" i="7"/>
  <c r="C135" i="7"/>
  <c r="AF103" i="64"/>
  <c r="AF74" i="64"/>
  <c r="U251" i="64"/>
  <c r="M22" i="63" s="1"/>
  <c r="T153" i="64"/>
  <c r="K20" i="63" s="1"/>
  <c r="Y137" i="64"/>
  <c r="Z137" i="64" s="1"/>
  <c r="P46" i="77"/>
  <c r="AF99" i="64"/>
  <c r="X328" i="64"/>
  <c r="AF73" i="64"/>
  <c r="X135" i="64"/>
  <c r="V153" i="64"/>
  <c r="M17" i="63"/>
  <c r="AF56" i="64"/>
  <c r="K119" i="71"/>
  <c r="N119" i="71" s="1"/>
  <c r="K81" i="71"/>
  <c r="N81" i="71" s="1"/>
  <c r="K106" i="71"/>
  <c r="N106" i="71" s="1"/>
  <c r="K116" i="71"/>
  <c r="N116" i="71" s="1"/>
  <c r="K101" i="71"/>
  <c r="N101" i="71" s="1"/>
  <c r="K99" i="71"/>
  <c r="N99" i="71" s="1"/>
  <c r="K89" i="71"/>
  <c r="N89" i="71" s="1"/>
  <c r="K95" i="71"/>
  <c r="N95" i="71" s="1"/>
  <c r="K111" i="71"/>
  <c r="N111" i="71" s="1"/>
  <c r="K91" i="71"/>
  <c r="N91" i="71" s="1"/>
  <c r="K98" i="71"/>
  <c r="N98" i="71" s="1"/>
  <c r="K104" i="71"/>
  <c r="N104" i="71" s="1"/>
  <c r="X48" i="64"/>
  <c r="R251" i="64"/>
  <c r="H22" i="63" s="1"/>
  <c r="AF66" i="64"/>
  <c r="E25" i="21" l="1"/>
  <c r="K45" i="71"/>
  <c r="F45" i="71"/>
  <c r="AF108" i="64"/>
  <c r="AF150" i="64"/>
  <c r="AF119" i="64"/>
  <c r="F55" i="17"/>
  <c r="L18" i="71"/>
  <c r="H38" i="17"/>
  <c r="N38" i="17" s="1"/>
  <c r="N19" i="17"/>
  <c r="N48" i="71"/>
  <c r="B67" i="17"/>
  <c r="N67" i="17" s="1"/>
  <c r="L76" i="71" s="1"/>
  <c r="N76" i="71" s="1"/>
  <c r="S258" i="64"/>
  <c r="S264" i="64"/>
  <c r="S270" i="64"/>
  <c r="S276" i="64"/>
  <c r="S282" i="64"/>
  <c r="S288" i="64"/>
  <c r="S294" i="64"/>
  <c r="S300" i="64"/>
  <c r="S173" i="64"/>
  <c r="S179" i="64"/>
  <c r="S185" i="64"/>
  <c r="S191" i="64"/>
  <c r="S197" i="64"/>
  <c r="S203" i="64"/>
  <c r="S209" i="64"/>
  <c r="S215" i="64"/>
  <c r="S221" i="64"/>
  <c r="S227" i="64"/>
  <c r="S233" i="64"/>
  <c r="S239" i="64"/>
  <c r="S157" i="64"/>
  <c r="S163" i="64"/>
  <c r="S36" i="64"/>
  <c r="S42" i="64"/>
  <c r="S25" i="64"/>
  <c r="S18" i="64"/>
  <c r="S274" i="64"/>
  <c r="S292" i="64"/>
  <c r="S183" i="64"/>
  <c r="S207" i="64"/>
  <c r="S231" i="64"/>
  <c r="S40" i="64"/>
  <c r="S263" i="64"/>
  <c r="S293" i="64"/>
  <c r="S190" i="64"/>
  <c r="S214" i="64"/>
  <c r="S238" i="64"/>
  <c r="S259" i="64"/>
  <c r="S265" i="64"/>
  <c r="S271" i="64"/>
  <c r="S277" i="64"/>
  <c r="S283" i="64"/>
  <c r="S289" i="64"/>
  <c r="S295" i="64"/>
  <c r="S301" i="64"/>
  <c r="S174" i="64"/>
  <c r="S180" i="64"/>
  <c r="S186" i="64"/>
  <c r="S192" i="64"/>
  <c r="S198" i="64"/>
  <c r="S204" i="64"/>
  <c r="S210" i="64"/>
  <c r="S216" i="64"/>
  <c r="S222" i="64"/>
  <c r="S228" i="64"/>
  <c r="S234" i="64"/>
  <c r="S240" i="64"/>
  <c r="S158" i="64"/>
  <c r="S164" i="64"/>
  <c r="S37" i="64"/>
  <c r="S43" i="64"/>
  <c r="S23" i="64"/>
  <c r="S17" i="64"/>
  <c r="S262" i="64"/>
  <c r="S171" i="64"/>
  <c r="S201" i="64"/>
  <c r="S225" i="64"/>
  <c r="S161" i="64"/>
  <c r="S31" i="64"/>
  <c r="S275" i="64"/>
  <c r="S299" i="64"/>
  <c r="S184" i="64"/>
  <c r="S208" i="64"/>
  <c r="S232" i="64"/>
  <c r="S41" i="64"/>
  <c r="C319" i="64"/>
  <c r="C320" i="64" s="1"/>
  <c r="C322" i="64" s="1"/>
  <c r="S260" i="64"/>
  <c r="S266" i="64"/>
  <c r="S272" i="64"/>
  <c r="S278" i="64"/>
  <c r="S284" i="64"/>
  <c r="S290" i="64"/>
  <c r="S296" i="64"/>
  <c r="S254" i="64"/>
  <c r="S175" i="64"/>
  <c r="S181" i="64"/>
  <c r="S187" i="64"/>
  <c r="S193" i="64"/>
  <c r="S199" i="64"/>
  <c r="S205" i="64"/>
  <c r="S211" i="64"/>
  <c r="S217" i="64"/>
  <c r="S223" i="64"/>
  <c r="S229" i="64"/>
  <c r="S235" i="64"/>
  <c r="S241" i="64"/>
  <c r="S159" i="64"/>
  <c r="S165" i="64"/>
  <c r="S38" i="64"/>
  <c r="S44" i="64"/>
  <c r="S22" i="64"/>
  <c r="S268" i="64"/>
  <c r="S298" i="64"/>
  <c r="S189" i="64"/>
  <c r="S213" i="64"/>
  <c r="S237" i="64"/>
  <c r="S20" i="64"/>
  <c r="S269" i="64"/>
  <c r="S287" i="64"/>
  <c r="S178" i="64"/>
  <c r="S202" i="64"/>
  <c r="S226" i="64"/>
  <c r="S162" i="64"/>
  <c r="S28" i="64"/>
  <c r="S255" i="64"/>
  <c r="S261" i="64"/>
  <c r="S267" i="64"/>
  <c r="S273" i="64"/>
  <c r="S279" i="64"/>
  <c r="S285" i="64"/>
  <c r="S291" i="64"/>
  <c r="S297" i="64"/>
  <c r="S170" i="64"/>
  <c r="S176" i="64"/>
  <c r="S182" i="64"/>
  <c r="S188" i="64"/>
  <c r="S194" i="64"/>
  <c r="S200" i="64"/>
  <c r="S206" i="64"/>
  <c r="S212" i="64"/>
  <c r="S218" i="64"/>
  <c r="S224" i="64"/>
  <c r="S230" i="64"/>
  <c r="S236" i="64"/>
  <c r="S242" i="64"/>
  <c r="S160" i="64"/>
  <c r="S156" i="64"/>
  <c r="S39" i="64"/>
  <c r="S35" i="64"/>
  <c r="S21" i="64"/>
  <c r="S256" i="64"/>
  <c r="S280" i="64"/>
  <c r="S286" i="64"/>
  <c r="S177" i="64"/>
  <c r="S195" i="64"/>
  <c r="S219" i="64"/>
  <c r="S243" i="64"/>
  <c r="S257" i="64"/>
  <c r="S281" i="64"/>
  <c r="S172" i="64"/>
  <c r="S196" i="64"/>
  <c r="S220" i="64"/>
  <c r="S169" i="64"/>
  <c r="S19" i="64"/>
  <c r="I30" i="26"/>
  <c r="I31" i="26" s="1"/>
  <c r="D30" i="18"/>
  <c r="D39" i="18" s="1"/>
  <c r="U343" i="64"/>
  <c r="X329" i="64"/>
  <c r="Y329" i="64" s="1"/>
  <c r="Z329" i="64" s="1"/>
  <c r="AF329" i="64" s="1"/>
  <c r="V330" i="64"/>
  <c r="X330" i="64" s="1"/>
  <c r="Y330" i="64" s="1"/>
  <c r="Z330" i="64" s="1"/>
  <c r="AF330" i="64" s="1"/>
  <c r="AF94" i="64"/>
  <c r="M23" i="63"/>
  <c r="U304" i="64"/>
  <c r="N49" i="16"/>
  <c r="N59" i="71"/>
  <c r="B105" i="16"/>
  <c r="J105" i="16"/>
  <c r="J107" i="16" s="1"/>
  <c r="AF147" i="64"/>
  <c r="U45" i="64"/>
  <c r="N60" i="16"/>
  <c r="I70" i="71" s="1"/>
  <c r="N62" i="16"/>
  <c r="I72" i="71" s="1"/>
  <c r="N61" i="16"/>
  <c r="I71" i="71" s="1"/>
  <c r="F125" i="71"/>
  <c r="AF137" i="64"/>
  <c r="H62" i="20"/>
  <c r="H65" i="20"/>
  <c r="H61" i="20"/>
  <c r="H63" i="20"/>
  <c r="H57" i="20"/>
  <c r="K67" i="71" s="1"/>
  <c r="N67" i="71" s="1"/>
  <c r="H64" i="20"/>
  <c r="H60" i="20"/>
  <c r="H56" i="20"/>
  <c r="K65" i="71" s="1"/>
  <c r="Y48" i="64"/>
  <c r="Z48" i="64" s="1"/>
  <c r="Y328" i="64"/>
  <c r="N65" i="17"/>
  <c r="L74" i="71" s="1"/>
  <c r="N74" i="71" s="1"/>
  <c r="N60" i="17"/>
  <c r="N61" i="17"/>
  <c r="N63" i="17"/>
  <c r="L99" i="16"/>
  <c r="Y135" i="64"/>
  <c r="Z135" i="64" s="1"/>
  <c r="X153" i="64"/>
  <c r="N133" i="7"/>
  <c r="N135" i="7"/>
  <c r="C77" i="71"/>
  <c r="C121" i="71" s="1"/>
  <c r="Q132" i="7"/>
  <c r="D48" i="20" l="1"/>
  <c r="E26" i="21"/>
  <c r="H61" i="71" s="1"/>
  <c r="K61" i="71" s="1"/>
  <c r="N61" i="71" s="1"/>
  <c r="H58" i="71"/>
  <c r="K58" i="71" s="1"/>
  <c r="N58" i="71" s="1"/>
  <c r="X313" i="64"/>
  <c r="T40" i="64"/>
  <c r="Y153" i="64"/>
  <c r="O20" i="63" s="1"/>
  <c r="Z7" i="64"/>
  <c r="Z9" i="64"/>
  <c r="Z10" i="64" s="1"/>
  <c r="D55" i="19"/>
  <c r="L45" i="71"/>
  <c r="N18" i="71"/>
  <c r="I56" i="71"/>
  <c r="D77" i="71"/>
  <c r="F77" i="71"/>
  <c r="V40" i="64"/>
  <c r="X40" i="64" s="1"/>
  <c r="T286" i="64"/>
  <c r="V286" i="64"/>
  <c r="X286" i="64" s="1"/>
  <c r="V22" i="64"/>
  <c r="X22" i="64" s="1"/>
  <c r="T22" i="64"/>
  <c r="T19" i="64"/>
  <c r="V19" i="64"/>
  <c r="X19" i="64" s="1"/>
  <c r="V257" i="64"/>
  <c r="X257" i="64" s="1"/>
  <c r="T257" i="64"/>
  <c r="T280" i="64"/>
  <c r="V280" i="64"/>
  <c r="X280" i="64" s="1"/>
  <c r="V160" i="64"/>
  <c r="X160" i="64" s="1"/>
  <c r="T160" i="64"/>
  <c r="V212" i="64"/>
  <c r="X212" i="64" s="1"/>
  <c r="T212" i="64"/>
  <c r="T176" i="64"/>
  <c r="V176" i="64"/>
  <c r="X176" i="64" s="1"/>
  <c r="T273" i="64"/>
  <c r="V273" i="64"/>
  <c r="X273" i="64" s="1"/>
  <c r="V226" i="64"/>
  <c r="X226" i="64" s="1"/>
  <c r="T226" i="64"/>
  <c r="V237" i="64"/>
  <c r="X237" i="64" s="1"/>
  <c r="T237" i="64"/>
  <c r="V44" i="64"/>
  <c r="X44" i="64" s="1"/>
  <c r="T44" i="64"/>
  <c r="T229" i="64"/>
  <c r="V229" i="64"/>
  <c r="X229" i="64" s="1"/>
  <c r="V193" i="64"/>
  <c r="X193" i="64" s="1"/>
  <c r="T193" i="64"/>
  <c r="T290" i="64"/>
  <c r="V290" i="64"/>
  <c r="X290" i="64" s="1"/>
  <c r="V275" i="64"/>
  <c r="X275" i="64" s="1"/>
  <c r="T275" i="64"/>
  <c r="V262" i="64"/>
  <c r="X262" i="64" s="1"/>
  <c r="T262" i="64"/>
  <c r="V158" i="64"/>
  <c r="X158" i="64" s="1"/>
  <c r="T158" i="64"/>
  <c r="T210" i="64"/>
  <c r="V210" i="64"/>
  <c r="X210" i="64" s="1"/>
  <c r="V174" i="64"/>
  <c r="X174" i="64" s="1"/>
  <c r="T174" i="64"/>
  <c r="V271" i="64"/>
  <c r="X271" i="64" s="1"/>
  <c r="T271" i="64"/>
  <c r="V293" i="64"/>
  <c r="X293" i="64" s="1"/>
  <c r="T293" i="64"/>
  <c r="T292" i="64"/>
  <c r="V292" i="64"/>
  <c r="X292" i="64" s="1"/>
  <c r="T163" i="64"/>
  <c r="V163" i="64"/>
  <c r="X163" i="64" s="1"/>
  <c r="T215" i="64"/>
  <c r="V215" i="64"/>
  <c r="X215" i="64" s="1"/>
  <c r="V179" i="64"/>
  <c r="X179" i="64" s="1"/>
  <c r="T179" i="64"/>
  <c r="V276" i="64"/>
  <c r="X276" i="64" s="1"/>
  <c r="T276" i="64"/>
  <c r="V177" i="64"/>
  <c r="X177" i="64" s="1"/>
  <c r="T177" i="64"/>
  <c r="V224" i="64"/>
  <c r="X224" i="64" s="1"/>
  <c r="T224" i="64"/>
  <c r="V285" i="64"/>
  <c r="X285" i="64" s="1"/>
  <c r="T285" i="64"/>
  <c r="V28" i="64"/>
  <c r="X28" i="64" s="1"/>
  <c r="T28" i="64"/>
  <c r="T268" i="64"/>
  <c r="V268" i="64"/>
  <c r="X268" i="64" s="1"/>
  <c r="T241" i="64"/>
  <c r="V241" i="64"/>
  <c r="X241" i="64" s="1"/>
  <c r="T205" i="64"/>
  <c r="V205" i="64"/>
  <c r="X205" i="64" s="1"/>
  <c r="T254" i="64"/>
  <c r="V254" i="64"/>
  <c r="V184" i="64"/>
  <c r="X184" i="64" s="1"/>
  <c r="T184" i="64"/>
  <c r="T201" i="64"/>
  <c r="V201" i="64"/>
  <c r="X201" i="64" s="1"/>
  <c r="V37" i="64"/>
  <c r="X37" i="64" s="1"/>
  <c r="T37" i="64"/>
  <c r="V222" i="64"/>
  <c r="X222" i="64" s="1"/>
  <c r="T222" i="64"/>
  <c r="T186" i="64"/>
  <c r="V186" i="64"/>
  <c r="X186" i="64" s="1"/>
  <c r="V283" i="64"/>
  <c r="X283" i="64" s="1"/>
  <c r="T283" i="64"/>
  <c r="V214" i="64"/>
  <c r="X214" i="64" s="1"/>
  <c r="T214" i="64"/>
  <c r="V207" i="64"/>
  <c r="X207" i="64" s="1"/>
  <c r="T207" i="64"/>
  <c r="T42" i="64"/>
  <c r="V42" i="64"/>
  <c r="X42" i="64" s="1"/>
  <c r="V227" i="64"/>
  <c r="X227" i="64" s="1"/>
  <c r="T227" i="64"/>
  <c r="T288" i="64"/>
  <c r="V288" i="64"/>
  <c r="X288" i="64" s="1"/>
  <c r="T156" i="64"/>
  <c r="V156" i="64"/>
  <c r="V218" i="64"/>
  <c r="X218" i="64" s="1"/>
  <c r="T218" i="64"/>
  <c r="V182" i="64"/>
  <c r="X182" i="64" s="1"/>
  <c r="T182" i="64"/>
  <c r="V279" i="64"/>
  <c r="X279" i="64" s="1"/>
  <c r="T279" i="64"/>
  <c r="V162" i="64"/>
  <c r="X162" i="64" s="1"/>
  <c r="T162" i="64"/>
  <c r="V20" i="64"/>
  <c r="X20" i="64" s="1"/>
  <c r="T20" i="64"/>
  <c r="T235" i="64"/>
  <c r="V235" i="64"/>
  <c r="X235" i="64" s="1"/>
  <c r="V199" i="64"/>
  <c r="X199" i="64" s="1"/>
  <c r="T199" i="64"/>
  <c r="V296" i="64"/>
  <c r="X296" i="64" s="1"/>
  <c r="T296" i="64"/>
  <c r="V260" i="64"/>
  <c r="X260" i="64" s="1"/>
  <c r="T260" i="64"/>
  <c r="V299" i="64"/>
  <c r="X299" i="64" s="1"/>
  <c r="T299" i="64"/>
  <c r="V171" i="64"/>
  <c r="X171" i="64" s="1"/>
  <c r="T171" i="64"/>
  <c r="V164" i="64"/>
  <c r="X164" i="64" s="1"/>
  <c r="T164" i="64"/>
  <c r="V216" i="64"/>
  <c r="X216" i="64" s="1"/>
  <c r="T216" i="64"/>
  <c r="T180" i="64"/>
  <c r="V180" i="64"/>
  <c r="X180" i="64" s="1"/>
  <c r="T277" i="64"/>
  <c r="V277" i="64"/>
  <c r="X277" i="64" s="1"/>
  <c r="V190" i="64"/>
  <c r="X190" i="64" s="1"/>
  <c r="T190" i="64"/>
  <c r="V183" i="64"/>
  <c r="X183" i="64" s="1"/>
  <c r="T183" i="64"/>
  <c r="T36" i="64"/>
  <c r="V36" i="64"/>
  <c r="X36" i="64" s="1"/>
  <c r="V221" i="64"/>
  <c r="X221" i="64" s="1"/>
  <c r="T221" i="64"/>
  <c r="V185" i="64"/>
  <c r="X185" i="64" s="1"/>
  <c r="T185" i="64"/>
  <c r="V282" i="64"/>
  <c r="X282" i="64" s="1"/>
  <c r="T282" i="64"/>
  <c r="V243" i="64"/>
  <c r="X243" i="64" s="1"/>
  <c r="T243" i="64"/>
  <c r="V242" i="64"/>
  <c r="X242" i="64" s="1"/>
  <c r="T242" i="64"/>
  <c r="V206" i="64"/>
  <c r="X206" i="64" s="1"/>
  <c r="T206" i="64"/>
  <c r="V267" i="64"/>
  <c r="X267" i="64" s="1"/>
  <c r="T267" i="64"/>
  <c r="T202" i="64"/>
  <c r="V202" i="64"/>
  <c r="X202" i="64" s="1"/>
  <c r="T38" i="64"/>
  <c r="V38" i="64"/>
  <c r="X38" i="64" s="1"/>
  <c r="V223" i="64"/>
  <c r="X223" i="64" s="1"/>
  <c r="T223" i="64"/>
  <c r="T187" i="64"/>
  <c r="V187" i="64"/>
  <c r="X187" i="64" s="1"/>
  <c r="T41" i="64"/>
  <c r="V41" i="64"/>
  <c r="X41" i="64" s="1"/>
  <c r="V31" i="64"/>
  <c r="X31" i="64" s="1"/>
  <c r="T31" i="64"/>
  <c r="V17" i="64"/>
  <c r="T17" i="64"/>
  <c r="T240" i="64"/>
  <c r="V240" i="64"/>
  <c r="X240" i="64" s="1"/>
  <c r="V204" i="64"/>
  <c r="X204" i="64" s="1"/>
  <c r="T204" i="64"/>
  <c r="V265" i="64"/>
  <c r="X265" i="64" s="1"/>
  <c r="T265" i="64"/>
  <c r="T274" i="64"/>
  <c r="V274" i="64"/>
  <c r="X274" i="64" s="1"/>
  <c r="V173" i="64"/>
  <c r="X173" i="64" s="1"/>
  <c r="T173" i="64"/>
  <c r="T220" i="64"/>
  <c r="V220" i="64"/>
  <c r="X220" i="64" s="1"/>
  <c r="V219" i="64"/>
  <c r="X219" i="64" s="1"/>
  <c r="T219" i="64"/>
  <c r="T21" i="64"/>
  <c r="V21" i="64"/>
  <c r="X21" i="64" s="1"/>
  <c r="V236" i="64"/>
  <c r="X236" i="64" s="1"/>
  <c r="T236" i="64"/>
  <c r="T200" i="64"/>
  <c r="V200" i="64"/>
  <c r="X200" i="64" s="1"/>
  <c r="V297" i="64"/>
  <c r="X297" i="64" s="1"/>
  <c r="T297" i="64"/>
  <c r="V261" i="64"/>
  <c r="X261" i="64" s="1"/>
  <c r="T261" i="64"/>
  <c r="V178" i="64"/>
  <c r="X178" i="64" s="1"/>
  <c r="T178" i="64"/>
  <c r="T189" i="64"/>
  <c r="V189" i="64"/>
  <c r="X189" i="64" s="1"/>
  <c r="T165" i="64"/>
  <c r="V165" i="64"/>
  <c r="X165" i="64" s="1"/>
  <c r="V217" i="64"/>
  <c r="X217" i="64" s="1"/>
  <c r="T217" i="64"/>
  <c r="V181" i="64"/>
  <c r="X181" i="64" s="1"/>
  <c r="T181" i="64"/>
  <c r="V278" i="64"/>
  <c r="X278" i="64" s="1"/>
  <c r="T278" i="64"/>
  <c r="T232" i="64"/>
  <c r="V232" i="64"/>
  <c r="X232" i="64" s="1"/>
  <c r="V161" i="64"/>
  <c r="X161" i="64" s="1"/>
  <c r="T161" i="64"/>
  <c r="V23" i="64"/>
  <c r="X23" i="64" s="1"/>
  <c r="T23" i="64"/>
  <c r="V234" i="64"/>
  <c r="X234" i="64" s="1"/>
  <c r="T234" i="64"/>
  <c r="T198" i="64"/>
  <c r="V198" i="64"/>
  <c r="X198" i="64" s="1"/>
  <c r="T295" i="64"/>
  <c r="V295" i="64"/>
  <c r="X295" i="64" s="1"/>
  <c r="T259" i="64"/>
  <c r="V259" i="64"/>
  <c r="X259" i="64" s="1"/>
  <c r="T18" i="64"/>
  <c r="V18" i="64"/>
  <c r="X18" i="64" s="1"/>
  <c r="V239" i="64"/>
  <c r="X239" i="64" s="1"/>
  <c r="T239" i="64"/>
  <c r="V203" i="64"/>
  <c r="X203" i="64" s="1"/>
  <c r="T203" i="64"/>
  <c r="V300" i="64"/>
  <c r="X300" i="64" s="1"/>
  <c r="T300" i="64"/>
  <c r="T264" i="64"/>
  <c r="V264" i="64"/>
  <c r="X264" i="64" s="1"/>
  <c r="V172" i="64"/>
  <c r="X172" i="64" s="1"/>
  <c r="T172" i="64"/>
  <c r="V39" i="64"/>
  <c r="X39" i="64" s="1"/>
  <c r="T39" i="64"/>
  <c r="T188" i="64"/>
  <c r="V188" i="64"/>
  <c r="X188" i="64" s="1"/>
  <c r="T269" i="64"/>
  <c r="V269" i="64"/>
  <c r="X269" i="64" s="1"/>
  <c r="T266" i="64"/>
  <c r="V266" i="64"/>
  <c r="X266" i="64" s="1"/>
  <c r="T191" i="64"/>
  <c r="V191" i="64"/>
  <c r="X191" i="64" s="1"/>
  <c r="V281" i="64"/>
  <c r="X281" i="64" s="1"/>
  <c r="T281" i="64"/>
  <c r="T169" i="64"/>
  <c r="V169" i="64"/>
  <c r="V256" i="64"/>
  <c r="X256" i="64" s="1"/>
  <c r="T256" i="64"/>
  <c r="V170" i="64"/>
  <c r="X170" i="64" s="1"/>
  <c r="T170" i="64"/>
  <c r="V213" i="64"/>
  <c r="X213" i="64" s="1"/>
  <c r="T213" i="64"/>
  <c r="V284" i="64"/>
  <c r="X284" i="64" s="1"/>
  <c r="T284" i="64"/>
  <c r="T301" i="64"/>
  <c r="V301" i="64"/>
  <c r="X301" i="64" s="1"/>
  <c r="V263" i="64"/>
  <c r="X263" i="64" s="1"/>
  <c r="T263" i="64"/>
  <c r="V157" i="64"/>
  <c r="X157" i="64" s="1"/>
  <c r="T157" i="64"/>
  <c r="V209" i="64"/>
  <c r="X209" i="64" s="1"/>
  <c r="T209" i="64"/>
  <c r="V270" i="64"/>
  <c r="X270" i="64" s="1"/>
  <c r="T270" i="64"/>
  <c r="V196" i="64"/>
  <c r="X196" i="64" s="1"/>
  <c r="T196" i="64"/>
  <c r="T195" i="64"/>
  <c r="V195" i="64"/>
  <c r="X195" i="64" s="1"/>
  <c r="V35" i="64"/>
  <c r="X35" i="64" s="1"/>
  <c r="T35" i="64"/>
  <c r="V230" i="64"/>
  <c r="X230" i="64" s="1"/>
  <c r="T230" i="64"/>
  <c r="T194" i="64"/>
  <c r="V194" i="64"/>
  <c r="X194" i="64" s="1"/>
  <c r="V291" i="64"/>
  <c r="X291" i="64" s="1"/>
  <c r="T291" i="64"/>
  <c r="V255" i="64"/>
  <c r="X255" i="64" s="1"/>
  <c r="T255" i="64"/>
  <c r="T287" i="64"/>
  <c r="V287" i="64"/>
  <c r="X287" i="64" s="1"/>
  <c r="V298" i="64"/>
  <c r="X298" i="64" s="1"/>
  <c r="T298" i="64"/>
  <c r="V159" i="64"/>
  <c r="X159" i="64" s="1"/>
  <c r="T159" i="64"/>
  <c r="V211" i="64"/>
  <c r="X211" i="64" s="1"/>
  <c r="T211" i="64"/>
  <c r="V175" i="64"/>
  <c r="X175" i="64" s="1"/>
  <c r="T175" i="64"/>
  <c r="T272" i="64"/>
  <c r="V272" i="64"/>
  <c r="X272" i="64" s="1"/>
  <c r="V208" i="64"/>
  <c r="X208" i="64" s="1"/>
  <c r="T208" i="64"/>
  <c r="V225" i="64"/>
  <c r="X225" i="64" s="1"/>
  <c r="T225" i="64"/>
  <c r="V43" i="64"/>
  <c r="X43" i="64" s="1"/>
  <c r="T43" i="64"/>
  <c r="T228" i="64"/>
  <c r="V228" i="64"/>
  <c r="X228" i="64" s="1"/>
  <c r="T192" i="64"/>
  <c r="V192" i="64"/>
  <c r="X192" i="64" s="1"/>
  <c r="T289" i="64"/>
  <c r="V289" i="64"/>
  <c r="X289" i="64" s="1"/>
  <c r="V238" i="64"/>
  <c r="X238" i="64" s="1"/>
  <c r="T238" i="64"/>
  <c r="T231" i="64"/>
  <c r="V231" i="64"/>
  <c r="X231" i="64" s="1"/>
  <c r="T25" i="64"/>
  <c r="V25" i="64"/>
  <c r="X25" i="64" s="1"/>
  <c r="T233" i="64"/>
  <c r="V233" i="64"/>
  <c r="X233" i="64" s="1"/>
  <c r="V197" i="64"/>
  <c r="X197" i="64" s="1"/>
  <c r="T197" i="64"/>
  <c r="V294" i="64"/>
  <c r="X294" i="64" s="1"/>
  <c r="T294" i="64"/>
  <c r="V258" i="64"/>
  <c r="X258" i="64" s="1"/>
  <c r="T258" i="64"/>
  <c r="H45" i="16"/>
  <c r="K56" i="71" s="1"/>
  <c r="N56" i="71" s="1"/>
  <c r="X343" i="64"/>
  <c r="Y343" i="64"/>
  <c r="V343" i="64"/>
  <c r="N59" i="16"/>
  <c r="I69" i="71" s="1"/>
  <c r="K69" i="71" s="1"/>
  <c r="N69" i="71" s="1"/>
  <c r="V67" i="105"/>
  <c r="Y67" i="105" s="1"/>
  <c r="C124" i="71"/>
  <c r="N98" i="16"/>
  <c r="K114" i="71" s="1"/>
  <c r="K125" i="71" s="1"/>
  <c r="N63" i="16"/>
  <c r="I73" i="71" s="1"/>
  <c r="K73" i="71" s="1"/>
  <c r="K72" i="71"/>
  <c r="N72" i="71" s="1"/>
  <c r="K70" i="71"/>
  <c r="N70" i="71" s="1"/>
  <c r="Z328" i="64"/>
  <c r="Z343" i="64" s="1"/>
  <c r="B55" i="20"/>
  <c r="H64" i="71" s="1"/>
  <c r="L105" i="16"/>
  <c r="L107" i="16" s="1"/>
  <c r="N99" i="16"/>
  <c r="I115" i="71" s="1"/>
  <c r="K115" i="71" s="1"/>
  <c r="N115" i="71" s="1"/>
  <c r="N59" i="17"/>
  <c r="M18" i="63"/>
  <c r="B107" i="16"/>
  <c r="N64" i="17"/>
  <c r="Q133" i="7"/>
  <c r="Q135" i="7"/>
  <c r="K49" i="71"/>
  <c r="N49" i="71" s="1"/>
  <c r="F107" i="17"/>
  <c r="F109" i="17" s="1"/>
  <c r="N55" i="17"/>
  <c r="K71" i="71"/>
  <c r="N71" i="71" s="1"/>
  <c r="N58" i="16"/>
  <c r="I68" i="71" s="1"/>
  <c r="K68" i="71" s="1"/>
  <c r="N65" i="16"/>
  <c r="I75" i="71" s="1"/>
  <c r="K75" i="71" s="1"/>
  <c r="N65" i="71"/>
  <c r="D52" i="20" l="1"/>
  <c r="H52" i="20" s="1"/>
  <c r="D106" i="20"/>
  <c r="D108" i="20" s="1"/>
  <c r="H48" i="20"/>
  <c r="P53" i="104"/>
  <c r="P55" i="104" s="1"/>
  <c r="F26" i="19" s="1"/>
  <c r="B66" i="17" s="1"/>
  <c r="L75" i="71" s="1"/>
  <c r="Y283" i="64"/>
  <c r="Z283" i="64" s="1"/>
  <c r="Y42" i="64"/>
  <c r="Z42" i="64" s="1"/>
  <c r="Y279" i="64"/>
  <c r="Z279" i="64" s="1"/>
  <c r="AF42" i="64"/>
  <c r="Y224" i="64"/>
  <c r="Z224" i="64" s="1"/>
  <c r="Y37" i="64"/>
  <c r="Z37" i="64" s="1"/>
  <c r="Y260" i="64"/>
  <c r="Z260" i="64" s="1"/>
  <c r="Y179" i="64"/>
  <c r="Z179" i="64" s="1"/>
  <c r="J105" i="17"/>
  <c r="N45" i="71"/>
  <c r="C5" i="108" s="1"/>
  <c r="Y188" i="64"/>
  <c r="Z188" i="64" s="1"/>
  <c r="Y197" i="64"/>
  <c r="Z197" i="64" s="1"/>
  <c r="Y298" i="64"/>
  <c r="Z298" i="64" s="1"/>
  <c r="Y270" i="64"/>
  <c r="Z270" i="64" s="1"/>
  <c r="Y39" i="64"/>
  <c r="Z39" i="64" s="1"/>
  <c r="Y181" i="64"/>
  <c r="Y189" i="64"/>
  <c r="Z189" i="64" s="1"/>
  <c r="Y242" i="64"/>
  <c r="Z242" i="64" s="1"/>
  <c r="Y185" i="64"/>
  <c r="Y180" i="64"/>
  <c r="Y164" i="64"/>
  <c r="Z164" i="64" s="1"/>
  <c r="Y238" i="64"/>
  <c r="Z238" i="64" s="1"/>
  <c r="Y211" i="64"/>
  <c r="Z211" i="64" s="1"/>
  <c r="Y209" i="64"/>
  <c r="Z209" i="64" s="1"/>
  <c r="Y170" i="64"/>
  <c r="Z170" i="64" s="1"/>
  <c r="Y281" i="64"/>
  <c r="Z281" i="64" s="1"/>
  <c r="Y172" i="64"/>
  <c r="Y203" i="64"/>
  <c r="Z203" i="64" s="1"/>
  <c r="Y234" i="64"/>
  <c r="Z234" i="64" s="1"/>
  <c r="Y232" i="64"/>
  <c r="Z232" i="64" s="1"/>
  <c r="Y200" i="64"/>
  <c r="Z200" i="64" s="1"/>
  <c r="Y219" i="64"/>
  <c r="Z219" i="64" s="1"/>
  <c r="Y274" i="64"/>
  <c r="Z274" i="64" s="1"/>
  <c r="Y38" i="64"/>
  <c r="Z38" i="64" s="1"/>
  <c r="Y158" i="64"/>
  <c r="Y44" i="64"/>
  <c r="Z44" i="64" s="1"/>
  <c r="Y273" i="64"/>
  <c r="Z273" i="64" s="1"/>
  <c r="Y275" i="64"/>
  <c r="Z275" i="64" s="1"/>
  <c r="Y199" i="64"/>
  <c r="Z199" i="64" s="1"/>
  <c r="Y162" i="64"/>
  <c r="Y218" i="64"/>
  <c r="Z218" i="64" s="1"/>
  <c r="Y163" i="64"/>
  <c r="Z163" i="64" s="1"/>
  <c r="Y271" i="64"/>
  <c r="Z271" i="64" s="1"/>
  <c r="Y277" i="64"/>
  <c r="Z277" i="64" s="1"/>
  <c r="Y43" i="64"/>
  <c r="Z43" i="64" s="1"/>
  <c r="Y230" i="64"/>
  <c r="Z230" i="64" s="1"/>
  <c r="Y264" i="64"/>
  <c r="Z264" i="64" s="1"/>
  <c r="Y295" i="64"/>
  <c r="Z295" i="64" s="1"/>
  <c r="Y187" i="64"/>
  <c r="Y223" i="64"/>
  <c r="Z223" i="64" s="1"/>
  <c r="Y267" i="64"/>
  <c r="Z267" i="64" s="1"/>
  <c r="Y296" i="64"/>
  <c r="Z296" i="64" s="1"/>
  <c r="Y182" i="64"/>
  <c r="Z182" i="64" s="1"/>
  <c r="Y288" i="64"/>
  <c r="Z288" i="64" s="1"/>
  <c r="Y207" i="64"/>
  <c r="Z207" i="64" s="1"/>
  <c r="Y215" i="64"/>
  <c r="Z215" i="64" s="1"/>
  <c r="Y293" i="64"/>
  <c r="Z293" i="64" s="1"/>
  <c r="Y243" i="64"/>
  <c r="Z243" i="64" s="1"/>
  <c r="Y229" i="64"/>
  <c r="Z229" i="64" s="1"/>
  <c r="Y290" i="64"/>
  <c r="Z290" i="64" s="1"/>
  <c r="Y233" i="64"/>
  <c r="Z233" i="64" s="1"/>
  <c r="Y21" i="64"/>
  <c r="Z21" i="64" s="1"/>
  <c r="Y173" i="64"/>
  <c r="Y204" i="64"/>
  <c r="Z204" i="64" s="1"/>
  <c r="Y280" i="64"/>
  <c r="Z280" i="64" s="1"/>
  <c r="Y22" i="64"/>
  <c r="Z22" i="64" s="1"/>
  <c r="Y294" i="64"/>
  <c r="Z294" i="64" s="1"/>
  <c r="Y228" i="64"/>
  <c r="Z228" i="64" s="1"/>
  <c r="Y287" i="64"/>
  <c r="Z287" i="64" s="1"/>
  <c r="AF209" i="64"/>
  <c r="Y301" i="64"/>
  <c r="Z301" i="64" s="1"/>
  <c r="Y217" i="64"/>
  <c r="Z217" i="64" s="1"/>
  <c r="Y41" i="64"/>
  <c r="Z41" i="64" s="1"/>
  <c r="Y206" i="64"/>
  <c r="Z206" i="64" s="1"/>
  <c r="Y216" i="64"/>
  <c r="Z216" i="64" s="1"/>
  <c r="Y299" i="64"/>
  <c r="Z299" i="64" s="1"/>
  <c r="Y212" i="64"/>
  <c r="Z212" i="64" s="1"/>
  <c r="Y257" i="64"/>
  <c r="Z257" i="64" s="1"/>
  <c r="Y272" i="64"/>
  <c r="Z272" i="64" s="1"/>
  <c r="Y278" i="64"/>
  <c r="Z278" i="64" s="1"/>
  <c r="Y236" i="64"/>
  <c r="Z236" i="64" s="1"/>
  <c r="Y220" i="64"/>
  <c r="Z220" i="64" s="1"/>
  <c r="Y265" i="64"/>
  <c r="Z265" i="64" s="1"/>
  <c r="Y282" i="64"/>
  <c r="Z282" i="64" s="1"/>
  <c r="Y276" i="64"/>
  <c r="Z276" i="64" s="1"/>
  <c r="Y176" i="64"/>
  <c r="Z176" i="64" s="1"/>
  <c r="Y35" i="64"/>
  <c r="Z35" i="64" s="1"/>
  <c r="T45" i="64"/>
  <c r="K18" i="63" s="1"/>
  <c r="Y269" i="64"/>
  <c r="Z269" i="64" s="1"/>
  <c r="Y259" i="64"/>
  <c r="Z259" i="64" s="1"/>
  <c r="Y183" i="64"/>
  <c r="Y28" i="64"/>
  <c r="Z28" i="64" s="1"/>
  <c r="Y160" i="64"/>
  <c r="Y291" i="64"/>
  <c r="Z291" i="64" s="1"/>
  <c r="Y256" i="64"/>
  <c r="Z256" i="64" s="1"/>
  <c r="X17" i="64"/>
  <c r="V32" i="64"/>
  <c r="X156" i="64"/>
  <c r="V166" i="64"/>
  <c r="Y177" i="64"/>
  <c r="Y237" i="64"/>
  <c r="Z237" i="64" s="1"/>
  <c r="Y258" i="64"/>
  <c r="Z258" i="64" s="1"/>
  <c r="Y231" i="64"/>
  <c r="Z231" i="64" s="1"/>
  <c r="Y289" i="64"/>
  <c r="Z289" i="64" s="1"/>
  <c r="Y208" i="64"/>
  <c r="Z208" i="64" s="1"/>
  <c r="Y157" i="64"/>
  <c r="Z157" i="64" s="1"/>
  <c r="Y213" i="64"/>
  <c r="Z213" i="64" s="1"/>
  <c r="Y191" i="64"/>
  <c r="Z191" i="64" s="1"/>
  <c r="Y239" i="64"/>
  <c r="Z239" i="64" s="1"/>
  <c r="Y178" i="64"/>
  <c r="Y297" i="64"/>
  <c r="Z297" i="64" s="1"/>
  <c r="Y202" i="64"/>
  <c r="Z202" i="64" s="1"/>
  <c r="Y221" i="64"/>
  <c r="Z221" i="64" s="1"/>
  <c r="Y190" i="64"/>
  <c r="Z190" i="64" s="1"/>
  <c r="Y171" i="64"/>
  <c r="Y235" i="64"/>
  <c r="Z235" i="64" s="1"/>
  <c r="T166" i="64"/>
  <c r="K21" i="63" s="1"/>
  <c r="AF283" i="64"/>
  <c r="X254" i="64"/>
  <c r="Y254" i="64" s="1"/>
  <c r="Z254" i="64" s="1"/>
  <c r="V303" i="64"/>
  <c r="Y241" i="64"/>
  <c r="Z241" i="64" s="1"/>
  <c r="Y285" i="64"/>
  <c r="Z285" i="64" s="1"/>
  <c r="Y292" i="64"/>
  <c r="Z292" i="64" s="1"/>
  <c r="Y174" i="64"/>
  <c r="Y226" i="64"/>
  <c r="Z226" i="64" s="1"/>
  <c r="H105" i="16"/>
  <c r="H107" i="16" s="1"/>
  <c r="X169" i="64"/>
  <c r="V251" i="64"/>
  <c r="Y23" i="64"/>
  <c r="Z23" i="64" s="1"/>
  <c r="Y186" i="64"/>
  <c r="Z186" i="64" s="1"/>
  <c r="Y159" i="64"/>
  <c r="Z159" i="64" s="1"/>
  <c r="Y194" i="64"/>
  <c r="Z194" i="64" s="1"/>
  <c r="Y195" i="64"/>
  <c r="Z195" i="64" s="1"/>
  <c r="T251" i="64"/>
  <c r="K22" i="63" s="1"/>
  <c r="Y266" i="64"/>
  <c r="Z266" i="64" s="1"/>
  <c r="Y18" i="64"/>
  <c r="Z18" i="64" s="1"/>
  <c r="Y20" i="64"/>
  <c r="Z20" i="64" s="1"/>
  <c r="Y201" i="64"/>
  <c r="Z201" i="64" s="1"/>
  <c r="Y268" i="64"/>
  <c r="Z268" i="64" s="1"/>
  <c r="Y210" i="64"/>
  <c r="Z210" i="64" s="1"/>
  <c r="Y262" i="64"/>
  <c r="Z262" i="64" s="1"/>
  <c r="T32" i="64"/>
  <c r="V45" i="64"/>
  <c r="Y31" i="64"/>
  <c r="Z31" i="64" s="1"/>
  <c r="T303" i="64"/>
  <c r="K23" i="63" s="1"/>
  <c r="N45" i="16"/>
  <c r="Y192" i="64"/>
  <c r="Z192" i="64" s="1"/>
  <c r="Y25" i="64"/>
  <c r="Z25" i="64" s="1"/>
  <c r="Y225" i="64"/>
  <c r="Z225" i="64" s="1"/>
  <c r="Y175" i="64"/>
  <c r="Y255" i="64"/>
  <c r="Z255" i="64" s="1"/>
  <c r="Y196" i="64"/>
  <c r="Z196" i="64" s="1"/>
  <c r="Y263" i="64"/>
  <c r="Z263" i="64" s="1"/>
  <c r="Y284" i="64"/>
  <c r="Z284" i="64" s="1"/>
  <c r="AF170" i="64"/>
  <c r="AF39" i="64"/>
  <c r="Y300" i="64"/>
  <c r="Z300" i="64" s="1"/>
  <c r="Y198" i="64"/>
  <c r="Z198" i="64" s="1"/>
  <c r="Y161" i="64"/>
  <c r="Y165" i="64"/>
  <c r="Z165" i="64" s="1"/>
  <c r="Y261" i="64"/>
  <c r="Z261" i="64" s="1"/>
  <c r="Y240" i="64"/>
  <c r="Z240" i="64" s="1"/>
  <c r="Y36" i="64"/>
  <c r="Z36" i="64" s="1"/>
  <c r="Y227" i="64"/>
  <c r="Z227" i="64" s="1"/>
  <c r="Y214" i="64"/>
  <c r="Z214" i="64" s="1"/>
  <c r="Y222" i="64"/>
  <c r="Z222" i="64" s="1"/>
  <c r="Y184" i="64"/>
  <c r="Y205" i="64"/>
  <c r="Z205" i="64" s="1"/>
  <c r="Y193" i="64"/>
  <c r="Z193" i="64" s="1"/>
  <c r="Y19" i="64"/>
  <c r="Z19" i="64" s="1"/>
  <c r="Y286" i="64"/>
  <c r="Z286" i="64" s="1"/>
  <c r="O67" i="106"/>
  <c r="O68" i="106" s="1"/>
  <c r="L63" i="71"/>
  <c r="N63" i="71" s="1"/>
  <c r="AF328" i="64"/>
  <c r="AF343" i="64" s="1"/>
  <c r="D105" i="16"/>
  <c r="D107" i="16" s="1"/>
  <c r="V69" i="105"/>
  <c r="D23" i="19" s="1"/>
  <c r="F23" i="19" s="1"/>
  <c r="N68" i="71"/>
  <c r="N48" i="17"/>
  <c r="H107" i="17"/>
  <c r="H109" i="17" s="1"/>
  <c r="N114" i="71"/>
  <c r="N73" i="71"/>
  <c r="Z153" i="64"/>
  <c r="Q20" i="63" s="1"/>
  <c r="AF135" i="64"/>
  <c r="AF153" i="64" s="1"/>
  <c r="AF48" i="64"/>
  <c r="I121" i="71"/>
  <c r="I124" i="71" s="1"/>
  <c r="C131" i="71"/>
  <c r="Y40" i="64"/>
  <c r="Z40" i="64" s="1"/>
  <c r="X45" i="64"/>
  <c r="H55" i="20"/>
  <c r="B106" i="20"/>
  <c r="B108" i="20" s="1"/>
  <c r="F27" i="19" l="1"/>
  <c r="D72" i="19" s="1"/>
  <c r="AF256" i="64"/>
  <c r="AF263" i="64"/>
  <c r="Z181" i="64"/>
  <c r="AF181" i="64" s="1"/>
  <c r="AF199" i="64"/>
  <c r="AF273" i="64"/>
  <c r="AF215" i="64"/>
  <c r="AF41" i="64"/>
  <c r="Z187" i="64"/>
  <c r="AF187" i="64" s="1"/>
  <c r="AF285" i="64"/>
  <c r="AF241" i="64"/>
  <c r="Z173" i="64"/>
  <c r="AF173" i="64" s="1"/>
  <c r="AF277" i="64"/>
  <c r="AF212" i="64"/>
  <c r="AF299" i="64"/>
  <c r="AF284" i="64"/>
  <c r="AF216" i="64"/>
  <c r="AF291" i="64"/>
  <c r="AF196" i="64"/>
  <c r="AF288" i="64"/>
  <c r="Z175" i="64"/>
  <c r="AF175" i="64" s="1"/>
  <c r="AF301" i="64"/>
  <c r="AF219" i="64"/>
  <c r="AF269" i="64"/>
  <c r="AF232" i="64"/>
  <c r="AF234" i="64"/>
  <c r="Z172" i="64"/>
  <c r="AF172" i="64" s="1"/>
  <c r="AF292" i="64"/>
  <c r="AF204" i="64"/>
  <c r="AF165" i="64"/>
  <c r="AF21" i="64"/>
  <c r="AF271" i="64"/>
  <c r="AF211" i="64"/>
  <c r="AF224" i="64"/>
  <c r="AF235" i="64"/>
  <c r="AF242" i="64"/>
  <c r="AF221" i="64"/>
  <c r="AF207" i="64"/>
  <c r="AF217" i="64"/>
  <c r="Z183" i="64"/>
  <c r="AF183" i="64" s="1"/>
  <c r="AF267" i="64"/>
  <c r="Z184" i="64"/>
  <c r="AF184" i="64" s="1"/>
  <c r="AF228" i="64"/>
  <c r="AF214" i="64"/>
  <c r="AF226" i="64"/>
  <c r="AF295" i="64"/>
  <c r="AF208" i="64"/>
  <c r="AF230" i="64"/>
  <c r="Z161" i="64"/>
  <c r="AF161" i="64" s="1"/>
  <c r="AF278" i="64"/>
  <c r="AF238" i="64"/>
  <c r="AF229" i="64"/>
  <c r="AF275" i="64"/>
  <c r="Z171" i="64"/>
  <c r="AF171" i="64" s="1"/>
  <c r="AF189" i="64"/>
  <c r="AF206" i="64"/>
  <c r="AF194" i="64"/>
  <c r="AF255" i="64"/>
  <c r="AF297" i="64"/>
  <c r="AF274" i="64"/>
  <c r="AF225" i="64"/>
  <c r="Z178" i="64"/>
  <c r="AF178" i="64" s="1"/>
  <c r="AF296" i="64"/>
  <c r="AF197" i="64"/>
  <c r="AF205" i="64"/>
  <c r="AF239" i="64"/>
  <c r="AF287" i="64"/>
  <c r="AF200" i="64"/>
  <c r="AF192" i="64"/>
  <c r="AF223" i="64"/>
  <c r="AF213" i="64"/>
  <c r="AF294" i="64"/>
  <c r="AF203" i="64"/>
  <c r="AF264" i="64"/>
  <c r="AF289" i="64"/>
  <c r="AF282" i="64"/>
  <c r="AF179" i="64"/>
  <c r="AF281" i="64"/>
  <c r="AF231" i="64"/>
  <c r="AF260" i="64"/>
  <c r="AF261" i="64"/>
  <c r="AF258" i="64"/>
  <c r="Z177" i="64"/>
  <c r="AF177" i="64" s="1"/>
  <c r="AF270" i="64"/>
  <c r="AF201" i="64"/>
  <c r="AF37" i="64"/>
  <c r="AF272" i="64"/>
  <c r="AF233" i="64"/>
  <c r="AF218" i="64"/>
  <c r="AF164" i="64"/>
  <c r="AF279" i="64"/>
  <c r="Z185" i="64"/>
  <c r="AF185" i="64" s="1"/>
  <c r="AF293" i="64"/>
  <c r="Z160" i="64"/>
  <c r="AF160" i="64" s="1"/>
  <c r="Z158" i="64"/>
  <c r="AF158" i="64" s="1"/>
  <c r="AF286" i="64"/>
  <c r="AF298" i="64"/>
  <c r="AF193" i="64"/>
  <c r="AF259" i="64"/>
  <c r="AF227" i="64"/>
  <c r="Z174" i="64"/>
  <c r="AF174" i="64" s="1"/>
  <c r="AF276" i="64"/>
  <c r="AF280" i="64"/>
  <c r="AF43" i="64"/>
  <c r="AF220" i="64"/>
  <c r="AF237" i="64"/>
  <c r="AF268" i="64"/>
  <c r="AF198" i="64"/>
  <c r="AF300" i="64"/>
  <c r="AF257" i="64"/>
  <c r="AF290" i="64"/>
  <c r="Z162" i="64"/>
  <c r="AF162" i="64" s="1"/>
  <c r="Z180" i="64"/>
  <c r="AF180" i="64" s="1"/>
  <c r="AF163" i="64"/>
  <c r="N105" i="17"/>
  <c r="L118" i="71" s="1"/>
  <c r="J107" i="17"/>
  <c r="J109" i="17" s="1"/>
  <c r="I7" i="108"/>
  <c r="J19" i="108" s="1"/>
  <c r="B68" i="17"/>
  <c r="L77" i="71" s="1"/>
  <c r="AF44" i="64"/>
  <c r="AF191" i="64"/>
  <c r="AF182" i="64"/>
  <c r="AF243" i="64"/>
  <c r="AF22" i="64"/>
  <c r="AF20" i="64"/>
  <c r="AF176" i="64"/>
  <c r="AF159" i="64"/>
  <c r="AF190" i="64"/>
  <c r="AF19" i="64"/>
  <c r="AF31" i="64"/>
  <c r="AF186" i="64"/>
  <c r="AF265" i="64"/>
  <c r="Y45" i="64"/>
  <c r="O18" i="63" s="1"/>
  <c r="AF36" i="64"/>
  <c r="AF236" i="64"/>
  <c r="AF266" i="64"/>
  <c r="AF157" i="64"/>
  <c r="AF202" i="64"/>
  <c r="AF35" i="64"/>
  <c r="Y303" i="64"/>
  <c r="O23" i="63" s="1"/>
  <c r="Y17" i="64"/>
  <c r="Z17" i="64" s="1"/>
  <c r="X32" i="64"/>
  <c r="K17" i="63"/>
  <c r="AF25" i="64"/>
  <c r="AF210" i="64"/>
  <c r="X251" i="64"/>
  <c r="X303" i="64"/>
  <c r="AF254" i="64"/>
  <c r="AF28" i="64"/>
  <c r="AF240" i="64"/>
  <c r="Y169" i="64"/>
  <c r="AF195" i="64"/>
  <c r="Y156" i="64"/>
  <c r="X166" i="64"/>
  <c r="AF222" i="64"/>
  <c r="AF18" i="64"/>
  <c r="AF23" i="64"/>
  <c r="N57" i="71"/>
  <c r="V72" i="105"/>
  <c r="Y69" i="105"/>
  <c r="AF188" i="64"/>
  <c r="N105" i="16"/>
  <c r="N125" i="71"/>
  <c r="K77" i="71"/>
  <c r="H106" i="20"/>
  <c r="H108" i="20" s="1"/>
  <c r="C126" i="71"/>
  <c r="C127" i="71" s="1"/>
  <c r="L121" i="71" l="1"/>
  <c r="L124" i="71" s="1"/>
  <c r="Z45" i="64"/>
  <c r="Q18" i="63" s="1"/>
  <c r="AF38" i="64"/>
  <c r="Z156" i="64"/>
  <c r="Z166" i="64" s="1"/>
  <c r="Q21" i="63" s="1"/>
  <c r="Y251" i="64"/>
  <c r="O22" i="63" s="1"/>
  <c r="Z169" i="64"/>
  <c r="N77" i="71"/>
  <c r="Z32" i="64"/>
  <c r="Q17" i="63" s="1"/>
  <c r="Y32" i="64"/>
  <c r="Z303" i="64"/>
  <c r="Q23" i="63" s="1"/>
  <c r="AF262" i="64"/>
  <c r="AF303" i="64" s="1"/>
  <c r="Y166" i="64"/>
  <c r="O21" i="63" s="1"/>
  <c r="AF156" i="64"/>
  <c r="AF166" i="64" s="1"/>
  <c r="N107" i="16"/>
  <c r="D40" i="18"/>
  <c r="D41" i="18" s="1"/>
  <c r="AF40" i="64"/>
  <c r="K64" i="71"/>
  <c r="H121" i="71"/>
  <c r="H124" i="71" s="1"/>
  <c r="AF45" i="64" l="1"/>
  <c r="AF17" i="64"/>
  <c r="AF32" i="64" s="1"/>
  <c r="O17" i="63"/>
  <c r="AF169" i="64"/>
  <c r="AF251" i="64" s="1"/>
  <c r="Z251" i="64"/>
  <c r="Q22" i="63" s="1"/>
  <c r="N64" i="71"/>
  <c r="N66" i="17" l="1"/>
  <c r="B107" i="17" l="1"/>
  <c r="N75" i="71"/>
  <c r="N107" i="17" l="1"/>
  <c r="B109" i="17"/>
  <c r="N109" i="17" s="1"/>
  <c r="D73" i="19" s="1"/>
  <c r="D74" i="19" s="1"/>
  <c r="N58" i="106" l="1"/>
  <c r="O58" i="106"/>
  <c r="O61" i="106" s="1"/>
  <c r="E16" i="21"/>
  <c r="E17" i="21" l="1"/>
  <c r="Q58" i="106"/>
  <c r="W58" i="106"/>
  <c r="P105" i="64" l="1"/>
  <c r="P131" i="64" s="1"/>
  <c r="P307" i="64" s="1"/>
  <c r="Q131" i="64"/>
  <c r="Q307" i="64" s="1"/>
  <c r="U131" i="64"/>
  <c r="M19" i="63" s="1"/>
  <c r="M25" i="63" s="1"/>
  <c r="V131" i="64"/>
  <c r="V307" i="64" s="1"/>
  <c r="X131" i="64"/>
  <c r="X307" i="64" s="1"/>
  <c r="U307" i="64" l="1"/>
  <c r="X312" i="64" s="1"/>
  <c r="X314" i="64" s="1"/>
  <c r="T105" i="64"/>
  <c r="R105" i="64"/>
  <c r="R131" i="64" s="1"/>
  <c r="R307" i="64" l="1"/>
  <c r="H19" i="63"/>
  <c r="H25" i="63" s="1"/>
  <c r="Y105" i="64"/>
  <c r="Z105" i="64" s="1"/>
  <c r="T131" i="64"/>
  <c r="H28" i="63" l="1"/>
  <c r="Z131" i="64"/>
  <c r="Y131" i="64"/>
  <c r="K19" i="63"/>
  <c r="K25" i="63" s="1"/>
  <c r="T307" i="64"/>
  <c r="K31" i="63" l="1"/>
  <c r="D118" i="71" s="1"/>
  <c r="O19" i="63"/>
  <c r="O25" i="63" s="1"/>
  <c r="Y307" i="64"/>
  <c r="AF105" i="64"/>
  <c r="AF131" i="64" s="1"/>
  <c r="Q19" i="63"/>
  <c r="Q25" i="63" s="1"/>
  <c r="Z307" i="64"/>
  <c r="D121" i="71" l="1"/>
  <c r="D124" i="71" s="1"/>
  <c r="F118" i="71"/>
  <c r="K129" i="71"/>
  <c r="C7" i="108"/>
  <c r="J28" i="108" s="1"/>
  <c r="F129" i="71"/>
  <c r="N129" i="71"/>
  <c r="C129" i="71"/>
  <c r="C133" i="71" s="1"/>
  <c r="K118" i="71"/>
  <c r="F121" i="71"/>
  <c r="F131" i="71" l="1"/>
  <c r="F124" i="71"/>
  <c r="H122" i="71"/>
  <c r="N118" i="71"/>
  <c r="K121" i="71"/>
  <c r="S7" i="108"/>
  <c r="T7" i="108" s="1"/>
  <c r="U7" i="108" s="1"/>
  <c r="W7" i="108" s="1"/>
  <c r="X7" i="108" s="1"/>
  <c r="Y7" i="108" s="1"/>
  <c r="Z7" i="108" s="1"/>
  <c r="AB7" i="108" s="1"/>
  <c r="AC7" i="108" s="1"/>
  <c r="AD7" i="108" s="1"/>
  <c r="J26" i="108"/>
  <c r="S8" i="108"/>
  <c r="T8" i="108" s="1"/>
  <c r="U8" i="108" s="1"/>
  <c r="W8" i="108" s="1"/>
  <c r="X8" i="108" s="1"/>
  <c r="Y8" i="108" s="1"/>
  <c r="Z8" i="108" s="1"/>
  <c r="AB8" i="108" s="1"/>
  <c r="AC8" i="108" s="1"/>
  <c r="AD8" i="108" s="1"/>
  <c r="J27" i="108"/>
  <c r="M27" i="108" s="1"/>
  <c r="K11" i="108" s="1"/>
  <c r="S9" i="108"/>
  <c r="T9" i="108" s="1"/>
  <c r="U9" i="108" s="1"/>
  <c r="W9" i="108" s="1"/>
  <c r="X9" i="108" s="1"/>
  <c r="Y9" i="108" s="1"/>
  <c r="Z9" i="108" s="1"/>
  <c r="AB9" i="108" s="1"/>
  <c r="AC9" i="108" s="1"/>
  <c r="AD9" i="108" s="1"/>
  <c r="S6" i="108"/>
  <c r="T6" i="108" s="1"/>
  <c r="U6" i="108" s="1"/>
  <c r="W6" i="108" s="1"/>
  <c r="X6" i="108" s="1"/>
  <c r="Y6" i="108" s="1"/>
  <c r="Z6" i="108" s="1"/>
  <c r="AB6" i="108" s="1"/>
  <c r="AC6" i="108" s="1"/>
  <c r="AD6" i="108" s="1"/>
  <c r="I11" i="108" l="1"/>
  <c r="M11" i="108"/>
  <c r="N121" i="71"/>
  <c r="K131" i="71"/>
  <c r="K124" i="71"/>
  <c r="F126" i="71"/>
  <c r="F127" i="71" s="1"/>
  <c r="F133" i="71" s="1"/>
  <c r="K126" i="71" l="1"/>
  <c r="K127" i="71" s="1"/>
  <c r="K133" i="71" s="1"/>
  <c r="N131" i="71"/>
  <c r="N124" i="71"/>
  <c r="C6" i="108"/>
  <c r="I8" i="108" s="1"/>
  <c r="AE9" i="108" l="1"/>
  <c r="AF9" i="108" s="1"/>
  <c r="AE7" i="108"/>
  <c r="AF7" i="108" s="1"/>
  <c r="I9" i="108"/>
  <c r="K8" i="108"/>
  <c r="AE8" i="108"/>
  <c r="AF8" i="108" s="1"/>
  <c r="AE6" i="108"/>
  <c r="AF6" i="108" s="1"/>
  <c r="I16" i="108"/>
  <c r="N126" i="71"/>
  <c r="N127" i="71" s="1"/>
  <c r="N133" i="71" s="1"/>
  <c r="T31" i="108"/>
  <c r="Y64" i="108"/>
  <c r="J34" i="108"/>
  <c r="M28" i="108"/>
  <c r="M26" i="108"/>
  <c r="M21" i="108"/>
  <c r="M19" i="108"/>
  <c r="L28" i="108"/>
  <c r="K26" i="108"/>
  <c r="L26" i="108"/>
  <c r="K47" i="108"/>
  <c r="K43" i="108"/>
  <c r="AI37" i="108"/>
  <c r="AH37" i="108"/>
  <c r="AG37" i="108"/>
  <c r="AF37" i="108"/>
  <c r="U37" i="108"/>
  <c r="W37" i="108"/>
  <c r="X37" i="108"/>
  <c r="Y37" i="108"/>
  <c r="Z37" i="108"/>
  <c r="AB37" i="108"/>
  <c r="AC37" i="108"/>
  <c r="AD37" i="108"/>
  <c r="AE37" i="108"/>
  <c r="T19" i="108"/>
  <c r="T18" i="108"/>
  <c r="Z65" i="108"/>
  <c r="Z67" i="108"/>
  <c r="K37" i="108"/>
  <c r="T14" i="108"/>
  <c r="T28" i="108"/>
  <c r="Y65" i="108"/>
  <c r="J35" i="108"/>
  <c r="Z63" i="108"/>
  <c r="K33" i="108"/>
  <c r="U36" i="108"/>
  <c r="W36" i="108"/>
  <c r="X36" i="108"/>
  <c r="Y36" i="108"/>
  <c r="Z36" i="108"/>
  <c r="AB36" i="108"/>
  <c r="AC36" i="108"/>
  <c r="AD36" i="108"/>
  <c r="AE36" i="108"/>
  <c r="AF36" i="108"/>
  <c r="AG36" i="108"/>
  <c r="AH36" i="108"/>
  <c r="AI36" i="108"/>
  <c r="T32" i="108"/>
  <c r="T17" i="108"/>
  <c r="J37" i="108"/>
  <c r="Y67" i="108"/>
  <c r="T22" i="108"/>
  <c r="J12" i="108"/>
  <c r="K12" i="108"/>
  <c r="M12" i="108"/>
  <c r="Y66" i="108"/>
  <c r="M16" i="108"/>
  <c r="J36" i="108"/>
  <c r="K36" i="108"/>
  <c r="Z66" i="108"/>
  <c r="AI38" i="108"/>
  <c r="AH38" i="108"/>
  <c r="U38" i="108"/>
  <c r="W38" i="108"/>
  <c r="X38" i="108"/>
  <c r="Y38" i="108"/>
  <c r="Z38" i="108"/>
  <c r="AB38" i="108"/>
  <c r="AC38" i="108"/>
  <c r="AD38" i="108"/>
  <c r="AE38" i="108"/>
  <c r="AF38" i="108"/>
  <c r="AG38" i="108"/>
  <c r="T11" i="108"/>
  <c r="T26" i="108"/>
  <c r="T33" i="108"/>
  <c r="U23" i="108"/>
  <c r="W23" i="108"/>
  <c r="X23" i="108"/>
  <c r="Y23" i="108"/>
  <c r="Z23" i="108"/>
  <c r="AB23" i="108"/>
  <c r="AC23" i="108"/>
  <c r="AD23" i="108"/>
  <c r="AE23" i="108"/>
  <c r="AF23" i="108"/>
  <c r="AG23" i="108"/>
  <c r="AH23" i="108"/>
  <c r="AI23" i="108"/>
  <c r="S28" i="108"/>
  <c r="U28" i="108"/>
  <c r="W28" i="108"/>
  <c r="X28" i="108"/>
  <c r="Y28" i="108"/>
  <c r="Z28" i="108"/>
  <c r="AB28" i="108"/>
  <c r="AC28" i="108"/>
  <c r="AD28" i="108"/>
  <c r="AE28" i="108"/>
  <c r="AF28" i="108"/>
  <c r="AG28" i="108"/>
  <c r="AH28" i="108"/>
  <c r="AI28" i="108"/>
  <c r="S33" i="108"/>
  <c r="U33" i="108"/>
  <c r="W33" i="108"/>
  <c r="X33" i="108"/>
  <c r="Y33" i="108"/>
  <c r="Z33" i="108"/>
  <c r="AB33" i="108"/>
  <c r="AC33" i="108"/>
  <c r="AD33" i="108"/>
  <c r="AE33" i="108"/>
  <c r="AF33" i="108"/>
  <c r="AG33" i="108"/>
  <c r="AH33" i="108"/>
  <c r="AI33" i="108"/>
  <c r="S38" i="108"/>
  <c r="T38" i="108"/>
  <c r="U13" i="108"/>
  <c r="W13" i="108"/>
  <c r="X13" i="108"/>
  <c r="Y13" i="108"/>
  <c r="Z13" i="108"/>
  <c r="AB13" i="108"/>
  <c r="AC13" i="108"/>
  <c r="AD13" i="108"/>
  <c r="AE13" i="108"/>
  <c r="AF13" i="108"/>
  <c r="AG13" i="108"/>
  <c r="AH13" i="108"/>
  <c r="AI13" i="108"/>
  <c r="S18" i="108"/>
  <c r="U18" i="108"/>
  <c r="W18" i="108"/>
  <c r="X18" i="108"/>
  <c r="Y18" i="108"/>
  <c r="Z18" i="108"/>
  <c r="AB18" i="108"/>
  <c r="AC18" i="108"/>
  <c r="AD18" i="108"/>
  <c r="AE18" i="108"/>
  <c r="AF18" i="108"/>
  <c r="AG18" i="108"/>
  <c r="AH18" i="108"/>
  <c r="AI18" i="108"/>
  <c r="S23" i="108"/>
  <c r="T23" i="108"/>
  <c r="T21" i="108"/>
  <c r="J20" i="108"/>
  <c r="J21" i="108"/>
  <c r="K22" i="108"/>
  <c r="T24" i="108"/>
  <c r="AG8" i="108"/>
  <c r="AH8" i="108"/>
  <c r="AI8" i="108"/>
  <c r="S13" i="108"/>
  <c r="T13" i="108"/>
  <c r="U27" i="108"/>
  <c r="W27" i="108"/>
  <c r="X27" i="108"/>
  <c r="Y27" i="108"/>
  <c r="Z27" i="108"/>
  <c r="AB27" i="108"/>
  <c r="AC27" i="108"/>
  <c r="AD27" i="108"/>
  <c r="AE27" i="108"/>
  <c r="AF27" i="108"/>
  <c r="AG27" i="108"/>
  <c r="AH27" i="108"/>
  <c r="AI27" i="108"/>
  <c r="S32" i="108"/>
  <c r="U32" i="108"/>
  <c r="W32" i="108"/>
  <c r="X32" i="108"/>
  <c r="Y32" i="108"/>
  <c r="Z32" i="108"/>
  <c r="AB32" i="108"/>
  <c r="AC32" i="108"/>
  <c r="AD32" i="108"/>
  <c r="AE32" i="108"/>
  <c r="AF32" i="108"/>
  <c r="AG32" i="108"/>
  <c r="AH32" i="108"/>
  <c r="AI32" i="108"/>
  <c r="S37" i="108"/>
  <c r="T37" i="108"/>
  <c r="K14" i="108"/>
  <c r="I12" i="108"/>
  <c r="I14" i="108"/>
  <c r="T39" i="108"/>
  <c r="T34" i="108"/>
  <c r="R48" i="108"/>
  <c r="U29" i="108"/>
  <c r="W29" i="108"/>
  <c r="X29" i="108"/>
  <c r="Y29" i="108"/>
  <c r="Z29" i="108"/>
  <c r="AB29" i="108"/>
  <c r="AC29" i="108"/>
  <c r="AD29" i="108"/>
  <c r="AE29" i="108"/>
  <c r="AF29" i="108"/>
  <c r="AG29" i="108"/>
  <c r="AH29" i="108"/>
  <c r="AI29" i="108"/>
  <c r="S34" i="108"/>
  <c r="U34" i="108"/>
  <c r="W34" i="108"/>
  <c r="X34" i="108"/>
  <c r="Y34" i="108"/>
  <c r="Z34" i="108"/>
  <c r="AB34" i="108"/>
  <c r="AC34" i="108"/>
  <c r="AD34" i="108"/>
  <c r="AE34" i="108"/>
  <c r="AF34" i="108"/>
  <c r="AG34" i="108"/>
  <c r="AH34" i="108"/>
  <c r="AI34" i="108"/>
  <c r="S39" i="108"/>
  <c r="U39" i="108"/>
  <c r="W39" i="108"/>
  <c r="X39" i="108"/>
  <c r="Y39" i="108"/>
  <c r="Z39" i="108"/>
  <c r="AB39" i="108"/>
  <c r="AC39" i="108"/>
  <c r="AD39" i="108"/>
  <c r="AE39" i="108"/>
  <c r="AF39" i="108"/>
  <c r="AG39" i="108"/>
  <c r="AH39" i="108"/>
  <c r="AI39" i="108"/>
  <c r="T36" i="108"/>
  <c r="M20" i="108"/>
  <c r="U12" i="108"/>
  <c r="W12" i="108"/>
  <c r="X12" i="108"/>
  <c r="Y12" i="108"/>
  <c r="Z12" i="108"/>
  <c r="AB12" i="108"/>
  <c r="AC12" i="108"/>
  <c r="AD12" i="108"/>
  <c r="AE12" i="108"/>
  <c r="AF12" i="108"/>
  <c r="AG12" i="108"/>
  <c r="AH12" i="108"/>
  <c r="AI12" i="108"/>
  <c r="S17" i="108"/>
  <c r="U17" i="108"/>
  <c r="W17" i="108"/>
  <c r="X17" i="108"/>
  <c r="Y17" i="108"/>
  <c r="Z17" i="108"/>
  <c r="AB17" i="108"/>
  <c r="AC17" i="108"/>
  <c r="AD17" i="108"/>
  <c r="AE17" i="108"/>
  <c r="AF17" i="108"/>
  <c r="AG17" i="108"/>
  <c r="AH17" i="108"/>
  <c r="AI17" i="108"/>
  <c r="S22" i="108"/>
  <c r="U22" i="108"/>
  <c r="W22" i="108"/>
  <c r="X22" i="108"/>
  <c r="Y22" i="108"/>
  <c r="Z22" i="108"/>
  <c r="AB22" i="108"/>
  <c r="AC22" i="108"/>
  <c r="AD22" i="108"/>
  <c r="AE22" i="108"/>
  <c r="AF22" i="108"/>
  <c r="AG22" i="108"/>
  <c r="AH22" i="108"/>
  <c r="AI22" i="108"/>
  <c r="S27" i="108"/>
  <c r="T27" i="108"/>
  <c r="AG7" i="108"/>
  <c r="AH7" i="108"/>
  <c r="AI7" i="108"/>
  <c r="S12" i="108"/>
  <c r="T12" i="108"/>
  <c r="AG9" i="108"/>
  <c r="AH9" i="108"/>
  <c r="AI9" i="108"/>
  <c r="S14" i="108"/>
  <c r="U14" i="108"/>
  <c r="W14" i="108"/>
  <c r="X14" i="108"/>
  <c r="Y14" i="108"/>
  <c r="Z14" i="108"/>
  <c r="AB14" i="108"/>
  <c r="AC14" i="108"/>
  <c r="AD14" i="108"/>
  <c r="AE14" i="108"/>
  <c r="AF14" i="108"/>
  <c r="AG14" i="108"/>
  <c r="AH14" i="108"/>
  <c r="AI14" i="108"/>
  <c r="S19" i="108"/>
  <c r="U19" i="108"/>
  <c r="W19" i="108"/>
  <c r="X19" i="108"/>
  <c r="Y19" i="108"/>
  <c r="Z19" i="108"/>
  <c r="AB19" i="108"/>
  <c r="AC19" i="108"/>
  <c r="AD19" i="108"/>
  <c r="AE19" i="108"/>
  <c r="AF19" i="108"/>
  <c r="AG19" i="108"/>
  <c r="AH19" i="108"/>
  <c r="AI19" i="108"/>
  <c r="S24" i="108"/>
  <c r="U24" i="108"/>
  <c r="W24" i="108"/>
  <c r="X24" i="108"/>
  <c r="Y24" i="108"/>
  <c r="Z24" i="108"/>
  <c r="AB24" i="108"/>
  <c r="AC24" i="108"/>
  <c r="AD24" i="108"/>
  <c r="AE24" i="108"/>
  <c r="AF24" i="108"/>
  <c r="AG24" i="108"/>
  <c r="AH24" i="108"/>
  <c r="AI24" i="108"/>
  <c r="S29" i="108"/>
  <c r="T29" i="108"/>
  <c r="T16" i="108"/>
  <c r="M9" i="108"/>
  <c r="M14" i="108"/>
  <c r="K34" i="108"/>
  <c r="Z64" i="108"/>
  <c r="K9" i="108"/>
  <c r="J33" i="108"/>
  <c r="Y63" i="108"/>
  <c r="K16" i="108"/>
  <c r="K45" i="108"/>
  <c r="K44" i="108"/>
  <c r="K46" i="108"/>
  <c r="L7" i="108"/>
  <c r="L8" i="108"/>
  <c r="M8" i="108"/>
  <c r="K35" i="108"/>
  <c r="J49" i="108"/>
  <c r="AG6" i="108"/>
  <c r="AH6" i="108"/>
  <c r="AI6" i="108"/>
  <c r="S11" i="108"/>
  <c r="U11" i="108"/>
  <c r="W11" i="108"/>
  <c r="X11" i="108"/>
  <c r="Y11" i="108"/>
  <c r="Z11" i="108"/>
  <c r="AB11" i="108"/>
  <c r="AC11" i="108"/>
  <c r="AD11" i="108"/>
  <c r="AE11" i="108"/>
  <c r="AF11" i="108"/>
  <c r="AG11" i="108"/>
  <c r="AH11" i="108"/>
  <c r="AI11" i="108"/>
  <c r="S16" i="108"/>
  <c r="U16" i="108"/>
  <c r="W16" i="108"/>
  <c r="X16" i="108"/>
  <c r="Y16" i="108"/>
  <c r="Z16" i="108"/>
  <c r="AB16" i="108"/>
  <c r="AC16" i="108"/>
  <c r="AD16" i="108"/>
  <c r="AE16" i="108"/>
  <c r="AF16" i="108"/>
  <c r="AG16" i="108"/>
  <c r="AH16" i="108"/>
  <c r="AI16" i="108"/>
  <c r="S21" i="108"/>
  <c r="U21" i="108"/>
  <c r="W21" i="108"/>
  <c r="X21" i="108"/>
  <c r="Y21" i="108"/>
  <c r="Z21" i="108"/>
  <c r="AB21" i="108"/>
  <c r="AC21" i="108"/>
  <c r="AD21" i="108"/>
  <c r="AE21" i="108"/>
  <c r="AF21" i="108"/>
  <c r="AG21" i="108"/>
  <c r="AH21" i="108"/>
  <c r="AI21" i="108"/>
  <c r="S26" i="108"/>
  <c r="U26" i="108"/>
  <c r="W26" i="108"/>
  <c r="X26" i="108"/>
  <c r="Y26" i="108"/>
  <c r="Z26" i="108"/>
  <c r="AB26" i="108"/>
  <c r="AC26" i="108"/>
  <c r="AD26" i="108"/>
  <c r="AE26" i="108"/>
  <c r="AF26" i="108"/>
  <c r="AG26" i="108"/>
  <c r="AH26" i="108"/>
  <c r="AI26" i="108"/>
  <c r="S31" i="108"/>
  <c r="U31" i="108"/>
  <c r="W31" i="108"/>
  <c r="X31" i="108"/>
  <c r="Y31" i="108"/>
  <c r="Z31" i="108"/>
  <c r="AB31" i="108"/>
  <c r="AC31" i="108"/>
  <c r="AD31" i="108"/>
  <c r="AE31" i="108"/>
  <c r="AF31" i="108"/>
  <c r="AG31" i="108"/>
  <c r="AH31" i="108"/>
  <c r="AI31" i="108"/>
  <c r="S36" i="108"/>
  <c r="R49" i="108"/>
  <c r="V43" i="108"/>
  <c r="V44" i="108"/>
  <c r="R51" i="108"/>
  <c r="J7" i="108"/>
  <c r="K7" i="108"/>
  <c r="M7" i="108"/>
  <c r="V45" i="10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Logan Davis</author>
  </authors>
  <commentList>
    <comment ref="Z13" authorId="0" shapeId="0" xr:uid="{F54E9319-7FC2-4AFD-83BD-295ED3BEED04}">
      <text>
        <r>
          <rPr>
            <b/>
            <sz val="9"/>
            <color indexed="81"/>
            <rFont val="Tahoma"/>
            <family val="2"/>
          </rPr>
          <t>Logan Davis:</t>
        </r>
        <r>
          <rPr>
            <sz val="9"/>
            <color indexed="81"/>
            <rFont val="Tahoma"/>
            <family val="2"/>
          </rPr>
          <t xml:space="preserve">
Should this be regulated average investment?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Logan Davis</author>
  </authors>
  <commentList>
    <comment ref="V7" authorId="0" shapeId="0" xr:uid="{A4114191-B246-426A-BF11-F7E530813112}">
      <text>
        <r>
          <rPr>
            <b/>
            <sz val="9"/>
            <color indexed="81"/>
            <rFont val="Tahoma"/>
            <family val="2"/>
          </rPr>
          <t>Logan Davis:</t>
        </r>
        <r>
          <rPr>
            <sz val="9"/>
            <color indexed="81"/>
            <rFont val="Tahoma"/>
            <family val="2"/>
          </rPr>
          <t xml:space="preserve">
2024 Wage base not released, used 2023 wage base</t>
        </r>
      </text>
    </comment>
    <comment ref="W7" authorId="0" shapeId="0" xr:uid="{8E959F26-09B4-4C11-AFAD-93A98769E6C0}">
      <text>
        <r>
          <rPr>
            <b/>
            <sz val="9"/>
            <color indexed="81"/>
            <rFont val="Tahoma"/>
            <family val="2"/>
          </rPr>
          <t>Logan Davis:</t>
        </r>
        <r>
          <rPr>
            <sz val="9"/>
            <color indexed="81"/>
            <rFont val="Tahoma"/>
            <family val="2"/>
          </rPr>
          <t xml:space="preserve">
Used 2023 L&amp;I ER Rate</t>
        </r>
      </text>
    </comment>
    <comment ref="V8" authorId="0" shapeId="0" xr:uid="{685066DD-1BAB-4D99-AC6B-3D4C64368B06}">
      <text>
        <r>
          <rPr>
            <b/>
            <sz val="9"/>
            <color indexed="81"/>
            <rFont val="Tahoma"/>
            <family val="2"/>
          </rPr>
          <t>Logan Davis:</t>
        </r>
        <r>
          <rPr>
            <sz val="9"/>
            <color indexed="81"/>
            <rFont val="Tahoma"/>
            <family val="2"/>
          </rPr>
          <t xml:space="preserve">
2024 tax rate not available, used 2023 rate</t>
        </r>
      </text>
    </comment>
    <comment ref="W8" authorId="0" shapeId="0" xr:uid="{834B57EF-7687-4074-AFFE-AB80123F5353}">
      <text>
        <r>
          <rPr>
            <b/>
            <sz val="9"/>
            <color indexed="81"/>
            <rFont val="Tahoma"/>
            <family val="2"/>
          </rPr>
          <t>Logan Davis:</t>
        </r>
        <r>
          <rPr>
            <sz val="9"/>
            <color indexed="81"/>
            <rFont val="Tahoma"/>
            <family val="2"/>
          </rPr>
          <t xml:space="preserve">
Used 2023 L&amp;I ER Rate
</t>
        </r>
      </text>
    </comment>
    <comment ref="I16" authorId="0" shapeId="0" xr:uid="{6538BBA5-0738-461A-9853-216CC9A9D773}">
      <text>
        <r>
          <rPr>
            <b/>
            <sz val="9"/>
            <color indexed="81"/>
            <rFont val="Tahoma"/>
            <family val="2"/>
          </rPr>
          <t>Logan Davis:</t>
        </r>
        <r>
          <rPr>
            <sz val="9"/>
            <color indexed="81"/>
            <rFont val="Tahoma"/>
            <family val="2"/>
          </rPr>
          <t xml:space="preserve">
Effective 01/20/2023</t>
        </r>
      </text>
    </comment>
    <comment ref="X16" authorId="0" shapeId="0" xr:uid="{1BFF6407-8719-4CCF-B23B-448670D134C4}">
      <text>
        <r>
          <rPr>
            <b/>
            <sz val="9"/>
            <color indexed="81"/>
            <rFont val="Tahoma"/>
            <family val="2"/>
          </rPr>
          <t>Logan Davis:</t>
        </r>
        <r>
          <rPr>
            <sz val="9"/>
            <color indexed="81"/>
            <rFont val="Tahoma"/>
            <family val="2"/>
          </rPr>
          <t xml:space="preserve">
EE contribution is $50/month, match is less than 3% of gross</t>
        </r>
      </text>
    </comment>
    <comment ref="I17" authorId="0" shapeId="0" xr:uid="{6C9E1A79-FF95-4678-A153-1C41E73691FB}">
      <text>
        <r>
          <rPr>
            <b/>
            <sz val="9"/>
            <color indexed="81"/>
            <rFont val="Tahoma"/>
            <family val="2"/>
          </rPr>
          <t>Logan Davis:</t>
        </r>
        <r>
          <rPr>
            <sz val="9"/>
            <color indexed="81"/>
            <rFont val="Tahoma"/>
            <family val="2"/>
          </rPr>
          <t xml:space="preserve">
Effective 09/08/2023</t>
        </r>
      </text>
    </comment>
    <comment ref="I18" authorId="0" shapeId="0" xr:uid="{AA111A37-3EC0-467B-9E50-5C7B0F19B2E4}">
      <text>
        <r>
          <rPr>
            <b/>
            <sz val="9"/>
            <color indexed="81"/>
            <rFont val="Tahoma"/>
            <family val="2"/>
          </rPr>
          <t>Logan Davis:</t>
        </r>
        <r>
          <rPr>
            <sz val="9"/>
            <color indexed="81"/>
            <rFont val="Tahoma"/>
            <family val="2"/>
          </rPr>
          <t xml:space="preserve">
Effective 01/20/2023</t>
        </r>
      </text>
    </comment>
    <comment ref="L18" authorId="0" shapeId="0" xr:uid="{7717F39B-EBF2-43B1-846D-3C1D175F9DD2}">
      <text>
        <r>
          <rPr>
            <b/>
            <sz val="9"/>
            <color indexed="81"/>
            <rFont val="Tahoma"/>
            <family val="2"/>
          </rPr>
          <t>Logan Davis:</t>
        </r>
        <r>
          <rPr>
            <sz val="9"/>
            <color indexed="81"/>
            <rFont val="Tahoma"/>
            <family val="2"/>
          </rPr>
          <t xml:space="preserve">
Annualized YTD 2023 hours to get a more reaonsable projected hours compared to using test year hours</t>
        </r>
      </text>
    </comment>
    <comment ref="I21" authorId="0" shapeId="0" xr:uid="{3043B31F-1F2E-4AED-BEA2-DD229783C601}">
      <text>
        <r>
          <rPr>
            <b/>
            <sz val="9"/>
            <color indexed="81"/>
            <rFont val="Tahoma"/>
            <family val="2"/>
          </rPr>
          <t>Logan Davis:</t>
        </r>
        <r>
          <rPr>
            <sz val="9"/>
            <color indexed="81"/>
            <rFont val="Tahoma"/>
            <family val="2"/>
          </rPr>
          <t xml:space="preserve">
Effective 01/20/2023</t>
        </r>
      </text>
    </comment>
    <comment ref="I22" authorId="0" shapeId="0" xr:uid="{C43B2AC7-3662-45D9-ACB0-8542F45A4903}">
      <text>
        <r>
          <rPr>
            <b/>
            <sz val="9"/>
            <color indexed="81"/>
            <rFont val="Tahoma"/>
            <family val="2"/>
          </rPr>
          <t>Logan Davis:</t>
        </r>
        <r>
          <rPr>
            <sz val="9"/>
            <color indexed="81"/>
            <rFont val="Tahoma"/>
            <family val="2"/>
          </rPr>
          <t xml:space="preserve">
Effective 01/20/2023</t>
        </r>
      </text>
    </comment>
    <comment ref="X22" authorId="0" shapeId="0" xr:uid="{B31BF857-B816-4C4B-A48C-95BFCA97B818}">
      <text>
        <r>
          <rPr>
            <b/>
            <sz val="9"/>
            <color indexed="81"/>
            <rFont val="Tahoma"/>
            <family val="2"/>
          </rPr>
          <t>Logan Davis:</t>
        </r>
        <r>
          <rPr>
            <sz val="9"/>
            <color indexed="81"/>
            <rFont val="Tahoma"/>
            <family val="2"/>
          </rPr>
          <t xml:space="preserve">
EE contribution is $50/month, match is less than 3% of gross</t>
        </r>
      </text>
    </comment>
    <comment ref="I23" authorId="0" shapeId="0" xr:uid="{95CC99C3-A308-4A98-A7ED-0E521F52B5A4}">
      <text>
        <r>
          <rPr>
            <b/>
            <sz val="9"/>
            <color indexed="81"/>
            <rFont val="Tahoma"/>
            <family val="2"/>
          </rPr>
          <t>Logan Davis:</t>
        </r>
        <r>
          <rPr>
            <sz val="9"/>
            <color indexed="81"/>
            <rFont val="Tahoma"/>
            <family val="2"/>
          </rPr>
          <t xml:space="preserve">
Effective 01/20/2023
</t>
        </r>
      </text>
    </comment>
    <comment ref="I24" authorId="0" shapeId="0" xr:uid="{FAD24EBD-35B9-408E-AF88-8DD17A1A486A}">
      <text>
        <r>
          <rPr>
            <b/>
            <sz val="9"/>
            <color indexed="81"/>
            <rFont val="Tahoma"/>
            <family val="2"/>
          </rPr>
          <t>Logan Davis:</t>
        </r>
        <r>
          <rPr>
            <sz val="9"/>
            <color indexed="81"/>
            <rFont val="Tahoma"/>
            <family val="2"/>
          </rPr>
          <t xml:space="preserve">
Effective 01/20/2023
</t>
        </r>
      </text>
    </comment>
    <comment ref="I25" authorId="0" shapeId="0" xr:uid="{70C0A94B-B400-467B-8F0C-6AABFB0CF1D0}">
      <text>
        <r>
          <rPr>
            <b/>
            <sz val="9"/>
            <color indexed="81"/>
            <rFont val="Tahoma"/>
            <family val="2"/>
          </rPr>
          <t>Logan Davis:</t>
        </r>
        <r>
          <rPr>
            <sz val="9"/>
            <color indexed="81"/>
            <rFont val="Tahoma"/>
            <family val="2"/>
          </rPr>
          <t xml:space="preserve">
Effective 01/20/2023</t>
        </r>
      </text>
    </comment>
    <comment ref="I26" authorId="0" shapeId="0" xr:uid="{82BB57D4-FC82-4504-AD76-1423E7C660D5}">
      <text>
        <r>
          <rPr>
            <b/>
            <sz val="9"/>
            <color indexed="81"/>
            <rFont val="Tahoma"/>
            <family val="2"/>
          </rPr>
          <t>Logan Davis:</t>
        </r>
        <r>
          <rPr>
            <sz val="9"/>
            <color indexed="81"/>
            <rFont val="Tahoma"/>
            <family val="2"/>
          </rPr>
          <t xml:space="preserve">
Effective 01/20/2023</t>
        </r>
      </text>
    </comment>
    <comment ref="I27" authorId="0" shapeId="0" xr:uid="{C1A65EE4-F29C-4DD1-BA1B-9380617171B8}">
      <text>
        <r>
          <rPr>
            <b/>
            <sz val="9"/>
            <color indexed="81"/>
            <rFont val="Tahoma"/>
            <family val="2"/>
          </rPr>
          <t>Logan Davis:</t>
        </r>
        <r>
          <rPr>
            <sz val="9"/>
            <color indexed="81"/>
            <rFont val="Tahoma"/>
            <family val="2"/>
          </rPr>
          <t xml:space="preserve">
Effective 01/20/2023</t>
        </r>
      </text>
    </comment>
    <comment ref="I28" authorId="0" shapeId="0" xr:uid="{2CF6E713-0979-4A77-BD0E-CFD6916DE0DC}">
      <text>
        <r>
          <rPr>
            <b/>
            <sz val="9"/>
            <color indexed="81"/>
            <rFont val="Tahoma"/>
            <family val="2"/>
          </rPr>
          <t>Logan Davis:</t>
        </r>
        <r>
          <rPr>
            <sz val="9"/>
            <color indexed="81"/>
            <rFont val="Tahoma"/>
            <family val="2"/>
          </rPr>
          <t xml:space="preserve">
Effective 01/20/2023</t>
        </r>
      </text>
    </comment>
    <comment ref="L29" authorId="0" shapeId="0" xr:uid="{47784DFD-CB0F-45C9-A459-8B573A60D2C7}">
      <text>
        <r>
          <rPr>
            <b/>
            <sz val="9"/>
            <color indexed="81"/>
            <rFont val="Tahoma"/>
            <family val="2"/>
          </rPr>
          <t>Logan Davis:</t>
        </r>
        <r>
          <rPr>
            <sz val="9"/>
            <color indexed="81"/>
            <rFont val="Tahoma"/>
            <family val="2"/>
          </rPr>
          <t xml:space="preserve">
Terminated in 2023</t>
        </r>
      </text>
    </comment>
    <comment ref="I30" authorId="0" shapeId="0" xr:uid="{E41F2759-5D62-4A1D-A955-A26564D9E5B4}">
      <text>
        <r>
          <rPr>
            <b/>
            <sz val="9"/>
            <color indexed="81"/>
            <rFont val="Tahoma"/>
            <family val="2"/>
          </rPr>
          <t>Logan Davis:</t>
        </r>
        <r>
          <rPr>
            <sz val="9"/>
            <color indexed="81"/>
            <rFont val="Tahoma"/>
            <family val="2"/>
          </rPr>
          <t xml:space="preserve">
Effective 01/20/2023</t>
        </r>
      </text>
    </comment>
    <comment ref="I31" authorId="0" shapeId="0" xr:uid="{3368BB87-F729-4587-A169-F28AE3865AB4}">
      <text>
        <r>
          <rPr>
            <b/>
            <sz val="9"/>
            <color indexed="81"/>
            <rFont val="Tahoma"/>
            <family val="2"/>
          </rPr>
          <t>Logan Davis:</t>
        </r>
        <r>
          <rPr>
            <sz val="9"/>
            <color indexed="81"/>
            <rFont val="Tahoma"/>
            <family val="2"/>
          </rPr>
          <t xml:space="preserve">
Effective 01/20/2023
</t>
        </r>
      </text>
    </comment>
    <comment ref="L32" authorId="0" shapeId="0" xr:uid="{5AF376A8-4C3E-4DC0-97E4-780570592AA9}">
      <text>
        <r>
          <rPr>
            <b/>
            <sz val="9"/>
            <color indexed="81"/>
            <rFont val="Tahoma"/>
            <family val="2"/>
          </rPr>
          <t>Logan Davis:</t>
        </r>
        <r>
          <rPr>
            <sz val="9"/>
            <color indexed="81"/>
            <rFont val="Tahoma"/>
            <family val="2"/>
          </rPr>
          <t xml:space="preserve">
Terminated in 2023</t>
        </r>
      </text>
    </comment>
    <comment ref="I33" authorId="0" shapeId="0" xr:uid="{9FD8F7F0-235F-464B-B55D-FFB9A1E3B9B2}">
      <text>
        <r>
          <rPr>
            <b/>
            <sz val="9"/>
            <color indexed="81"/>
            <rFont val="Tahoma"/>
            <family val="2"/>
          </rPr>
          <t>Logan Davis:</t>
        </r>
        <r>
          <rPr>
            <sz val="9"/>
            <color indexed="81"/>
            <rFont val="Tahoma"/>
            <family val="2"/>
          </rPr>
          <t xml:space="preserve">
Effective 01/20/2023</t>
        </r>
      </text>
    </comment>
    <comment ref="I34" authorId="0" shapeId="0" xr:uid="{B4BDBB4C-2AA0-41BB-873E-C6C69BD8E43F}">
      <text>
        <r>
          <rPr>
            <b/>
            <sz val="9"/>
            <color indexed="81"/>
            <rFont val="Tahoma"/>
            <family val="2"/>
          </rPr>
          <t>Logan Davis:</t>
        </r>
        <r>
          <rPr>
            <sz val="9"/>
            <color indexed="81"/>
            <rFont val="Tahoma"/>
            <family val="2"/>
          </rPr>
          <t xml:space="preserve">
Effective 01/20/2023
</t>
        </r>
      </text>
    </comment>
    <comment ref="I37" authorId="0" shapeId="0" xr:uid="{3ED66597-0A7B-4C75-A4EF-3F1EFF0B8297}">
      <text>
        <r>
          <rPr>
            <b/>
            <sz val="9"/>
            <color indexed="81"/>
            <rFont val="Tahoma"/>
            <family val="2"/>
          </rPr>
          <t>Logan Davis:</t>
        </r>
        <r>
          <rPr>
            <sz val="9"/>
            <color indexed="81"/>
            <rFont val="Tahoma"/>
            <family val="2"/>
          </rPr>
          <t xml:space="preserve">
Effective 01/20/2023</t>
        </r>
      </text>
    </comment>
    <comment ref="I38" authorId="0" shapeId="0" xr:uid="{4619BA77-3EBC-43D1-AEE3-C0C12033103A}">
      <text>
        <r>
          <rPr>
            <b/>
            <sz val="9"/>
            <color indexed="81"/>
            <rFont val="Tahoma"/>
            <family val="2"/>
          </rPr>
          <t>Logan Davis:</t>
        </r>
        <r>
          <rPr>
            <sz val="9"/>
            <color indexed="81"/>
            <rFont val="Tahoma"/>
            <family val="2"/>
          </rPr>
          <t xml:space="preserve">
Effective 01/20/2023</t>
        </r>
      </text>
    </comment>
    <comment ref="C39" authorId="0" shapeId="0" xr:uid="{5E73BA1E-C0D0-4406-8EBC-BB7B9C869850}">
      <text>
        <r>
          <rPr>
            <b/>
            <sz val="9"/>
            <color indexed="81"/>
            <rFont val="Tahoma"/>
            <family val="2"/>
          </rPr>
          <t>Logan Davis:</t>
        </r>
        <r>
          <rPr>
            <sz val="9"/>
            <color indexed="81"/>
            <rFont val="Tahoma"/>
            <family val="2"/>
          </rPr>
          <t xml:space="preserve">
Moved to Bainbridge Transfer company during 2023</t>
        </r>
      </text>
    </comment>
    <comment ref="C40" authorId="0" shapeId="0" xr:uid="{638230CB-62B6-4140-804C-4A526A3B7F04}">
      <text>
        <r>
          <rPr>
            <b/>
            <sz val="9"/>
            <color indexed="81"/>
            <rFont val="Tahoma"/>
            <family val="2"/>
          </rPr>
          <t>Logan Davis:</t>
        </r>
        <r>
          <rPr>
            <sz val="9"/>
            <color indexed="81"/>
            <rFont val="Tahoma"/>
            <family val="2"/>
          </rPr>
          <t xml:space="preserve">
Moved to Bainbridge Transfer company in 2023</t>
        </r>
      </text>
    </comment>
    <comment ref="C43" authorId="0" shapeId="0" xr:uid="{34157FF1-A81D-4A63-80FE-52AE0EC84CCB}">
      <text>
        <r>
          <rPr>
            <b/>
            <sz val="9"/>
            <color indexed="81"/>
            <rFont val="Tahoma"/>
            <family val="2"/>
          </rPr>
          <t>Logan Davis:</t>
        </r>
        <r>
          <rPr>
            <sz val="9"/>
            <color indexed="81"/>
            <rFont val="Tahoma"/>
            <family val="2"/>
          </rPr>
          <t xml:space="preserve">
Mostly works in Bainbridge Septic, but does occasionally fill in as a helper with Bainbridge Disposal</t>
        </r>
      </text>
    </comment>
    <comment ref="I44" authorId="0" shapeId="0" xr:uid="{37CD1400-FDD9-4944-B891-FB2B63F56603}">
      <text>
        <r>
          <rPr>
            <b/>
            <sz val="9"/>
            <color indexed="81"/>
            <rFont val="Tahoma"/>
            <family val="2"/>
          </rPr>
          <t>Logan Davis:</t>
        </r>
        <r>
          <rPr>
            <sz val="9"/>
            <color indexed="81"/>
            <rFont val="Tahoma"/>
            <family val="2"/>
          </rPr>
          <t xml:space="preserve">
Effective 08/18/2023</t>
        </r>
      </text>
    </comment>
    <comment ref="L44" authorId="0" shapeId="0" xr:uid="{008AEAB6-EFE2-4A54-8F0B-67A436205E98}">
      <text>
        <r>
          <rPr>
            <b/>
            <sz val="9"/>
            <color indexed="81"/>
            <rFont val="Tahoma"/>
            <family val="2"/>
          </rPr>
          <t>Logan Davis:</t>
        </r>
        <r>
          <rPr>
            <sz val="9"/>
            <color indexed="81"/>
            <rFont val="Tahoma"/>
            <family val="2"/>
          </rPr>
          <t xml:space="preserve">
Hired during 2022, working full time in 2023</t>
        </r>
      </text>
    </comment>
    <comment ref="L45" authorId="0" shapeId="0" xr:uid="{E7E19272-B86B-44FE-9B31-101B023C6C6E}">
      <text>
        <r>
          <rPr>
            <b/>
            <sz val="9"/>
            <color indexed="81"/>
            <rFont val="Tahoma"/>
            <family val="2"/>
          </rPr>
          <t>Logan Davis:</t>
        </r>
        <r>
          <rPr>
            <sz val="9"/>
            <color indexed="81"/>
            <rFont val="Tahoma"/>
            <family val="2"/>
          </rPr>
          <t xml:space="preserve">
Did not work in 2023</t>
        </r>
      </text>
    </comment>
    <comment ref="C46" authorId="0" shapeId="0" xr:uid="{0AE50673-D5AC-4B9E-A718-8A4CCB9F7C4B}">
      <text>
        <r>
          <rPr>
            <b/>
            <sz val="9"/>
            <color indexed="81"/>
            <rFont val="Tahoma"/>
            <family val="2"/>
          </rPr>
          <t>Logan Davis:</t>
        </r>
        <r>
          <rPr>
            <sz val="9"/>
            <color indexed="81"/>
            <rFont val="Tahoma"/>
            <family val="2"/>
          </rPr>
          <t xml:space="preserve">
Summer help</t>
        </r>
      </text>
    </comment>
    <comment ref="L47" authorId="0" shapeId="0" xr:uid="{7E8F84E2-1A88-4660-9655-A123D55C9AAD}">
      <text>
        <r>
          <rPr>
            <b/>
            <sz val="9"/>
            <color indexed="81"/>
            <rFont val="Tahoma"/>
            <family val="2"/>
          </rPr>
          <t>Logan Davis:</t>
        </r>
        <r>
          <rPr>
            <sz val="9"/>
            <color indexed="81"/>
            <rFont val="Tahoma"/>
            <family val="2"/>
          </rPr>
          <t xml:space="preserve">
Did not work in 2023</t>
        </r>
      </text>
    </comment>
    <comment ref="L48" authorId="0" shapeId="0" xr:uid="{C1A5EF57-B41C-4211-A102-64AA1956B9B3}">
      <text>
        <r>
          <rPr>
            <b/>
            <sz val="9"/>
            <color indexed="81"/>
            <rFont val="Tahoma"/>
            <family val="2"/>
          </rPr>
          <t>Logan Davis:</t>
        </r>
        <r>
          <rPr>
            <sz val="9"/>
            <color indexed="81"/>
            <rFont val="Tahoma"/>
            <family val="2"/>
          </rPr>
          <t xml:space="preserve">
Terminated in 2023</t>
        </r>
      </text>
    </comment>
    <comment ref="L49" authorId="0" shapeId="0" xr:uid="{B39D1EE0-CFC7-4965-B833-8118B30C86EE}">
      <text>
        <r>
          <rPr>
            <b/>
            <sz val="9"/>
            <color indexed="81"/>
            <rFont val="Tahoma"/>
            <family val="2"/>
          </rPr>
          <t>Logan Davis:</t>
        </r>
        <r>
          <rPr>
            <sz val="9"/>
            <color indexed="81"/>
            <rFont val="Tahoma"/>
            <family val="2"/>
          </rPr>
          <t xml:space="preserve">
Terminated in 2023</t>
        </r>
      </text>
    </comment>
    <comment ref="L50" authorId="0" shapeId="0" xr:uid="{52ACB3D1-9A68-45F3-A54C-B4CCB354D72B}">
      <text>
        <r>
          <rPr>
            <b/>
            <sz val="9"/>
            <color indexed="81"/>
            <rFont val="Tahoma"/>
            <family val="2"/>
          </rPr>
          <t>Logan Davis:</t>
        </r>
        <r>
          <rPr>
            <sz val="9"/>
            <color indexed="81"/>
            <rFont val="Tahoma"/>
            <family val="2"/>
          </rPr>
          <t xml:space="preserve">
Terminated in 2022</t>
        </r>
      </text>
    </comment>
    <comment ref="I51" authorId="0" shapeId="0" xr:uid="{E7FD958C-49A4-4E76-94AA-677621C450FE}">
      <text>
        <r>
          <rPr>
            <b/>
            <sz val="9"/>
            <color indexed="81"/>
            <rFont val="Tahoma"/>
            <family val="2"/>
          </rPr>
          <t>Logan Davis:</t>
        </r>
        <r>
          <rPr>
            <sz val="9"/>
            <color indexed="81"/>
            <rFont val="Tahoma"/>
            <family val="2"/>
          </rPr>
          <t xml:space="preserve">
Effective 01/20/2023</t>
        </r>
      </text>
    </comment>
    <comment ref="C52" authorId="0" shapeId="0" xr:uid="{8A2DDCCE-359C-4EFF-A638-A960687A9776}">
      <text>
        <r>
          <rPr>
            <b/>
            <sz val="9"/>
            <color indexed="81"/>
            <rFont val="Tahoma"/>
            <family val="2"/>
          </rPr>
          <t>Logan Davis:</t>
        </r>
        <r>
          <rPr>
            <sz val="9"/>
            <color indexed="81"/>
            <rFont val="Tahoma"/>
            <family val="2"/>
          </rPr>
          <t xml:space="preserve">
No longer working for Bainbridge Disposal after 2022</t>
        </r>
      </text>
    </comment>
    <comment ref="L52" authorId="0" shapeId="0" xr:uid="{81402D23-4151-4A59-BA80-60FC4553CCD2}">
      <text>
        <r>
          <rPr>
            <b/>
            <sz val="9"/>
            <color indexed="81"/>
            <rFont val="Tahoma"/>
            <family val="2"/>
          </rPr>
          <t>Logan Davis:</t>
        </r>
        <r>
          <rPr>
            <sz val="9"/>
            <color indexed="81"/>
            <rFont val="Tahoma"/>
            <family val="2"/>
          </rPr>
          <t xml:space="preserve">
No hours after 06/02/2022</t>
        </r>
      </text>
    </comment>
    <comment ref="X55" authorId="0" shapeId="0" xr:uid="{D3F8E847-8DCE-4DB4-A72E-007AFC8E0CB8}">
      <text>
        <r>
          <rPr>
            <b/>
            <sz val="9"/>
            <color indexed="81"/>
            <rFont val="Tahoma"/>
            <family val="2"/>
          </rPr>
          <t>Logan Davis:</t>
        </r>
        <r>
          <rPr>
            <sz val="9"/>
            <color indexed="81"/>
            <rFont val="Tahoma"/>
            <family val="2"/>
          </rPr>
          <t xml:space="preserve">
EE contribution is $50/month, match is less than 3% of gross</t>
        </r>
      </text>
    </comment>
    <comment ref="I58" authorId="0" shapeId="0" xr:uid="{F8B05578-47B7-4721-BA11-A478BB8763C0}">
      <text>
        <r>
          <rPr>
            <b/>
            <sz val="9"/>
            <color indexed="81"/>
            <rFont val="Tahoma"/>
            <family val="2"/>
          </rPr>
          <t>Logan Davis:</t>
        </r>
        <r>
          <rPr>
            <sz val="9"/>
            <color indexed="81"/>
            <rFont val="Tahoma"/>
            <family val="2"/>
          </rPr>
          <t xml:space="preserve">
Effective 07/07/2023</t>
        </r>
      </text>
    </comment>
    <comment ref="L58" authorId="0" shapeId="0" xr:uid="{96CDD1C7-DE7A-4555-B5AC-792E02CC896B}">
      <text>
        <r>
          <rPr>
            <b/>
            <sz val="9"/>
            <color indexed="81"/>
            <rFont val="Tahoma"/>
            <family val="2"/>
          </rPr>
          <t>Logan Davis:</t>
        </r>
        <r>
          <rPr>
            <sz val="9"/>
            <color indexed="81"/>
            <rFont val="Tahoma"/>
            <family val="2"/>
          </rPr>
          <t xml:space="preserve">
Annualized 2024 hours based on 28 weeks on 2023 employment.  </t>
        </r>
      </text>
    </comment>
    <comment ref="C59" authorId="0" shapeId="0" xr:uid="{F6407591-ED48-45DA-B7F2-004F11130FD8}">
      <text>
        <r>
          <rPr>
            <b/>
            <sz val="9"/>
            <color indexed="81"/>
            <rFont val="Tahoma"/>
            <family val="2"/>
          </rPr>
          <t>Logan Davis:</t>
        </r>
        <r>
          <rPr>
            <sz val="9"/>
            <color indexed="81"/>
            <rFont val="Tahoma"/>
            <family val="2"/>
          </rPr>
          <t xml:space="preserve">
Mainly works in Bainbridge Transfer company, but does occasionally fill in at Bainbridge Disposal</t>
        </r>
      </text>
    </comment>
    <comment ref="I59" authorId="0" shapeId="0" xr:uid="{B08E33B6-E438-4774-831D-4A2FC2C69509}">
      <text>
        <r>
          <rPr>
            <b/>
            <sz val="9"/>
            <color indexed="81"/>
            <rFont val="Tahoma"/>
            <family val="2"/>
          </rPr>
          <t>Logan Davis:</t>
        </r>
        <r>
          <rPr>
            <sz val="9"/>
            <color indexed="81"/>
            <rFont val="Tahoma"/>
            <family val="2"/>
          </rPr>
          <t xml:space="preserve">
Effective 08/18/2023</t>
        </r>
      </text>
    </comment>
    <comment ref="L59" authorId="0" shapeId="0" xr:uid="{7CF42482-C339-4F3C-9AEB-0251D01D8059}">
      <text>
        <r>
          <rPr>
            <b/>
            <sz val="9"/>
            <color indexed="81"/>
            <rFont val="Tahoma"/>
            <family val="2"/>
          </rPr>
          <t>Logan Davis:</t>
        </r>
        <r>
          <rPr>
            <sz val="9"/>
            <color indexed="81"/>
            <rFont val="Tahoma"/>
            <family val="2"/>
          </rPr>
          <t xml:space="preserve">
Used actual hours from 2023 - splits time with Bainbridge Disposal and Bainbridge Transfer</t>
        </r>
      </text>
    </comment>
    <comment ref="I60" authorId="0" shapeId="0" xr:uid="{9D4FD2BB-5702-4272-9E71-CC72820E5A47}">
      <text>
        <r>
          <rPr>
            <b/>
            <sz val="9"/>
            <color indexed="81"/>
            <rFont val="Tahoma"/>
            <family val="2"/>
          </rPr>
          <t>Logan Davis:</t>
        </r>
        <r>
          <rPr>
            <sz val="9"/>
            <color indexed="81"/>
            <rFont val="Tahoma"/>
            <family val="2"/>
          </rPr>
          <t xml:space="preserve">
Effective 09/08/2023</t>
        </r>
      </text>
    </comment>
    <comment ref="L60" authorId="0" shapeId="0" xr:uid="{2FE8C5EF-2B09-4BF7-BB78-66AB46A4A934}">
      <text>
        <r>
          <rPr>
            <b/>
            <sz val="9"/>
            <color indexed="81"/>
            <rFont val="Tahoma"/>
            <family val="2"/>
          </rPr>
          <t>Logan Davis:</t>
        </r>
        <r>
          <rPr>
            <sz val="9"/>
            <color indexed="81"/>
            <rFont val="Tahoma"/>
            <family val="2"/>
          </rPr>
          <t xml:space="preserve">
Assumed full time hours for 2024, started part time in 2023 but the last several months of 2023 was working full time</t>
        </r>
      </text>
    </comment>
    <comment ref="C61" authorId="0" shapeId="0" xr:uid="{5B060F7F-BE2F-4BB4-AACD-48161CF2C13F}">
      <text>
        <r>
          <rPr>
            <b/>
            <sz val="9"/>
            <color indexed="81"/>
            <rFont val="Tahoma"/>
            <family val="2"/>
          </rPr>
          <t>Logan Davis:</t>
        </r>
        <r>
          <rPr>
            <sz val="9"/>
            <color indexed="81"/>
            <rFont val="Tahoma"/>
            <family val="2"/>
          </rPr>
          <t xml:space="preserve">
Mainly works in Bainbridge Transfer company, but does occasionally fill in at Bainbridge Disposal</t>
        </r>
      </text>
    </comment>
    <comment ref="I61" authorId="0" shapeId="0" xr:uid="{719847DE-3546-47EF-94A3-004294930409}">
      <text>
        <r>
          <rPr>
            <b/>
            <sz val="9"/>
            <color indexed="81"/>
            <rFont val="Tahoma"/>
            <family val="2"/>
          </rPr>
          <t>Logan Davis:</t>
        </r>
        <r>
          <rPr>
            <sz val="9"/>
            <color indexed="81"/>
            <rFont val="Tahoma"/>
            <family val="2"/>
          </rPr>
          <t xml:space="preserve">
Effective 11/10/2023</t>
        </r>
      </text>
    </comment>
    <comment ref="L61" authorId="0" shapeId="0" xr:uid="{32340578-1919-4B0E-AC86-FB06E2DBA752}">
      <text>
        <r>
          <rPr>
            <b/>
            <sz val="9"/>
            <color indexed="81"/>
            <rFont val="Tahoma"/>
            <family val="2"/>
          </rPr>
          <t>Logan Davis:</t>
        </r>
        <r>
          <rPr>
            <sz val="9"/>
            <color indexed="81"/>
            <rFont val="Tahoma"/>
            <family val="2"/>
          </rPr>
          <t xml:space="preserve">
Used actual 2023 hours worked, splits time between Bainbridge Disposal and Bainbridge Transfer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Randy Poole</author>
  </authors>
  <commentList>
    <comment ref="P52" authorId="0" shapeId="0" xr:uid="{BF1CC38D-1907-4767-AF6C-4FB5D1C9B68C}">
      <text>
        <r>
          <rPr>
            <b/>
            <sz val="9"/>
            <color indexed="81"/>
            <rFont val="Tahoma"/>
            <family val="2"/>
          </rPr>
          <t>Randy Poole:</t>
        </r>
        <r>
          <rPr>
            <sz val="9"/>
            <color indexed="81"/>
            <rFont val="Tahoma"/>
            <family val="2"/>
          </rPr>
          <t xml:space="preserve">
Two rates in the test year, using blending rate based off months in which rates were in effect.  See reasonableness calc to the left comparing % of ton collected at each rate vs % of months at each rate</t>
        </r>
      </text>
    </comment>
  </commentList>
</comments>
</file>

<file path=xl/sharedStrings.xml><?xml version="1.0" encoding="utf-8"?>
<sst xmlns="http://schemas.openxmlformats.org/spreadsheetml/2006/main" count="2810" uniqueCount="1302">
  <si>
    <t>Total</t>
  </si>
  <si>
    <t>Hours</t>
  </si>
  <si>
    <t>Amount</t>
  </si>
  <si>
    <t>Increase</t>
  </si>
  <si>
    <t xml:space="preserve"> </t>
  </si>
  <si>
    <t>TOTAL</t>
  </si>
  <si>
    <t>Drop Box</t>
  </si>
  <si>
    <t>Payroll</t>
  </si>
  <si>
    <t>Expense</t>
  </si>
  <si>
    <t>Wages Drivers</t>
  </si>
  <si>
    <t>Wages Drop Box Drivers</t>
  </si>
  <si>
    <t>Fuel</t>
  </si>
  <si>
    <t>Officer Salaries</t>
  </si>
  <si>
    <t>Utilities</t>
  </si>
  <si>
    <t>Advertising</t>
  </si>
  <si>
    <t>Bad Debts</t>
  </si>
  <si>
    <t>Total Expenses</t>
  </si>
  <si>
    <t>OPERATING EXPENSES</t>
  </si>
  <si>
    <t>NET OPERATING INCOME</t>
  </si>
  <si>
    <t>ROE</t>
  </si>
  <si>
    <t>Adjust</t>
  </si>
  <si>
    <t>Eliminate</t>
  </si>
  <si>
    <t>PER</t>
  </si>
  <si>
    <t>Interest</t>
  </si>
  <si>
    <t>Restating</t>
  </si>
  <si>
    <t>Proforma</t>
  </si>
  <si>
    <t>BOOKS</t>
  </si>
  <si>
    <t>Actual</t>
  </si>
  <si>
    <t>Adjustments</t>
  </si>
  <si>
    <t>Cost</t>
  </si>
  <si>
    <t>REVENUES</t>
  </si>
  <si>
    <t>Residential</t>
  </si>
  <si>
    <t>Refunds</t>
  </si>
  <si>
    <t>OPERATING RATIO %</t>
  </si>
  <si>
    <t>RECLASS</t>
  </si>
  <si>
    <t>Reclass</t>
  </si>
  <si>
    <t>Life</t>
  </si>
  <si>
    <t>Per Operations</t>
  </si>
  <si>
    <t>%</t>
  </si>
  <si>
    <t>Increase (decrease)</t>
  </si>
  <si>
    <t xml:space="preserve">Payroll </t>
  </si>
  <si>
    <t>Service</t>
  </si>
  <si>
    <t>Depreciation</t>
  </si>
  <si>
    <t>Miscellaneous</t>
  </si>
  <si>
    <t>R-1</t>
  </si>
  <si>
    <t>R-2</t>
  </si>
  <si>
    <t>R-3</t>
  </si>
  <si>
    <t>R-4</t>
  </si>
  <si>
    <t>R-5</t>
  </si>
  <si>
    <t>P-2</t>
  </si>
  <si>
    <t>P-4</t>
  </si>
  <si>
    <t>P-5</t>
  </si>
  <si>
    <t>Wages Extra Labor</t>
  </si>
  <si>
    <t>RC-1</t>
  </si>
  <si>
    <t>Disposal</t>
  </si>
  <si>
    <t>Fees</t>
  </si>
  <si>
    <t>December</t>
  </si>
  <si>
    <t>November</t>
  </si>
  <si>
    <t>October</t>
  </si>
  <si>
    <t>September</t>
  </si>
  <si>
    <t>January</t>
  </si>
  <si>
    <t>February</t>
  </si>
  <si>
    <t>March</t>
  </si>
  <si>
    <t>April</t>
  </si>
  <si>
    <t>May</t>
  </si>
  <si>
    <t>June</t>
  </si>
  <si>
    <t>July</t>
  </si>
  <si>
    <t>August</t>
  </si>
  <si>
    <t>Date</t>
  </si>
  <si>
    <t>Bad Debt Expense</t>
  </si>
  <si>
    <t>&amp; Recycle</t>
  </si>
  <si>
    <t>To</t>
  </si>
  <si>
    <t>Description</t>
  </si>
  <si>
    <t>Trucks:</t>
  </si>
  <si>
    <t>P-1</t>
  </si>
  <si>
    <t>Bonus</t>
  </si>
  <si>
    <t>N</t>
  </si>
  <si>
    <t>Overtime</t>
  </si>
  <si>
    <t>Annual</t>
  </si>
  <si>
    <t>Wage</t>
  </si>
  <si>
    <t>FICA</t>
  </si>
  <si>
    <t>FUTA</t>
  </si>
  <si>
    <t>L&amp;I</t>
  </si>
  <si>
    <t>Gallons</t>
  </si>
  <si>
    <t>Tax Rate</t>
  </si>
  <si>
    <t>End of</t>
  </si>
  <si>
    <t>Period</t>
  </si>
  <si>
    <t>Equity</t>
  </si>
  <si>
    <t>Interest Expense</t>
  </si>
  <si>
    <t>Adjustment</t>
  </si>
  <si>
    <t>SCHEDULE 1 - EXPLANATION OF RESTATING ADJUSTMENTS</t>
  </si>
  <si>
    <t>RESULTS OF OPERATIONS</t>
  </si>
  <si>
    <t>SCHEDULE 2 - EXPLANATION OF FORECAST ADJUSTMENTS</t>
  </si>
  <si>
    <t>SCHEDULE 3 - EXPLANATION OF RECLASS ADJUSTMENTS</t>
  </si>
  <si>
    <t>Net Income</t>
  </si>
  <si>
    <t>SCHEDULE 1 - SUMMARY OF RESTATING ADJUSTMENTS, Continued</t>
  </si>
  <si>
    <t>SCHEDULE 2 - SUMMARY OF FORECAST ADJUSTMENTS, Continued</t>
  </si>
  <si>
    <t>SCHEDULE 3 - SUMMARY OF RECLASS ADJUSTMENTS, Continued</t>
  </si>
  <si>
    <t>SCHEDULE 4 - CALCULATE THE TWELVE MONTHS</t>
  </si>
  <si>
    <t>Per Books</t>
  </si>
  <si>
    <t>Restated</t>
  </si>
  <si>
    <t>Rate Case</t>
  </si>
  <si>
    <t xml:space="preserve">    NET INCOME </t>
  </si>
  <si>
    <t>Washington</t>
  </si>
  <si>
    <t>Refuse</t>
  </si>
  <si>
    <t>COMPILED HISTORICAL AND FORECASTED</t>
  </si>
  <si>
    <t>Summary of Significant Forecast Assumptions</t>
  </si>
  <si>
    <t>Forecasted</t>
  </si>
  <si>
    <t>Average</t>
  </si>
  <si>
    <t>Fuel Cost</t>
  </si>
  <si>
    <t>actual</t>
  </si>
  <si>
    <t>Total Forecasted Expense</t>
  </si>
  <si>
    <t>Forecast Adjustment</t>
  </si>
  <si>
    <t>Depn</t>
  </si>
  <si>
    <t>Investment</t>
  </si>
  <si>
    <t>E.</t>
  </si>
  <si>
    <t>D.</t>
  </si>
  <si>
    <t>C.</t>
  </si>
  <si>
    <t>B</t>
  </si>
  <si>
    <t>A.</t>
  </si>
  <si>
    <t>Depr.</t>
  </si>
  <si>
    <t>Allo.</t>
  </si>
  <si>
    <t>Depreciable Cost</t>
  </si>
  <si>
    <t>Disp</t>
  </si>
  <si>
    <t>Asset Cost</t>
  </si>
  <si>
    <t>Mo</t>
  </si>
  <si>
    <t>Yr</t>
  </si>
  <si>
    <t>Asset Description</t>
  </si>
  <si>
    <t>Test year</t>
  </si>
  <si>
    <t>Test Year</t>
  </si>
  <si>
    <t>Year</t>
  </si>
  <si>
    <t xml:space="preserve">Monthly </t>
  </si>
  <si>
    <t>Asset</t>
  </si>
  <si>
    <t>Fully</t>
  </si>
  <si>
    <t>Mthd</t>
  </si>
  <si>
    <t>Value</t>
  </si>
  <si>
    <t>Accumulated</t>
  </si>
  <si>
    <t>Accum.</t>
  </si>
  <si>
    <t>Branch</t>
  </si>
  <si>
    <t>Salvage</t>
  </si>
  <si>
    <t>Date in</t>
  </si>
  <si>
    <t>Disposition Date</t>
  </si>
  <si>
    <t>Ending</t>
  </si>
  <si>
    <t>Beginning</t>
  </si>
  <si>
    <t>Second year</t>
  </si>
  <si>
    <t>Date fully Depr</t>
  </si>
  <si>
    <t>First year</t>
  </si>
  <si>
    <t>Months in second year</t>
  </si>
  <si>
    <t>Months in first year</t>
  </si>
  <si>
    <t>End of Test Period</t>
  </si>
  <si>
    <t>B.</t>
  </si>
  <si>
    <t>Purchase date</t>
  </si>
  <si>
    <t>WORKPAPER 2 - DEPRECIATION</t>
  </si>
  <si>
    <t>SL</t>
  </si>
  <si>
    <t>Depn.</t>
  </si>
  <si>
    <t xml:space="preserve">  Yr.</t>
  </si>
  <si>
    <t>Test yr.</t>
  </si>
  <si>
    <t>Monthly</t>
  </si>
  <si>
    <t>Depreciable</t>
  </si>
  <si>
    <t>Beg of Test Period</t>
  </si>
  <si>
    <t>WORKPAPER 2 - DEPRECIATION, Continued</t>
  </si>
  <si>
    <t>WORKPAPER 5 - DUES AND SUBSCRIPTIONS ANYALSIS</t>
  </si>
  <si>
    <t>Lobbying</t>
  </si>
  <si>
    <t>WORKPAPER 7 - TRANSACTIONS WITH AFFILIATED COMPANIES</t>
  </si>
  <si>
    <t>Revenue</t>
  </si>
  <si>
    <t>Conversion Factor</t>
  </si>
  <si>
    <t>Revenue Sensitive</t>
  </si>
  <si>
    <t xml:space="preserve"> Bad Debts</t>
  </si>
  <si>
    <t xml:space="preserve"> City Tax</t>
  </si>
  <si>
    <t xml:space="preserve"> WUTC Fee</t>
  </si>
  <si>
    <t xml:space="preserve"> B &amp; O Tax</t>
  </si>
  <si>
    <t>@EXP(5.69220-(.68367*@LN(T)))</t>
  </si>
  <si>
    <t>@EXP(5.69850-(.68367*@LN(T)))</t>
  </si>
  <si>
    <t>@EXP(5.70827-(.68367*@LN(T)))</t>
  </si>
  <si>
    <t>@EXP(5.72260-(.68367*@LN(T)))</t>
  </si>
  <si>
    <t>Revenue Requirement</t>
  </si>
  <si>
    <r>
      <t>(See Independent Accountants</t>
    </r>
    <r>
      <rPr>
        <b/>
        <sz val="12"/>
        <rFont val="Arial"/>
        <family val="2"/>
      </rPr>
      <t>’</t>
    </r>
    <r>
      <rPr>
        <b/>
        <sz val="12"/>
        <rFont val="Times New Roman"/>
        <family val="1"/>
      </rPr>
      <t xml:space="preserve"> Compilation Report)</t>
    </r>
  </si>
  <si>
    <t>Relationships:</t>
  </si>
  <si>
    <t>To the Board of Directors of</t>
  </si>
  <si>
    <t>This report is intended solely for the information and use of the WUTC, management and others within the Company and is not intended to be and should not be used by anyone other than these specified parties.</t>
  </si>
  <si>
    <r>
      <rPr>
        <b/>
        <sz val="10"/>
        <rFont val="Times New Roman"/>
        <family val="1"/>
      </rPr>
      <t>GL</t>
    </r>
    <r>
      <rPr>
        <b/>
        <sz val="12"/>
        <rFont val="Times New Roman"/>
        <family val="1"/>
      </rPr>
      <t xml:space="preserve"> Booth · </t>
    </r>
    <r>
      <rPr>
        <b/>
        <sz val="10"/>
        <rFont val="Times New Roman"/>
        <family val="1"/>
      </rPr>
      <t xml:space="preserve">JG </t>
    </r>
    <r>
      <rPr>
        <b/>
        <sz val="12"/>
        <rFont val="Times New Roman"/>
        <family val="1"/>
      </rPr>
      <t>Davis &amp; Associates, PLLC</t>
    </r>
  </si>
  <si>
    <t>Accountants’ Independent Compilation Report</t>
  </si>
  <si>
    <t xml:space="preserve">Income </t>
  </si>
  <si>
    <t>Statement</t>
  </si>
  <si>
    <t>Non-</t>
  </si>
  <si>
    <t>Regulated</t>
  </si>
  <si>
    <t>Income</t>
  </si>
  <si>
    <t>Adj #</t>
  </si>
  <si>
    <t>Total Revenue</t>
  </si>
  <si>
    <t>Percent</t>
  </si>
  <si>
    <t>Reg</t>
  </si>
  <si>
    <t>Driver</t>
  </si>
  <si>
    <t>AVG</t>
  </si>
  <si>
    <t>Change</t>
  </si>
  <si>
    <t>Tons</t>
  </si>
  <si>
    <t>Residential &amp; Commercial</t>
  </si>
  <si>
    <t>ADJUSTED</t>
  </si>
  <si>
    <t>(See Independent Accountants’ Compilation Report)</t>
  </si>
  <si>
    <t>Pro Forma</t>
  </si>
  <si>
    <t>Support for Rate Case Expense</t>
  </si>
  <si>
    <t>Invoice</t>
  </si>
  <si>
    <t>Vendor</t>
  </si>
  <si>
    <t>GL Booth JG Davis &amp; Associates</t>
  </si>
  <si>
    <t xml:space="preserve">P-1                                    </t>
  </si>
  <si>
    <t>Difference</t>
  </si>
  <si>
    <t>Forecast</t>
  </si>
  <si>
    <t>Ordinary Income/Expense</t>
  </si>
  <si>
    <t>Bainbridge Island</t>
  </si>
  <si>
    <t>1 Deposits-  Garbage</t>
  </si>
  <si>
    <t>2 Deposits- TS</t>
  </si>
  <si>
    <t>5 Deposits- Poulsbo</t>
  </si>
  <si>
    <t>8 Credit Card settlements</t>
  </si>
  <si>
    <t>Commercial Cardboard hauling</t>
  </si>
  <si>
    <t>YardWaste- Bainbridge</t>
  </si>
  <si>
    <t>YardWaste- Transfer Station</t>
  </si>
  <si>
    <t>Commodity charges (credits)</t>
  </si>
  <si>
    <t>Poulsbo Municipal Contract</t>
  </si>
  <si>
    <t>4 Deposits- Product Commodities</t>
  </si>
  <si>
    <t>6 Tribal or Non-Tax</t>
  </si>
  <si>
    <t>7 842-JUNK hauling, 10-Yarders</t>
  </si>
  <si>
    <t>Total Income</t>
  </si>
  <si>
    <t>Gross Profit</t>
  </si>
  <si>
    <t>Bank or Credit-Card charges</t>
  </si>
  <si>
    <t>Billing services</t>
  </si>
  <si>
    <t>Building-Facility Maintenance</t>
  </si>
  <si>
    <t>Computer &amp; Software expense</t>
  </si>
  <si>
    <t>Dues, WRRA, Subscriptions</t>
  </si>
  <si>
    <t>Dump Fees - Other</t>
  </si>
  <si>
    <t>Fees &amp; Permits</t>
  </si>
  <si>
    <t>Fuel, Diesel, Gas, Oil,</t>
  </si>
  <si>
    <t>Gross Pay</t>
  </si>
  <si>
    <t>L&amp;I Workers Comp</t>
  </si>
  <si>
    <t>Medical-Dental Ins.</t>
  </si>
  <si>
    <t>S-IRA match for employees</t>
  </si>
  <si>
    <t>Taxes - PR</t>
  </si>
  <si>
    <t>Payroll &amp; Benefits - Other</t>
  </si>
  <si>
    <t>Printing</t>
  </si>
  <si>
    <t>Radio supplies,</t>
  </si>
  <si>
    <t>Safety</t>
  </si>
  <si>
    <t>Shop Supplies</t>
  </si>
  <si>
    <t>Small Container parts, repairs</t>
  </si>
  <si>
    <t>Training, Seminars,</t>
  </si>
  <si>
    <t>Travel &amp; Fares</t>
  </si>
  <si>
    <t>Uniforms (Laundry &amp; Cleaning)</t>
  </si>
  <si>
    <t>Vehicle Repairs/Parts/Maint.</t>
  </si>
  <si>
    <t>Repairs to Equip, Buildings, Gr</t>
  </si>
  <si>
    <t>Repairs- Garbage Collection eq</t>
  </si>
  <si>
    <t>Maintenance &amp; Shop expenses</t>
  </si>
  <si>
    <t>Insurance - Trucks/Business</t>
  </si>
  <si>
    <t>Office Supplies</t>
  </si>
  <si>
    <t>Postage, mail billings,</t>
  </si>
  <si>
    <t>Legal/Professional  Fees</t>
  </si>
  <si>
    <t>Accounting &amp; tax-prep fees</t>
  </si>
  <si>
    <t>Telephone, Communication</t>
  </si>
  <si>
    <t>Licenses - Truck</t>
  </si>
  <si>
    <t>Transfer Station - Rent</t>
  </si>
  <si>
    <t>Rent - Shop</t>
  </si>
  <si>
    <t>Equipment Rental</t>
  </si>
  <si>
    <t>Truck Loan Interest</t>
  </si>
  <si>
    <t>Total Expense</t>
  </si>
  <si>
    <t>Net Ordinary Income</t>
  </si>
  <si>
    <t>Other Income/Expense</t>
  </si>
  <si>
    <t>Other Expense</t>
  </si>
  <si>
    <t>Donations</t>
  </si>
  <si>
    <t>Book-Loss on Truck disposition</t>
  </si>
  <si>
    <t>Business Meals &amp; Ent.</t>
  </si>
  <si>
    <t>Depreciation of Fixed Assets</t>
  </si>
  <si>
    <t>Total Other Expense</t>
  </si>
  <si>
    <t>Net Other Income</t>
  </si>
  <si>
    <t>Dump fees - Commercial recycling</t>
  </si>
  <si>
    <t>Dump fees - JUNK-842</t>
  </si>
  <si>
    <t>Dump fees - Non-regulated Dump fees</t>
  </si>
  <si>
    <t>Dump fees - Pass Through</t>
  </si>
  <si>
    <t>Dump fees - Whitegoods Recycling</t>
  </si>
  <si>
    <t>Dump fees - Yard.Waste exp.</t>
  </si>
  <si>
    <t>Tax and License - Heavy Truck tax</t>
  </si>
  <si>
    <t>Tax and License - City Taxes</t>
  </si>
  <si>
    <t>Tax and License - WUTC Regulatory Fees</t>
  </si>
  <si>
    <t>Tax and License - Property</t>
  </si>
  <si>
    <t>Tax and License - State Taxes</t>
  </si>
  <si>
    <t>Landscaping</t>
  </si>
  <si>
    <t>Shop gravel</t>
  </si>
  <si>
    <t>Retaining wall/epa upgrade/oil sept oil separator epa upgrade buildout</t>
  </si>
  <si>
    <t>Fairbanks permits for transfer station</t>
  </si>
  <si>
    <t>Engineering for dump roof</t>
  </si>
  <si>
    <t>Engineering for trn stn</t>
  </si>
  <si>
    <t>engineering for trn stn roof</t>
  </si>
  <si>
    <t>Sewer hook up fees - city</t>
  </si>
  <si>
    <t>Site work for sewer - zimmer</t>
  </si>
  <si>
    <t>engineering for trn stn roofing</t>
  </si>
  <si>
    <t>TS dump roofing - fairbanks</t>
  </si>
  <si>
    <t>Zimmer site work for sewer</t>
  </si>
  <si>
    <t>Fencing</t>
  </si>
  <si>
    <t>Retaining wall</t>
  </si>
  <si>
    <t>Bainbridge floor covering</t>
  </si>
  <si>
    <t>Pargas furnace</t>
  </si>
  <si>
    <t>Building improvements and sign</t>
  </si>
  <si>
    <t>Office remodel - Whitey Johnson</t>
  </si>
  <si>
    <t>Penninsula electric work</t>
  </si>
  <si>
    <t>Building siding and roofing - kiwi steel</t>
  </si>
  <si>
    <t>Matthews electric - wiring</t>
  </si>
  <si>
    <t>two 30 yd drop boxes - capital ind</t>
  </si>
  <si>
    <t xml:space="preserve">capital ind, 12 2 yd containers </t>
  </si>
  <si>
    <t>two 11 yd drop boxes cap ind</t>
  </si>
  <si>
    <t>18 2 yd containers cap ind</t>
  </si>
  <si>
    <t>Capital ind 2 50 yd containers</t>
  </si>
  <si>
    <t>capital ind 11 yd hook</t>
  </si>
  <si>
    <t>B&amp;M pressure washer, eh2010</t>
  </si>
  <si>
    <t>30 yd container   capital industires</t>
  </si>
  <si>
    <t>12 2 yd containers, capital ind</t>
  </si>
  <si>
    <t>30 yard container capital ind</t>
  </si>
  <si>
    <t>Tuff shed dry storage</t>
  </si>
  <si>
    <t>1 30 yd container capital industries</t>
  </si>
  <si>
    <t>1 11 yd container, capital industries</t>
  </si>
  <si>
    <t>Capitalized use tax on containers</t>
  </si>
  <si>
    <t>One 50 yard containers, capital industries</t>
  </si>
  <si>
    <t>Forklift - boss lift equipment</t>
  </si>
  <si>
    <t>Capital ind 2 yard bottoms</t>
  </si>
  <si>
    <t>Toter inc - 240 32 gal toters</t>
  </si>
  <si>
    <t>Capital ind 6- 2 yd containers, bottoms</t>
  </si>
  <si>
    <t>One 50 yd container, capital ind</t>
  </si>
  <si>
    <t>Containers - capital industies</t>
  </si>
  <si>
    <t>container lids bottoms, capital industries</t>
  </si>
  <si>
    <t>12 2 yd containers - cappital industires</t>
  </si>
  <si>
    <t>cap industries 50 yd containers</t>
  </si>
  <si>
    <t>4 50 yd containers capital industries</t>
  </si>
  <si>
    <t>Containers 6 2 yd cap industries</t>
  </si>
  <si>
    <t>Containers 2 - 6 yd, 6 - 4 yd sklallam cap ind</t>
  </si>
  <si>
    <t>T-24 intl refuse chassis trailer</t>
  </si>
  <si>
    <t>Hoist, lift axle, hydraulic kit,intl accessories, industrial refuse</t>
  </si>
  <si>
    <t>Ampliroll 90L hooklift mounted truck tech ltd</t>
  </si>
  <si>
    <t>NW fire service - new truck painting</t>
  </si>
  <si>
    <t>Chevy pickup - shop truck- liberty bay auto</t>
  </si>
  <si>
    <t>Lincoln industrial# 0007021</t>
  </si>
  <si>
    <t>Engine rebuild unit 4 flying wrench svc</t>
  </si>
  <si>
    <t>1/2 overhaul, transmission - flying wrench unit 18</t>
  </si>
  <si>
    <t>Head gasket, rebuild: flying wrench unit 3</t>
  </si>
  <si>
    <t>used gmc shop truck</t>
  </si>
  <si>
    <t>Turnkey cabinets, workstation fixt.</t>
  </si>
  <si>
    <t>PC scale software, replace rics</t>
  </si>
  <si>
    <t xml:space="preserve">Dell computers, upgrade </t>
  </si>
  <si>
    <t>PC scale, tower software system upgrade</t>
  </si>
  <si>
    <t>Workstation - P.S. network solutions</t>
  </si>
  <si>
    <t>PS networks computer system upgrade</t>
  </si>
  <si>
    <t>Time clock equipment</t>
  </si>
  <si>
    <t>1/2 overhaul, transmissioin - flying wrench svc truck 18</t>
  </si>
  <si>
    <t>Truck rebuild - flying wrench</t>
  </si>
  <si>
    <t>Truck 4 rebuild husky intl</t>
  </si>
  <si>
    <t>Truck unit 19 rebuild - flying wrench</t>
  </si>
  <si>
    <t>Transfer trailer - solid waste sys</t>
  </si>
  <si>
    <t>Recycle Trucks</t>
  </si>
  <si>
    <t>12 2 yd containers cap ind</t>
  </si>
  <si>
    <t>6 2 yd containers capital ind</t>
  </si>
  <si>
    <t>4 2 yd commercial cardboard toters capita industries</t>
  </si>
  <si>
    <t>96 gallon yard waste toters - toter inc</t>
  </si>
  <si>
    <t>2520 64 gal recycle toters - toter inc net of 56,296.80 reimb from Kitsap Co.</t>
  </si>
  <si>
    <t>5040 64 gal recycle toters - p</t>
  </si>
  <si>
    <t>200 96 gal yardwaste toters</t>
  </si>
  <si>
    <t>840 64 gal recycle toters</t>
  </si>
  <si>
    <t>200 96 gal yw toters</t>
  </si>
  <si>
    <t>2 11 yard containers</t>
  </si>
  <si>
    <t>150 96 g yw toters (2) toter inc</t>
  </si>
  <si>
    <t>300 64 gal rc toters net of county reserve</t>
  </si>
  <si>
    <t>200 yw toters, 200 mf toers, shipping, tax - toter inc</t>
  </si>
  <si>
    <t>300 64 g rc toters, 400 96 g yw toters, shiping, toter inc</t>
  </si>
  <si>
    <t>one 50 yd container - capital industries</t>
  </si>
  <si>
    <t>Toter inc - 400 recycle toters, 200 ydwaste</t>
  </si>
  <si>
    <t>Capital ind - toter lids</t>
  </si>
  <si>
    <t>one 50 yd container - capita ind</t>
  </si>
  <si>
    <t>144 64 gal rc toters - toter inc</t>
  </si>
  <si>
    <t>400 96 g yw toters - toter inc</t>
  </si>
  <si>
    <t>432 64 gal rc toters - toter inc</t>
  </si>
  <si>
    <t>312 96 gal yw toters</t>
  </si>
  <si>
    <t>Wastequip 64 g rc toters</t>
  </si>
  <si>
    <t>Wastequip 96 g yw toters</t>
  </si>
  <si>
    <t>reccle toters - 384 64 g toter LLC</t>
  </si>
  <si>
    <t>Yardwaste Toters - 180 96 g toter LLC</t>
  </si>
  <si>
    <t>Recycle containers - toter inc</t>
  </si>
  <si>
    <t xml:space="preserve">Recycle Containers  </t>
  </si>
  <si>
    <t>Highland tank oil water separator epa upgrade</t>
  </si>
  <si>
    <t>two 40 yd yardwaste containers capital ind</t>
  </si>
  <si>
    <t>Garbage Trucks</t>
  </si>
  <si>
    <t>Structures/Improvements</t>
  </si>
  <si>
    <t>Improvements Leasehold</t>
  </si>
  <si>
    <t>Containers/Machinery</t>
  </si>
  <si>
    <t>Recycle Containers</t>
  </si>
  <si>
    <t>Total Structures/Improvements</t>
  </si>
  <si>
    <t>Total Garbage Trucks</t>
  </si>
  <si>
    <t>Total Recycle Trucks</t>
  </si>
  <si>
    <t>Total Recycle Containers</t>
  </si>
  <si>
    <t>BAINBRIDGE DISPOSAL</t>
  </si>
  <si>
    <t>Trailer</t>
  </si>
  <si>
    <t>Unit 4</t>
  </si>
  <si>
    <t>Unit 20</t>
  </si>
  <si>
    <t>Cash Basis</t>
  </si>
  <si>
    <t>Columbia Bank</t>
  </si>
  <si>
    <t>Inventory- Toters</t>
  </si>
  <si>
    <t>Large Containers, Equipment,</t>
  </si>
  <si>
    <t>Leasehold Improvements</t>
  </si>
  <si>
    <t>Office Furniture &amp; Equip.</t>
  </si>
  <si>
    <t>Trucks- Garbage</t>
  </si>
  <si>
    <t>Trucks- Recycle</t>
  </si>
  <si>
    <t>Goodwill</t>
  </si>
  <si>
    <t>State Excise Taxes</t>
  </si>
  <si>
    <t>City Utility Taxes</t>
  </si>
  <si>
    <t>Reserve for old-AMB O/S checks</t>
  </si>
  <si>
    <t>Capital Stock</t>
  </si>
  <si>
    <t>Capital Stock Unissued</t>
  </si>
  <si>
    <t>Paid in Capital</t>
  </si>
  <si>
    <t>Shareholder Distributions</t>
  </si>
  <si>
    <t>Retained Earnings</t>
  </si>
  <si>
    <t>ASSETS</t>
  </si>
  <si>
    <t>Current Assets</t>
  </si>
  <si>
    <t>Checking/Savings</t>
  </si>
  <si>
    <t>Total Checking/Savings</t>
  </si>
  <si>
    <t>Other Current Assets</t>
  </si>
  <si>
    <t>Total Other Current Assets</t>
  </si>
  <si>
    <t>Total Current Assets</t>
  </si>
  <si>
    <t>Fixed Assets</t>
  </si>
  <si>
    <t>Land Improvements</t>
  </si>
  <si>
    <t>Improvements- Garbage</t>
  </si>
  <si>
    <t>Total Land Improvements</t>
  </si>
  <si>
    <t>Equipment- Garbage</t>
  </si>
  <si>
    <t>Equipment- Recycle &amp; YW</t>
  </si>
  <si>
    <t>Toters - S'Klallams</t>
  </si>
  <si>
    <t>Large Containers, Equipment, - Other</t>
  </si>
  <si>
    <t>Total Large Containers, Equipment,</t>
  </si>
  <si>
    <t>Computer Software &amp; Equip.</t>
  </si>
  <si>
    <t>Office Furniture &amp; Equip. - Other</t>
  </si>
  <si>
    <t>Total Office Furniture &amp; Equip.</t>
  </si>
  <si>
    <t>less Accumulated Depreciation</t>
  </si>
  <si>
    <t>A/D- Garbage</t>
  </si>
  <si>
    <t>A/D-  Recycling</t>
  </si>
  <si>
    <t>Total less Accumulated Depreciation</t>
  </si>
  <si>
    <t>Total Fixed Assets</t>
  </si>
  <si>
    <t>Other Assets</t>
  </si>
  <si>
    <t>Total Other Assets</t>
  </si>
  <si>
    <t>TOTAL ASSETS</t>
  </si>
  <si>
    <t>LIABILITIES &amp; EQUITY</t>
  </si>
  <si>
    <t>Liabilities</t>
  </si>
  <si>
    <t>Current Liabilities</t>
  </si>
  <si>
    <t>Other Current Liabilities</t>
  </si>
  <si>
    <t>Payroll/PR Taxes</t>
  </si>
  <si>
    <t>940 FUTA</t>
  </si>
  <si>
    <t>941 Taxes Due</t>
  </si>
  <si>
    <t>L&amp;I Payable</t>
  </si>
  <si>
    <t>SUTA</t>
  </si>
  <si>
    <t>Total Payroll/PR Taxes</t>
  </si>
  <si>
    <t>Total Other Current Liabilities</t>
  </si>
  <si>
    <t>Total Current Liabilities</t>
  </si>
  <si>
    <t>Long Term Liabilities</t>
  </si>
  <si>
    <t>Total Long Term Liabilities</t>
  </si>
  <si>
    <t>Total Liabilities</t>
  </si>
  <si>
    <t>Total Equity</t>
  </si>
  <si>
    <t>TOTAL LIABILITIES &amp; EQUITY</t>
  </si>
  <si>
    <t>Residential Garbage - Regulated</t>
  </si>
  <si>
    <t>Residential Garbage - Non-Regulated</t>
  </si>
  <si>
    <t>Commercial Collection - Regulated</t>
  </si>
  <si>
    <t>Commercial Collection - Non-Regulated</t>
  </si>
  <si>
    <t>Drop Box/Compactor Collection - Regulated</t>
  </si>
  <si>
    <t>Drop Box/Compactor Collection - Non-Regulated</t>
  </si>
  <si>
    <t>Drop Box/Com. Pass Through Disposal - Regulated</t>
  </si>
  <si>
    <t>Drop Box/Com. Pass Through Disposal - Non-Regulated</t>
  </si>
  <si>
    <t>Other Garbage Collection - Regulated</t>
  </si>
  <si>
    <t>Other Garbage Collection - Non-Regulated</t>
  </si>
  <si>
    <t>Residential Recycling - Regulated</t>
  </si>
  <si>
    <t>Residential Recycling - Non-Regulated</t>
  </si>
  <si>
    <t>Multi-Family Recycling - Regulated</t>
  </si>
  <si>
    <t>Multi-Family Recycling - Non-Regulated</t>
  </si>
  <si>
    <t>Sale of Recycling Commodities - Regulated</t>
  </si>
  <si>
    <t>Sale of Recycling Commodities - Non-Regulated</t>
  </si>
  <si>
    <t>Recycling Credits to Customers - Regulated</t>
  </si>
  <si>
    <t>Recycling Credits to Customers - Non-Regulated</t>
  </si>
  <si>
    <t>Yard Waste/Organic Collection - Regulated</t>
  </si>
  <si>
    <t>Yard Waste/Organic Collection - Non-Regulated</t>
  </si>
  <si>
    <t>Medical Waste - Regulated</t>
  </si>
  <si>
    <t>Medical Waste - Non-Regulated</t>
  </si>
  <si>
    <t>Other Revenue - Regulated</t>
  </si>
  <si>
    <t>Other Revenue - Non-Regulated</t>
  </si>
  <si>
    <t>Lincoln ind 3 axle trailer + 3141+23039 - TL #8</t>
  </si>
  <si>
    <t>1996 International model 9400 - TK #8</t>
  </si>
  <si>
    <t>1997 intl cab and chassis 4700 4x2 # 1HTSCAAL4VH439535 pacific coast - TK #15</t>
  </si>
  <si>
    <t>Mcneilus 97 IHC truck and 17yd loader 1HTSDAANXVH449954 - TK #19</t>
  </si>
  <si>
    <t>McNeilus truck ih 2000 - TK #16</t>
  </si>
  <si>
    <t>[LKA000001] 2004 intl 7400 SN 1HTWCAAN84J01946417 yd rear loader 1710 - TK #10</t>
  </si>
  <si>
    <t>Husky international 2003 model 9200 - TK #18</t>
  </si>
  <si>
    <t>2008 International truck - TK #20</t>
  </si>
  <si>
    <t>Tacoma nissan - 2008 GMC sierra utility truck - TK #17</t>
  </si>
  <si>
    <t>Pacific coast dropbox truck - TK #7</t>
  </si>
  <si>
    <t>GK equipment hoist for dropbox ruck - TL #7</t>
  </si>
  <si>
    <t>Recycle truck - pacific coast w deffered gain on trade in - TK #4</t>
  </si>
  <si>
    <t>International 2007 - unit 19 - TK #9</t>
  </si>
  <si>
    <t>McNeilus truck 1HTWGAAR3AJ279838 - TK #1</t>
  </si>
  <si>
    <t>McNeilus mack truck - TK #2</t>
  </si>
  <si>
    <t>Mack truck LEU 36 yd compactor solid waste sys half recycle half YW - TK #22</t>
  </si>
  <si>
    <t>1993 incold 3 axle recycle trailer lincold welding - TL #6</t>
  </si>
  <si>
    <t>Yard Waste/Organic Collection - Regulated BI</t>
  </si>
  <si>
    <t>TS Public</t>
  </si>
  <si>
    <t>Wages Maintenance</t>
  </si>
  <si>
    <t>Wages Management</t>
  </si>
  <si>
    <t>Wages Office/Billing</t>
  </si>
  <si>
    <t>Unit 1</t>
  </si>
  <si>
    <t>Unit 5</t>
  </si>
  <si>
    <t>Unit 9</t>
  </si>
  <si>
    <t>Unit 6</t>
  </si>
  <si>
    <t>Unit 11</t>
  </si>
  <si>
    <t>Unit 21</t>
  </si>
  <si>
    <t>Unit 16</t>
  </si>
  <si>
    <t>Unit 7</t>
  </si>
  <si>
    <t>Unit 19</t>
  </si>
  <si>
    <t>Unit 22</t>
  </si>
  <si>
    <t>Packer</t>
  </si>
  <si>
    <t>Front End Loader</t>
  </si>
  <si>
    <t>5T</t>
  </si>
  <si>
    <t>6T</t>
  </si>
  <si>
    <t>7T</t>
  </si>
  <si>
    <t>8T</t>
  </si>
  <si>
    <t>Flatbed</t>
  </si>
  <si>
    <t>Tanker</t>
  </si>
  <si>
    <t>Roll Off</t>
  </si>
  <si>
    <t>Pick-up</t>
  </si>
  <si>
    <t>18T</t>
  </si>
  <si>
    <t>24T</t>
  </si>
  <si>
    <t>Capital Repair - Tk #6</t>
  </si>
  <si>
    <t>Capital Repair - Tk #1</t>
  </si>
  <si>
    <t>Capital Repair - Tk #20</t>
  </si>
  <si>
    <t>Capital Repair - Tk #4</t>
  </si>
  <si>
    <t>Flying Wrench Service - Spare Parts</t>
  </si>
  <si>
    <t>Flying Wrench Service - No Description</t>
  </si>
  <si>
    <t>Reg Commercial and Res</t>
  </si>
  <si>
    <t>Wood Recycle</t>
  </si>
  <si>
    <t>Food Waste</t>
  </si>
  <si>
    <t>Tipping Fee</t>
  </si>
  <si>
    <t>Commingled Paper - Public</t>
  </si>
  <si>
    <t>Flying wrench capital repairs - Tk #18 Replace Engine</t>
  </si>
  <si>
    <t>Flying wrench, cap truck repairs - Was $19,341.08 split between following items</t>
  </si>
  <si>
    <t>Capital Repair - Tk #9</t>
  </si>
  <si>
    <t>Capital Repair - Tk #18</t>
  </si>
  <si>
    <t>Capital Repair - Tk #7</t>
  </si>
  <si>
    <t>Flying wrench - capital repairs various - Tk #6</t>
  </si>
  <si>
    <t>Capital Truck Work - Flying Wrench - Was $7,848.44 - split between following items</t>
  </si>
  <si>
    <t>Capital truck improvement - flying wrench - Was $8,327.72 - split between following items</t>
  </si>
  <si>
    <t>Capital Repair - Tk #5</t>
  </si>
  <si>
    <t>Capital Repair - Tk #2</t>
  </si>
  <si>
    <t>Capital Repair - Tk #3</t>
  </si>
  <si>
    <t>Multi-Family Garbage - Regulated</t>
  </si>
  <si>
    <t>Multi-Family Yard Waste - Regulated</t>
  </si>
  <si>
    <t>Regulated percentage</t>
  </si>
  <si>
    <t>Total interest expense</t>
  </si>
  <si>
    <t>Bainbridge</t>
  </si>
  <si>
    <t>Varies</t>
  </si>
  <si>
    <t>Public</t>
  </si>
  <si>
    <t>Commingled Paper</t>
  </si>
  <si>
    <t>Month</t>
  </si>
  <si>
    <t>Dump Fees - Regulated</t>
  </si>
  <si>
    <t>Regulated tons 842 Junk</t>
  </si>
  <si>
    <t>Regulated other pass thru</t>
  </si>
  <si>
    <t>Disposal fee increase</t>
  </si>
  <si>
    <t>Rev/exp adjust other pass thru</t>
  </si>
  <si>
    <t>Rate case costs</t>
  </si>
  <si>
    <t>Rate Case Costs</t>
  </si>
  <si>
    <t>Per Invoice</t>
  </si>
  <si>
    <t>Per QB</t>
  </si>
  <si>
    <t>Shop Expense</t>
  </si>
  <si>
    <t>Yard Waste - Transfer Station</t>
  </si>
  <si>
    <t>Yard Waste - Bainbridge Island</t>
  </si>
  <si>
    <t>Yard Waste - Poulsbo</t>
  </si>
  <si>
    <t>Construction Debris - Transfer Station</t>
  </si>
  <si>
    <t>Construction Debris - 842-JUNK</t>
  </si>
  <si>
    <t>Construction Debris</t>
  </si>
  <si>
    <t>Contractor Yard Waste</t>
  </si>
  <si>
    <t>Construction Debris - Commercial</t>
  </si>
  <si>
    <t>TS</t>
  </si>
  <si>
    <t>R-6</t>
  </si>
  <si>
    <t>P-6</t>
  </si>
  <si>
    <t xml:space="preserve">Record </t>
  </si>
  <si>
    <t>New Truck</t>
  </si>
  <si>
    <t>Cost of materials sold</t>
  </si>
  <si>
    <t xml:space="preserve">Reclass to </t>
  </si>
  <si>
    <t>Annual Report</t>
  </si>
  <si>
    <t>Reclass Reg</t>
  </si>
  <si>
    <t>INTEREST EXPENSE (already above)</t>
  </si>
  <si>
    <t>NET OPERATING INCOME AFTER FIT</t>
  </si>
  <si>
    <t>AVERAGE RATE BASE</t>
  </si>
  <si>
    <t>RETURN ON INVESTMENT</t>
  </si>
  <si>
    <t>GMC shop truck - smith motors - Tk 23</t>
  </si>
  <si>
    <t>Transfer Station self haulers - See transfer station price list</t>
  </si>
  <si>
    <t>BioSolids</t>
  </si>
  <si>
    <t>Payroll:</t>
  </si>
  <si>
    <t>Non-regulated</t>
  </si>
  <si>
    <t>Disposal fees</t>
  </si>
  <si>
    <t>Total fuel</t>
  </si>
  <si>
    <t>Proof</t>
  </si>
  <si>
    <t>Suquamish Tribe - Charged at same rates as regulated areas are charged</t>
  </si>
  <si>
    <t>Capital Repair - Tk #10</t>
  </si>
  <si>
    <t>Capital Repair - Tk #19</t>
  </si>
  <si>
    <t>Capital Repair - Tk #14</t>
  </si>
  <si>
    <t>Flying wrench capital truck work - Was $22,537.76 split between the following items</t>
  </si>
  <si>
    <t>Charitable</t>
  </si>
  <si>
    <t>BAINBRIDGE DISPOSAL INC.</t>
  </si>
  <si>
    <t>Bainbridge Disposal, Inc.</t>
  </si>
  <si>
    <t>BAINBRIDGE DISPOSAL, INC.</t>
  </si>
  <si>
    <t>Taxes</t>
  </si>
  <si>
    <t>Drop Box/Com. Pass Through Disposal - Reg</t>
  </si>
  <si>
    <t>Drop Box/Com. Pass Through Disposal-Non-Reg</t>
  </si>
  <si>
    <t>Paid for shop owned by Heather Church in single member LLC</t>
  </si>
  <si>
    <t xml:space="preserve">Heather Church is the stockholder of Bainbridge Septic, Inc. and sole member of BDI Vincent Road, LLC and BDBP, LLC.  </t>
  </si>
  <si>
    <t>For the Twelve Months Ended December 31, 2022 Historical</t>
  </si>
  <si>
    <t>Workpapers</t>
  </si>
  <si>
    <t>WORKPAPER 1 - RATE CASE COSTS</t>
  </si>
  <si>
    <t>WORKPAPER 4 - LICENSE FEE ANALYSIS</t>
  </si>
  <si>
    <t>January through December 2022</t>
  </si>
  <si>
    <t>Toters sold- Retail</t>
  </si>
  <si>
    <t>Garbage &amp; Recycle - Bainbridge</t>
  </si>
  <si>
    <t>Garbage - Transfer Station B.I.</t>
  </si>
  <si>
    <t>YardWaste - Bainbridge curbside</t>
  </si>
  <si>
    <t>YardWaste &amp; Rec.- Transfer Stn.</t>
  </si>
  <si>
    <t>Poulsbo, municipal contract,</t>
  </si>
  <si>
    <t>less customer Returns, Refunds</t>
  </si>
  <si>
    <t>Hauling Fees</t>
  </si>
  <si>
    <t>Fees to ADP</t>
  </si>
  <si>
    <t>Advertising/Promotion</t>
  </si>
  <si>
    <t>Billing services, CTP,</t>
  </si>
  <si>
    <t>Dump Fees</t>
  </si>
  <si>
    <t>Non-regulated Dump fees</t>
  </si>
  <si>
    <t>Yard.Waste exp.</t>
  </si>
  <si>
    <t>Total Dump Fees</t>
  </si>
  <si>
    <t>Payroll &amp; Benefits</t>
  </si>
  <si>
    <t>Vacation &amp; Holiday</t>
  </si>
  <si>
    <t>Bonus or Flex PTO</t>
  </si>
  <si>
    <t>Taxes - PR - Other</t>
  </si>
  <si>
    <t>Total Taxes - PR</t>
  </si>
  <si>
    <t>Total Payroll &amp; Benefits</t>
  </si>
  <si>
    <t>Safety/Security</t>
  </si>
  <si>
    <t>Staff events, benefits,</t>
  </si>
  <si>
    <t>Medical - not PR</t>
  </si>
  <si>
    <t>Miscellaneous - Other</t>
  </si>
  <si>
    <t>Total Miscellaneous</t>
  </si>
  <si>
    <t>Taxes &amp; Licenses</t>
  </si>
  <si>
    <t>Heavy Truck tax</t>
  </si>
  <si>
    <t>City Taxes</t>
  </si>
  <si>
    <t>WUTC Regulatory Fees</t>
  </si>
  <si>
    <t>Property</t>
  </si>
  <si>
    <t>State Taxes</t>
  </si>
  <si>
    <t>Total Taxes &amp; Licenses</t>
  </si>
  <si>
    <t>Transportation, Trailer,</t>
  </si>
  <si>
    <t>Repairs- Bainbridge res &amp; com</t>
  </si>
  <si>
    <t>Total Repairs- Garbage Collection eq</t>
  </si>
  <si>
    <t>Tires and Tubes</t>
  </si>
  <si>
    <t>Repair office equipment</t>
  </si>
  <si>
    <t>Licenses - Trucks</t>
  </si>
  <si>
    <t>Other Income</t>
  </si>
  <si>
    <t>LnI Retro rebate, PITB</t>
  </si>
  <si>
    <t>Commodity charges-</t>
  </si>
  <si>
    <t>Ins. or Tax reimbursement</t>
  </si>
  <si>
    <t>Total Other Income</t>
  </si>
  <si>
    <t>Depreciation of  Assets,  est.</t>
  </si>
  <si>
    <t>9:11 AM</t>
  </si>
  <si>
    <t>Jan 22</t>
  </si>
  <si>
    <t>Feb 22</t>
  </si>
  <si>
    <t>Mar 22</t>
  </si>
  <si>
    <t>Apr 22</t>
  </si>
  <si>
    <t>May 22</t>
  </si>
  <si>
    <t>Jun 22</t>
  </si>
  <si>
    <t>Jul 22</t>
  </si>
  <si>
    <t>Aug 22</t>
  </si>
  <si>
    <t>Sep 22</t>
  </si>
  <si>
    <t>Oct 22</t>
  </si>
  <si>
    <t>Nov 22</t>
  </si>
  <si>
    <t>Dec 22</t>
  </si>
  <si>
    <t>9:19 AM</t>
  </si>
  <si>
    <t>As of December 31, 2022</t>
  </si>
  <si>
    <t>Dec 31, 22</t>
  </si>
  <si>
    <t>Dec 31, 21</t>
  </si>
  <si>
    <t>Due from B.T.S.</t>
  </si>
  <si>
    <t>Due from Septic</t>
  </si>
  <si>
    <t>Prepaid Exp., Deposits,</t>
  </si>
  <si>
    <t>Deposits- Assets not in service</t>
  </si>
  <si>
    <t>Due to B.T.S.</t>
  </si>
  <si>
    <t>ADP PR</t>
  </si>
  <si>
    <t>Simple-IRA</t>
  </si>
  <si>
    <t>Child Support</t>
  </si>
  <si>
    <t>Total ADP PR</t>
  </si>
  <si>
    <t>Due to affiliate, Septic</t>
  </si>
  <si>
    <t>PFML</t>
  </si>
  <si>
    <t>ADP UR PR Tax credits</t>
  </si>
  <si>
    <t>Loan 3 for Truck - Columbia</t>
  </si>
  <si>
    <t>Loan 2  for Truck - Columbia</t>
  </si>
  <si>
    <t>Loan 1 for Truck - Columbia</t>
  </si>
  <si>
    <t>Lnl Retro rebate, PITB</t>
  </si>
  <si>
    <t>Legal/Professional Fees</t>
  </si>
  <si>
    <t>Staff events, benefts,</t>
  </si>
  <si>
    <t>Actual Costs Billed for 2023 Rate Case</t>
  </si>
  <si>
    <t>Actual Cost of 2023 Rate Case to Date</t>
  </si>
  <si>
    <t>Unbilled CPA Services Incurred</t>
  </si>
  <si>
    <t>Land dozing and clearing</t>
  </si>
  <si>
    <t>Winslow water hook up fee</t>
  </si>
  <si>
    <t>Pave driveway</t>
  </si>
  <si>
    <t>Escavate container storage area</t>
  </si>
  <si>
    <t>Security cam system</t>
  </si>
  <si>
    <t>Security system - Tys custom design</t>
  </si>
  <si>
    <t>Furniture - front desk</t>
  </si>
  <si>
    <t>new PeterBilt 320, unit 26</t>
  </si>
  <si>
    <t>RWC engine replacement</t>
  </si>
  <si>
    <t>2019 International, SWS, rear loader, Packer body</t>
  </si>
  <si>
    <t>2020 PeterBilt 520 YW-RC big truck</t>
  </si>
  <si>
    <t>Transmission Replacement, unit 2</t>
  </si>
  <si>
    <t>Recycle &amp; Yardwaste Toters - Toter Inc</t>
  </si>
  <si>
    <t xml:space="preserve">50 Yard container - Cap Ind. </t>
  </si>
  <si>
    <t>144 64-Gal receycle, 400 96-Gal YW, 100 96-Gal</t>
  </si>
  <si>
    <t>Currotto Can - Western Systems</t>
  </si>
  <si>
    <t>894 Toters w freight</t>
  </si>
  <si>
    <t>Capital Industries - recycle Containers</t>
  </si>
  <si>
    <t>1 40-YD Low Struc Drop Box - Capital Ind.</t>
  </si>
  <si>
    <t>WASTEQUIP toters, YardWaste &amp; Recycle</t>
  </si>
  <si>
    <t>WastEquip 200 64G Rec, 240 96G YW toters</t>
  </si>
  <si>
    <t>Toter LLC 140 96G blues</t>
  </si>
  <si>
    <t>Toter LLC 150 64G blue, 162 96G green</t>
  </si>
  <si>
    <t>WasteEquip 624 YW &amp; RC toters</t>
  </si>
  <si>
    <t>312 96-Gal Toters</t>
  </si>
  <si>
    <t>1 50-Yd Roll-off</t>
  </si>
  <si>
    <t>TOTER LLC - 432 64-GAL BLUE RECYCLE TOTERS</t>
  </si>
  <si>
    <t>TOTER LLC - 624 96-GAL GREEN RECYCLE TOTERS</t>
  </si>
  <si>
    <t>CAPITAL IND - 1 50-GAL RECYCLE CONTAINER</t>
  </si>
  <si>
    <t>TOTER LLC - 312 96-G RECYCLE CARTS &amp; LIDS</t>
  </si>
  <si>
    <t>DEPARTMENT OF LICENSING</t>
  </si>
  <si>
    <t>Unit 2</t>
  </si>
  <si>
    <t>Unit 15 (Old)</t>
  </si>
  <si>
    <t>Unit 27</t>
  </si>
  <si>
    <t>Unit 28</t>
  </si>
  <si>
    <t>BANK OF AMERICA</t>
  </si>
  <si>
    <t>New Unit 15</t>
  </si>
  <si>
    <t>Unit 24</t>
  </si>
  <si>
    <t>Unit 23</t>
  </si>
  <si>
    <t>Unit 25</t>
  </si>
  <si>
    <t>Unit</t>
  </si>
  <si>
    <t>Unit 10</t>
  </si>
  <si>
    <t>Unit 26</t>
  </si>
  <si>
    <t>Long-Term Debt</t>
  </si>
  <si>
    <t>Weighted Cost of Debt</t>
  </si>
  <si>
    <t>FEDERAL INCOME TAX  (Benefit) (21%)</t>
  </si>
  <si>
    <t>Affiliated operating expenses for the twelve month period ending December 31, 2022 consist of the following:</t>
  </si>
  <si>
    <t>01/01/22 - 12/31/22</t>
  </si>
  <si>
    <t>February 2022</t>
  </si>
  <si>
    <t>January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</si>
  <si>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</si>
  <si>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</si>
  <si>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</si>
  <si>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</si>
  <si>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</si>
  <si>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</si>
  <si>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</si>
  <si>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</si>
  <si>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</si>
  <si>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</si>
  <si>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</si>
  <si>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</si>
  <si>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</si>
  <si>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</si>
  <si>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</si>
  <si>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</si>
  <si>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Shop - Rent</t>
  </si>
  <si>
    <t>Total Improvements Leasehold</t>
  </si>
  <si>
    <t>Office Furniture &amp; Equipment</t>
  </si>
  <si>
    <t>Total Office Furniture &amp; Equipment</t>
  </si>
  <si>
    <t>Total Containers/Machinery</t>
  </si>
  <si>
    <t>Totals</t>
  </si>
  <si>
    <t>Total Transfer Station Assets</t>
  </si>
  <si>
    <t>HUSKY- 2007 INTERNATIONAL unit 6</t>
  </si>
  <si>
    <t>Roll-off Hoist new # 5 - Solid Waste Sys.</t>
  </si>
  <si>
    <t>RCW International Truck- new # 5</t>
  </si>
  <si>
    <t>Trailer- new # 5 - Solid Waste Sys</t>
  </si>
  <si>
    <t>BACK HOE</t>
  </si>
  <si>
    <t>50-Yd Containers, Transfer Station</t>
  </si>
  <si>
    <t>3 50-Yard containers - Cap Ind.</t>
  </si>
  <si>
    <t>Capital Ind. - 4 50-YD superior lift roll off</t>
  </si>
  <si>
    <t>2019 Western Peterbilt, drop-box truck, U-25</t>
  </si>
  <si>
    <t>SWS Hoist Equip., (on 2019 Peterbilt )</t>
  </si>
  <si>
    <t>Capital Ind. 50-YD container</t>
  </si>
  <si>
    <t>RCW Engine rebuild - unit 6</t>
  </si>
  <si>
    <t>F-Wrench capital repairs - unit 6</t>
  </si>
  <si>
    <t>2 50-YD Roll-off Containers - Cap. Ind.</t>
  </si>
  <si>
    <t>CAPITAL IND - 2 50-YD ROLL-OFF CONTAINERS</t>
  </si>
  <si>
    <t>Shop truck - 2015 Chev - 9000-lb GVW unit 21</t>
  </si>
  <si>
    <t>2017 International truck - unit 24 - RWC</t>
  </si>
  <si>
    <t>capital truck work - Flying Wrench</t>
  </si>
  <si>
    <t>Hoist, unit 24, Solid Waste Sys</t>
  </si>
  <si>
    <t>Engine OverHaul - Flying Wrench</t>
  </si>
  <si>
    <t>Chev 2017 Maintenance Van &gt; 6000 lb GVW</t>
  </si>
  <si>
    <t>2019 International 7400, RCW, Cab &amp; Chassis</t>
  </si>
  <si>
    <t>Western Peterbilt unit 11</t>
  </si>
  <si>
    <t>SWS unit 25B Trailer</t>
  </si>
  <si>
    <t>Lincoln Ind. RO-RL Trailer</t>
  </si>
  <si>
    <t>Lincoln Ind. unit 7</t>
  </si>
  <si>
    <t>Hoist-HookLift, unit 15, SWS Equip.</t>
  </si>
  <si>
    <t>Motor, unit 16, RWC Group</t>
  </si>
  <si>
    <t>2021 Peterbilt 337, new unit 15</t>
  </si>
  <si>
    <t>Lincoln 3-Axle Trailer</t>
  </si>
  <si>
    <t>SWS inv. 4103525</t>
  </si>
  <si>
    <t>Peterbilt Drop Box truck, unit 28</t>
  </si>
  <si>
    <t>McNEILUS - Unit 10 REBUILD</t>
  </si>
  <si>
    <t>McNEILUS - Unit 16 REBUILD</t>
  </si>
  <si>
    <t>RCW - Unit 19 REBUILD</t>
  </si>
  <si>
    <t>12 2-Yard Containers + 2 50-Yard containers</t>
  </si>
  <si>
    <t>50-Yard container - Cap Ind</t>
  </si>
  <si>
    <t>2 50-Yard containers - Cap Ind</t>
  </si>
  <si>
    <t>Capital Indutries…</t>
  </si>
  <si>
    <t>2 50-Yard containers - Cap. Ind.</t>
  </si>
  <si>
    <t>2 40-Yard containers</t>
  </si>
  <si>
    <t>40-Yard container - Cap Ind.</t>
  </si>
  <si>
    <t>Bank of America</t>
  </si>
  <si>
    <t>3 50-Yard containers, Cap. Ind.</t>
  </si>
  <si>
    <t>3 30-Yard containers - Cap. Ind.</t>
  </si>
  <si>
    <t>12 2-Yard containers</t>
  </si>
  <si>
    <t>24 2-Yard containers</t>
  </si>
  <si>
    <t>3 11-YD Hooklift drop boxes - Capital Ind.</t>
  </si>
  <si>
    <t>2 40-YD Low Struc Drop Boxes</t>
  </si>
  <si>
    <t>Capital Industries - Containers</t>
  </si>
  <si>
    <t>Toter LLC 245 32G black</t>
  </si>
  <si>
    <t>Capital Ind. 40-YD container</t>
  </si>
  <si>
    <t>Toter LLC 140 64G blacks</t>
  </si>
  <si>
    <t>Capital Ind. 12 2-YD containers</t>
  </si>
  <si>
    <t>WastEquip 200 64G res trash</t>
  </si>
  <si>
    <t>Capital Ind. 4 40-YD containers</t>
  </si>
  <si>
    <t>Capital Ind. 6 2-YD containers</t>
  </si>
  <si>
    <t>Toter LLC 132 64G black</t>
  </si>
  <si>
    <t>Toter LLC 150 64G blacks</t>
  </si>
  <si>
    <t>10-YD Container - Cap. Industries</t>
  </si>
  <si>
    <t>150 32-G Garbage toters - Toter LLC</t>
  </si>
  <si>
    <t>12 2-YD containers &amp; bottoms</t>
  </si>
  <si>
    <t>300 32-G Garbage toters - Toter LLC</t>
  </si>
  <si>
    <t>24 2-YD rollers - Cap Industries</t>
  </si>
  <si>
    <t>2 50-YD Containers - Cap Industries</t>
  </si>
  <si>
    <t>2 50-YD Roll-Offs</t>
  </si>
  <si>
    <t>200 64-gal G-Toters</t>
  </si>
  <si>
    <t>Hyster Forklift H-50</t>
  </si>
  <si>
    <t>4 30-YD Roll-Offs</t>
  </si>
  <si>
    <t>432 64-Gal Black-lid Toters</t>
  </si>
  <si>
    <t>24 2-Yd containers, 1 50-Yd Roll-off</t>
  </si>
  <si>
    <t>20 2-Yd Hedstrom Plastic dumpsters</t>
  </si>
  <si>
    <t>TOTER LLC - 472 32-GAL BLACK G-TOTERS</t>
  </si>
  <si>
    <t>CAPITAL IND - 24 2-YD CONTAINERS</t>
  </si>
  <si>
    <t>CAPITAL IND - 3 50-YD CONTAINERS</t>
  </si>
  <si>
    <t>Capital Freight &amp; Tax charged on Toter purchases</t>
  </si>
  <si>
    <t>TOTER LLC - 468 32-G TRASH CARTS</t>
  </si>
  <si>
    <t>HEDSTROM - 30 2-YD PLASTIC DUMPSTERS + 4 4-YD</t>
  </si>
  <si>
    <t>For the Twelve Months Ended December 31, 2022 Historical and December 31, 2024 Forecasted</t>
  </si>
  <si>
    <t>and December 31, 2024 Forecasted</t>
  </si>
  <si>
    <t>For the Twelve Months Ended December 31, 2022 Historical and December 31, 2024</t>
  </si>
  <si>
    <t>Pg. 2</t>
  </si>
  <si>
    <t>Above</t>
  </si>
  <si>
    <t>Overtime or Flex PTO</t>
  </si>
  <si>
    <t>in Dues</t>
  </si>
  <si>
    <t>Non-regulated portion</t>
  </si>
  <si>
    <t>Cost per Gallon</t>
  </si>
  <si>
    <t>Paid January 2022</t>
  </si>
  <si>
    <t>December 2021 paid in January 2022</t>
  </si>
  <si>
    <t>December 2022 paid in January 2023</t>
  </si>
  <si>
    <t>Contract for City of Poulsbo recycling -  Per contract, non-regulated</t>
  </si>
  <si>
    <t>Commercial Recycling - charged at same rate as multi-family recycling in tariff</t>
  </si>
  <si>
    <t xml:space="preserve">13.65% Lobbying </t>
  </si>
  <si>
    <t>misc exp per Heather</t>
  </si>
  <si>
    <t>Port Gamble</t>
  </si>
  <si>
    <t>842-Junk</t>
  </si>
  <si>
    <t>Contractor Boxes BI</t>
  </si>
  <si>
    <t>Contractor Boxes PI</t>
  </si>
  <si>
    <t>Wood Waste</t>
  </si>
  <si>
    <t>Debris - Poulsbo</t>
  </si>
  <si>
    <t>Debris - Port Gamble</t>
  </si>
  <si>
    <t>Total Operational Tons</t>
  </si>
  <si>
    <t>Poulsbo Comm</t>
  </si>
  <si>
    <t>BDI</t>
  </si>
  <si>
    <t>July 2023</t>
  </si>
  <si>
    <t>August 2023</t>
  </si>
  <si>
    <t>Remove Transfer Station Fuel</t>
  </si>
  <si>
    <t>Actual Misc Shop Expense</t>
  </si>
  <si>
    <t>Test Year Gallons X Current Average Price</t>
  </si>
  <si>
    <t>Test Year Gallons:</t>
  </si>
  <si>
    <t>Invoices include TS</t>
  </si>
  <si>
    <t>All paid before 12/31/22</t>
  </si>
  <si>
    <t>Dec 2021, paid in 2022 (Kitsap County)</t>
  </si>
  <si>
    <t>Dec 2021, paid in 2022 (WM Recycle)</t>
  </si>
  <si>
    <t>Remove Transfer Station disposal fees</t>
  </si>
  <si>
    <t>Dec 2022, in Operations, paid in 2023 (Kitsap County)</t>
  </si>
  <si>
    <t>New Rate (Effective Jan 1, 2024)</t>
  </si>
  <si>
    <t>For the Year Ended December 31, 2022 Historical and December 31, 2024 Forecasted</t>
  </si>
  <si>
    <t>Assets purchased after test year</t>
  </si>
  <si>
    <t>CAPITAL IND - 11 YD CONTAINER</t>
  </si>
  <si>
    <t>CAPITAL IND - 2 30 YD CONTAINERS</t>
  </si>
  <si>
    <t>CAPITAL IND - 2 40 YD CONTAINERS</t>
  </si>
  <si>
    <t>Peterbilt Roll Off Unit 29 - Body</t>
  </si>
  <si>
    <t>Peterbilt Rear Load Unit 4 - Body</t>
  </si>
  <si>
    <t>Per operations</t>
  </si>
  <si>
    <t>MAINTENANCE</t>
  </si>
  <si>
    <t>Y</t>
  </si>
  <si>
    <t>OTHER</t>
  </si>
  <si>
    <t>DROP BOX</t>
  </si>
  <si>
    <t>DRIVERS</t>
  </si>
  <si>
    <t>OFFICE/BILLING</t>
  </si>
  <si>
    <t>MANAGEMENT</t>
  </si>
  <si>
    <t>Withheld</t>
  </si>
  <si>
    <t>1/1/24</t>
  </si>
  <si>
    <t>Dental</t>
  </si>
  <si>
    <t>Medical</t>
  </si>
  <si>
    <t>Employee</t>
  </si>
  <si>
    <t>Transfer</t>
  </si>
  <si>
    <t xml:space="preserve">Company </t>
  </si>
  <si>
    <t>Delta</t>
  </si>
  <si>
    <t>Regence</t>
  </si>
  <si>
    <t xml:space="preserve">Regulated </t>
  </si>
  <si>
    <t>01/01/22 to</t>
  </si>
  <si>
    <t>WORKPAPER 3 - LABOR ANALYSIS, Continued</t>
  </si>
  <si>
    <t>per operations</t>
  </si>
  <si>
    <t>NEW EMPLOYEES - 2023</t>
  </si>
  <si>
    <t xml:space="preserve">1.5 over 40 hrs </t>
  </si>
  <si>
    <t>H</t>
  </si>
  <si>
    <t>1.5 over 40 hrs - Hired 03/06/2023</t>
  </si>
  <si>
    <t>1.5 over 40 hrs - Hired 05/01/2023</t>
  </si>
  <si>
    <t>1.5 over 40 hrs</t>
  </si>
  <si>
    <t>1.5 over 40 hrs - Hired 09/08/2022</t>
  </si>
  <si>
    <t>S</t>
  </si>
  <si>
    <t>Fringe</t>
  </si>
  <si>
    <t>IRA</t>
  </si>
  <si>
    <t>Security</t>
  </si>
  <si>
    <t>Rate 2</t>
  </si>
  <si>
    <t>Rate 1</t>
  </si>
  <si>
    <t>#2</t>
  </si>
  <si>
    <t>#1</t>
  </si>
  <si>
    <t>Rate</t>
  </si>
  <si>
    <t>3% IRA</t>
  </si>
  <si>
    <t>Hourly</t>
  </si>
  <si>
    <t>Employment</t>
  </si>
  <si>
    <t>Projected</t>
  </si>
  <si>
    <t>Payrolls at</t>
  </si>
  <si>
    <t>in 2024</t>
  </si>
  <si>
    <t>of 2023</t>
  </si>
  <si>
    <t>Medical/</t>
  </si>
  <si>
    <t>Salary/</t>
  </si>
  <si>
    <t>Clerical</t>
  </si>
  <si>
    <t>UI rate</t>
  </si>
  <si>
    <t xml:space="preserve">Rate change </t>
  </si>
  <si>
    <t>Rate at end</t>
  </si>
  <si>
    <t>Test</t>
  </si>
  <si>
    <t>Collection</t>
  </si>
  <si>
    <t>wage base</t>
  </si>
  <si>
    <t>2024 Projected Wages</t>
  </si>
  <si>
    <t>s/b zero</t>
  </si>
  <si>
    <t>Wages</t>
  </si>
  <si>
    <t>Snow or Pers</t>
  </si>
  <si>
    <t>Sick</t>
  </si>
  <si>
    <t>Vacation</t>
  </si>
  <si>
    <t>Birthday</t>
  </si>
  <si>
    <t>Holiday</t>
  </si>
  <si>
    <t>OT</t>
  </si>
  <si>
    <t>Regular</t>
  </si>
  <si>
    <t>Gross</t>
  </si>
  <si>
    <t>1/1/2022-</t>
  </si>
  <si>
    <t>WORKPAPER 3 - LABOR ANALYSIS</t>
  </si>
  <si>
    <t>2023 Chevrolet Silverado 2500 - Unit 21</t>
  </si>
  <si>
    <t>Peterbilt Rear Load Unit 4 - Chassis</t>
  </si>
  <si>
    <t>Peterbilt Roll Off Unit 29 - Chassis</t>
  </si>
  <si>
    <t>Peterbilt Side Load Unit 30 - Chassis</t>
  </si>
  <si>
    <t>Peterbilt Side Load Unit 30 - Body</t>
  </si>
  <si>
    <t>432 64-Gal recycle - Toter LLC</t>
  </si>
  <si>
    <t>400 32-Gal Lids - Toter LLC</t>
  </si>
  <si>
    <t>250 2-Gal Kitchen Organics Bin</t>
  </si>
  <si>
    <t>Proforma Adjustment:</t>
  </si>
  <si>
    <t>Months in forecast year</t>
  </si>
  <si>
    <t>Proforma adjustment</t>
  </si>
  <si>
    <t>Other Garbage Collection - Service to Reservation</t>
  </si>
  <si>
    <t>Other Garbage Collection - 842 Junk and 10 Yard</t>
  </si>
  <si>
    <t>Other Revenue - Sale of Toters</t>
  </si>
  <si>
    <t>Other Revenue - Commercial Cardboard</t>
  </si>
  <si>
    <t>Other Revenue - Commercial Recycling</t>
  </si>
  <si>
    <t>Other Garbage Collection - 842 Junk and 10-Yard Non-Reg</t>
  </si>
  <si>
    <t>Amortized Costs Over 3 Years</t>
  </si>
  <si>
    <t>Total Fuel Expense per Books</t>
  </si>
  <si>
    <t>total transfer station assets</t>
  </si>
  <si>
    <t>Transfer Station</t>
  </si>
  <si>
    <t>transfer station</t>
  </si>
  <si>
    <t>See document named "TONS 2022" in Workpapers / Expenses / WP-11 - Disposal</t>
  </si>
  <si>
    <t>See spreadsheet named "Comingle2022" in Workpapers / Expenses / WP-11 - Disposal</t>
  </si>
  <si>
    <t>See monthly spreadsheets in Workpapers / Expenses / WP-11 - Disposal / North Mason folder</t>
  </si>
  <si>
    <t>See "Dump Fees GL Detail - Transfer Station"</t>
  </si>
  <si>
    <t>Over three years</t>
  </si>
  <si>
    <t>not on annual report</t>
  </si>
  <si>
    <t>Tons in test year</t>
  </si>
  <si>
    <t>FLOAT/HELPER</t>
  </si>
  <si>
    <t>Vacation and Holiday</t>
  </si>
  <si>
    <t>MECHANIC</t>
  </si>
  <si>
    <t>Wages Drop Box</t>
  </si>
  <si>
    <t>Wages Float/Helper</t>
  </si>
  <si>
    <t>Wages Mechanic</t>
  </si>
  <si>
    <t>Participate in</t>
  </si>
  <si>
    <t>1.5 over 40 hrs - Hired 05/16/2022, seperated 06/23/2023</t>
  </si>
  <si>
    <t>1.5 over 40 hrs - Hired 05/02/2022, seperated 06/15/2022</t>
  </si>
  <si>
    <t>1.5 over 40 hrs - Seperated 03/03/2023</t>
  </si>
  <si>
    <t>1.5 over 40 hrs - Seperated 06/09/2023</t>
  </si>
  <si>
    <t>1.5 over 40 hrs - Seperated 04/22/2022</t>
  </si>
  <si>
    <t>1.5 over 40 hrs - Seperated 07/07/2023</t>
  </si>
  <si>
    <t>1.5 over 40 hrs - Seperated 2022</t>
  </si>
  <si>
    <t>Taxes - SUTA</t>
  </si>
  <si>
    <t>Taxes - FUTA</t>
  </si>
  <si>
    <t>Taxes - FICA</t>
  </si>
  <si>
    <t>Taxes - Other PR Tax</t>
  </si>
  <si>
    <t>Employee ID Number</t>
  </si>
  <si>
    <t>Septic</t>
  </si>
  <si>
    <t>Company</t>
  </si>
  <si>
    <t>Withholding</t>
  </si>
  <si>
    <t>Jan-May</t>
  </si>
  <si>
    <t>Jun-Dec</t>
  </si>
  <si>
    <t>Jan-Dec</t>
  </si>
  <si>
    <t>Misc Revenue</t>
  </si>
  <si>
    <t>Truck</t>
  </si>
  <si>
    <t xml:space="preserve">Employee </t>
  </si>
  <si>
    <t>Position</t>
  </si>
  <si>
    <t>Notes</t>
  </si>
  <si>
    <t>Mileage</t>
  </si>
  <si>
    <t>GARBAGE</t>
  </si>
  <si>
    <t>Through 11/2023</t>
  </si>
  <si>
    <t xml:space="preserve">Non Regulated </t>
  </si>
  <si>
    <t>Biggs, Justin W</t>
  </si>
  <si>
    <t xml:space="preserve">Church, Brett </t>
  </si>
  <si>
    <t>Helper</t>
  </si>
  <si>
    <t>Foss, Robert R</t>
  </si>
  <si>
    <t xml:space="preserve">Residential </t>
  </si>
  <si>
    <t xml:space="preserve">Griffin, Ethan </t>
  </si>
  <si>
    <t xml:space="preserve">Heath, Steven </t>
  </si>
  <si>
    <t xml:space="preserve">Madayag, Ian </t>
  </si>
  <si>
    <t xml:space="preserve">Radford, Adam </t>
  </si>
  <si>
    <t>Comm/Resi</t>
  </si>
  <si>
    <t xml:space="preserve">Sanchez, Victor </t>
  </si>
  <si>
    <t xml:space="preserve">Driver </t>
  </si>
  <si>
    <t xml:space="preserve">Sullivan, Tyler </t>
  </si>
  <si>
    <t>10 yard Driver</t>
  </si>
  <si>
    <t xml:space="preserve">Wentling, Kristopher </t>
  </si>
  <si>
    <t>Drop Box Driver</t>
  </si>
  <si>
    <t>Hogan, Shad</t>
  </si>
  <si>
    <t>RECYCLE / YARDWASTE</t>
  </si>
  <si>
    <t xml:space="preserve">Burns, Spencer </t>
  </si>
  <si>
    <t>Every Friday: Port Gamble</t>
  </si>
  <si>
    <t xml:space="preserve">Kirk, Steven </t>
  </si>
  <si>
    <t>M &amp; F Poulsbo</t>
  </si>
  <si>
    <t xml:space="preserve">Torento, Robert </t>
  </si>
  <si>
    <t xml:space="preserve">Hood, Justin </t>
  </si>
  <si>
    <t>EOFriday: Port Gamble</t>
  </si>
  <si>
    <t>ALL</t>
  </si>
  <si>
    <t xml:space="preserve">Duncan, Evan </t>
  </si>
  <si>
    <t xml:space="preserve">Driver / Floater </t>
  </si>
  <si>
    <t>septic</t>
  </si>
  <si>
    <t>Foss, Brian M</t>
  </si>
  <si>
    <t>Toter Delivery</t>
  </si>
  <si>
    <t>Floter</t>
  </si>
  <si>
    <t>2022 -floater</t>
  </si>
  <si>
    <t>Johnson, Tiffany M</t>
  </si>
  <si>
    <t xml:space="preserve">Office </t>
  </si>
  <si>
    <t>Madayag, Kelly</t>
  </si>
  <si>
    <t>Poehler-Biggs, Christina M</t>
  </si>
  <si>
    <t xml:space="preserve">Russell, Alexander </t>
  </si>
  <si>
    <t xml:space="preserve">Safly, Matthew </t>
  </si>
  <si>
    <t>Mechanic</t>
  </si>
  <si>
    <t xml:space="preserve">Vansickle, Danny </t>
  </si>
  <si>
    <t>Manager</t>
  </si>
  <si>
    <t xml:space="preserve">Watson, Sherian </t>
  </si>
  <si>
    <t>POULSBO</t>
  </si>
  <si>
    <t xml:space="preserve">Riches, Joshua </t>
  </si>
  <si>
    <t>Recycle</t>
  </si>
  <si>
    <t xml:space="preserve">TRANSFER STATION </t>
  </si>
  <si>
    <t xml:space="preserve">Bowman, Kenneth </t>
  </si>
  <si>
    <t>Floater</t>
  </si>
  <si>
    <t xml:space="preserve">Evans, Stacy </t>
  </si>
  <si>
    <t>Toll Booth</t>
  </si>
  <si>
    <t xml:space="preserve">Griffin, Hayden </t>
  </si>
  <si>
    <t>All of these employees are paid mainly out of the Bainbridge Transfer company during the forecast year, did not include in regulated and non regulated allocation and did not include in labor increase calc.</t>
  </si>
  <si>
    <t xml:space="preserve">Levengood, Thomas </t>
  </si>
  <si>
    <t xml:space="preserve">Drop  Box Driver </t>
  </si>
  <si>
    <t>RC/GB</t>
  </si>
  <si>
    <t>Madayag, Zac</t>
  </si>
  <si>
    <t xml:space="preserve">Peterson, Craig </t>
  </si>
  <si>
    <t xml:space="preserve">Thibeault, Forrest </t>
  </si>
  <si>
    <t xml:space="preserve">T.S. Lead </t>
  </si>
  <si>
    <t>WagesDrivers</t>
  </si>
  <si>
    <t>Wages Helper/Floater</t>
  </si>
  <si>
    <t>Regulated %</t>
  </si>
  <si>
    <t>Non-Safety</t>
  </si>
  <si>
    <t>Bonuses</t>
  </si>
  <si>
    <t xml:space="preserve">Restate to </t>
  </si>
  <si>
    <t>Remove Bonus</t>
  </si>
  <si>
    <t>OT or Flex PTO</t>
  </si>
  <si>
    <t>Wages Helper/Float</t>
  </si>
  <si>
    <t>Non-Public Companies</t>
  </si>
  <si>
    <t>nonpubco</t>
  </si>
  <si>
    <r>
      <t xml:space="preserve">LURITO - GALLAGHER FORMULA  MODEL 2018  </t>
    </r>
    <r>
      <rPr>
        <sz val="8"/>
        <color indexed="9"/>
        <rFont val="Calibri"/>
        <family val="2"/>
      </rPr>
      <t>V5.0a</t>
    </r>
  </si>
  <si>
    <t>CALCULATION TABLES</t>
  </si>
  <si>
    <t>Revenue Senstive Taxes (RevS)</t>
  </si>
  <si>
    <t>(b) + (c)</t>
  </si>
  <si>
    <t>(d) + (e)</t>
  </si>
  <si>
    <t>Regession</t>
  </si>
  <si>
    <t>Hauler</t>
  </si>
  <si>
    <t>Revenue Req</t>
  </si>
  <si>
    <t xml:space="preserve">Revenue </t>
  </si>
  <si>
    <t>INPUTS - Test Year</t>
  </si>
  <si>
    <t>(a)</t>
  </si>
  <si>
    <t>(b)</t>
  </si>
  <si>
    <t>(c)</t>
  </si>
  <si>
    <t>(d)</t>
  </si>
  <si>
    <t>(e)</t>
  </si>
  <si>
    <t>(f)</t>
  </si>
  <si>
    <t>Before Tax</t>
  </si>
  <si>
    <t>Less</t>
  </si>
  <si>
    <t>Adjusted</t>
  </si>
  <si>
    <t>After Tax</t>
  </si>
  <si>
    <t>Weighted Cost</t>
  </si>
  <si>
    <t>Before RevS</t>
  </si>
  <si>
    <t xml:space="preserve"> Increase Before</t>
  </si>
  <si>
    <t>Increase After</t>
  </si>
  <si>
    <t xml:space="preserve">RevS </t>
  </si>
  <si>
    <t xml:space="preserve">Total </t>
  </si>
  <si>
    <t>Operating Revenue</t>
  </si>
  <si>
    <t>Line</t>
  </si>
  <si>
    <t>Historical</t>
  </si>
  <si>
    <t>Add: Revenue</t>
  </si>
  <si>
    <t>Profit Ratio</t>
  </si>
  <si>
    <t>BTROI</t>
  </si>
  <si>
    <t>WCDebt</t>
  </si>
  <si>
    <t>BTROE</t>
  </si>
  <si>
    <t>Equity BFT</t>
  </si>
  <si>
    <t>Debt</t>
  </si>
  <si>
    <t>BTROR</t>
  </si>
  <si>
    <t>Operating Ratio</t>
  </si>
  <si>
    <t>RevS Taxes</t>
  </si>
  <si>
    <t>Operating Expenses</t>
  </si>
  <si>
    <t>No.</t>
  </si>
  <si>
    <t xml:space="preserve"> Sensitive Taxes</t>
  </si>
  <si>
    <t>Requirment</t>
  </si>
  <si>
    <t>Capital Structure - Debt %</t>
  </si>
  <si>
    <t>Capital Structure - Debt Cost</t>
  </si>
  <si>
    <t>Operating Income</t>
  </si>
  <si>
    <t>Federal Income Tax Rate</t>
  </si>
  <si>
    <t>2nd Iteration</t>
  </si>
  <si>
    <t>B&amp;O Tax Rate</t>
  </si>
  <si>
    <t>WUTC Fee</t>
  </si>
  <si>
    <t>Income Tax Expense</t>
  </si>
  <si>
    <t>City Tax</t>
  </si>
  <si>
    <t>3rd Iteration</t>
  </si>
  <si>
    <t>Check when input is complete</t>
  </si>
  <si>
    <t xml:space="preserve">Operating Ratio </t>
  </si>
  <si>
    <t>No</t>
  </si>
  <si>
    <t>For Intial input: Uncheck Checkbox Until Completed</t>
  </si>
  <si>
    <t>Historical Revenue</t>
  </si>
  <si>
    <t>Revenue Increase before taxes</t>
  </si>
  <si>
    <t>Rate Increase</t>
  </si>
  <si>
    <t>Rev Sensitive Taxes</t>
  </si>
  <si>
    <t>4th Iteration</t>
  </si>
  <si>
    <t>2018 Version Update Changes</t>
  </si>
  <si>
    <t>● Allows Income Tax Rate Changes,</t>
  </si>
  <si>
    <t>● Minimizes impact of changes in test-year revenue from</t>
  </si>
  <si>
    <t xml:space="preserve">   resulting revenue requirment,</t>
  </si>
  <si>
    <t>Captial Structure Financing Investment</t>
  </si>
  <si>
    <t>Financing Cost</t>
  </si>
  <si>
    <t>● Corrects interest rate transposition in LG.</t>
  </si>
  <si>
    <t>Type</t>
  </si>
  <si>
    <t>Cost of Capital</t>
  </si>
  <si>
    <t>Weighted</t>
  </si>
  <si>
    <t>5th Iteration</t>
  </si>
  <si>
    <t>Before</t>
  </si>
  <si>
    <t>After</t>
  </si>
  <si>
    <t>6th Iteration</t>
  </si>
  <si>
    <t>Operating Statistics</t>
  </si>
  <si>
    <t>Income Tax</t>
  </si>
  <si>
    <t>Return on Investment</t>
  </si>
  <si>
    <t>Return on Equity</t>
  </si>
  <si>
    <t>7th Iteration</t>
  </si>
  <si>
    <t>Profit Margin</t>
  </si>
  <si>
    <t>Final turnover</t>
  </si>
  <si>
    <t>Revenue Sensitive Taxes Charges</t>
  </si>
  <si>
    <t>Curve</t>
  </si>
  <si>
    <t>Lookup Table</t>
  </si>
  <si>
    <t>Percent Chg</t>
  </si>
  <si>
    <t>Curve turnover</t>
  </si>
  <si>
    <t>Curve No. used</t>
  </si>
  <si>
    <t>Base Utility from LG Sample Study</t>
  </si>
  <si>
    <t>Regression Results</t>
  </si>
  <si>
    <t>Y intercept (1)</t>
  </si>
  <si>
    <t>Y intercept (3)</t>
  </si>
  <si>
    <t>Y intercept (2)</t>
  </si>
  <si>
    <t>Y intercept (4)</t>
  </si>
  <si>
    <t>Pfd.</t>
  </si>
  <si>
    <t>Slope</t>
  </si>
  <si>
    <t>Pre-tax</t>
  </si>
  <si>
    <t>Percent Increase</t>
  </si>
  <si>
    <t>Total per client asset report</t>
  </si>
  <si>
    <t>Calculated Totals</t>
  </si>
  <si>
    <t>Transfer Station Assets - Included on this WP to tie out to client asset report, not used in rate calcs</t>
  </si>
  <si>
    <t>Per Operations:</t>
  </si>
  <si>
    <t>Proforma Adj</t>
  </si>
  <si>
    <t>Increase/Decrease</t>
  </si>
  <si>
    <t>Wages Pro Forma:</t>
  </si>
  <si>
    <t>Tax and Fringe Pro Forma:</t>
  </si>
  <si>
    <t>Pro Forma Adj</t>
  </si>
  <si>
    <t>Tax and Fringe:</t>
  </si>
  <si>
    <t>MISC</t>
  </si>
  <si>
    <t>Regulated Percentage</t>
  </si>
  <si>
    <t xml:space="preserve">Bainbridge Septic has one employee that operates a septic truck. He is paid under Bainbridge Septic payroll but is on Bainbridge Disposal health insurance and Bainbridge Septic reimburses the company for that cost.  Bainbridge Septic also reimburses for cost of fuel for the truck.  </t>
  </si>
  <si>
    <t>Bainbridge Transfer has five employees in various roles that are paid under Bainbridge Transfer payroll but are on Bainbridge Disposal health insurance and Bainbridge Transfer reimburses the company for that cost.  Some of these employees help out with Bainbridge Disposal on rare occasions, and during such occasions are paid for the time worked by Bainbridge Disposal payroll.  For the purpose of health insurance benefits, the amount of time worked by these employees for Bainbridge Disposal is immatterial and the health insurance costs are reimbursed by Bainbridge Transfer and as such have been removed from the proforma adjustment.</t>
  </si>
  <si>
    <t>RC-2</t>
  </si>
  <si>
    <t>September 2023</t>
  </si>
  <si>
    <t>October 2023</t>
  </si>
  <si>
    <t>Monthly allocated depreciation of asset purchased after test year - Tons Allocation</t>
  </si>
  <si>
    <t>Monthly allocated depreciation of asset purchased after test year - Miles Allocation</t>
  </si>
  <si>
    <t>Total Adjustment</t>
  </si>
  <si>
    <t>Non-Regulated Depreciation on Books:</t>
  </si>
  <si>
    <t>Per Books Expense:</t>
  </si>
  <si>
    <t>Paid by TS Company</t>
  </si>
  <si>
    <t>Nov 2021, paid in 2022 (WM Recycle)</t>
  </si>
  <si>
    <t>October 2022 paid in 2023 (WM Recycle)</t>
  </si>
  <si>
    <t>November 2022 paid in 2023 (WM Recycle)</t>
  </si>
  <si>
    <t>December 2022 paid in 2023 (WM Recycle)</t>
  </si>
  <si>
    <t>Dec 2021 paid in 2022 (North Mason)</t>
  </si>
  <si>
    <t>December 2022 paid in 2023 (North Mason)</t>
  </si>
  <si>
    <t>Rate differences in North Mason Calc</t>
  </si>
  <si>
    <t>Check to Tilz Soils and Compost in book expense</t>
  </si>
  <si>
    <t>Apr tons charged reduced rate by Kitsap County</t>
  </si>
  <si>
    <t>Credit memo on May Kitsap County invoice</t>
  </si>
  <si>
    <t>DTG Recycle bills - this replaced Olympic Organics</t>
  </si>
  <si>
    <t>Olympic Organics tons collected not paid</t>
  </si>
  <si>
    <t>Regulated vs. Nonregulated Allocation Calc:</t>
  </si>
  <si>
    <t>Tipping fee increase from test year to forecast year</t>
  </si>
  <si>
    <t>Test Year Rate</t>
  </si>
  <si>
    <t>Total Calculated Cost</t>
  </si>
  <si>
    <t>Actual Adjusted Cost</t>
  </si>
  <si>
    <t>Calculated Company Cost</t>
  </si>
  <si>
    <t>Company Cost per Operations</t>
  </si>
  <si>
    <t>Less cost of Bainbridge Septic Employee</t>
  </si>
  <si>
    <t>Less cost of Bainbridge Transfer Employee</t>
  </si>
  <si>
    <t>Expected Company Cost</t>
  </si>
  <si>
    <t>Interest expense is not allowed, therefore it is eliminated:</t>
  </si>
  <si>
    <t>Transfer station vehicles in licensing, etc.</t>
  </si>
  <si>
    <t>Total lobbying expense</t>
  </si>
  <si>
    <t>Dump Fees - JUNK-842</t>
  </si>
  <si>
    <t>Dump Fees - Non-regulated Dump fees</t>
  </si>
  <si>
    <t>Dump Fees - Pass Through</t>
  </si>
  <si>
    <t>Dump Fees - Yard Waste exp.</t>
  </si>
  <si>
    <t>Vehicle Expenses</t>
  </si>
  <si>
    <t>Reclass regulated payroll to individual categories:</t>
  </si>
  <si>
    <t>Remove bonuses that were non-safety related:</t>
  </si>
  <si>
    <t>Eliminate expenses related to transfer station vehicles:</t>
  </si>
  <si>
    <t>Eliminate lobbying in dues:</t>
  </si>
  <si>
    <t>Eliminate charitable donations:</t>
  </si>
  <si>
    <t>Estimated cost of the rate case is recorded:</t>
  </si>
  <si>
    <t>Adjusted fuel:</t>
  </si>
  <si>
    <t>Increased disposal fees:</t>
  </si>
  <si>
    <t>New truck depreciation is recorded:</t>
  </si>
  <si>
    <t>Adjustment - WP-2, pg 2</t>
  </si>
  <si>
    <t>P-3</t>
  </si>
  <si>
    <t>WORKPAPER 8 - FUEL ANALYSIS</t>
  </si>
  <si>
    <t>WORKPAPER 9 - Non-Regulated Operations</t>
  </si>
  <si>
    <t>WORKPAPER 10 - DISPOSAL FEES</t>
  </si>
  <si>
    <t>Expenses</t>
  </si>
  <si>
    <t>Pass-thru</t>
  </si>
  <si>
    <t>Pass-thru Revenue</t>
  </si>
  <si>
    <t>Non regulated disposal fees</t>
  </si>
  <si>
    <t>Regulated disposal fees</t>
  </si>
  <si>
    <t>Dump fees - Regulated</t>
  </si>
  <si>
    <t xml:space="preserve">     Medical and Dental</t>
  </si>
  <si>
    <t>No assurance is provided on this forecasted statement of operations and the summary of signifcant accounting policies has been omitted.</t>
  </si>
  <si>
    <t>Record</t>
  </si>
  <si>
    <t>Multi family/Commercial</t>
  </si>
  <si>
    <t>The amount of this increase comes from the price out for the previously approved disposal fee only rate increase from Docket TG-220865</t>
  </si>
  <si>
    <t>The amount of this increase comes from the price out for the previously approved disposal fee only rate increase from Docket TG-230976</t>
  </si>
  <si>
    <t>1/1/2023 &amp;4</t>
  </si>
  <si>
    <t>Misc Income</t>
  </si>
  <si>
    <t>Assets currently being depreciated that had salvage values in last case</t>
  </si>
  <si>
    <t>Book value not depreciated</t>
  </si>
  <si>
    <t>One-third allowed in case</t>
  </si>
  <si>
    <t>Depreciation of salvage values from prior case</t>
  </si>
  <si>
    <t>non dep</t>
  </si>
  <si>
    <t>salvage values removed</t>
  </si>
  <si>
    <t>Reclass non-regulated disposal fees:</t>
  </si>
  <si>
    <t>Disposal Fees</t>
  </si>
  <si>
    <t>Previously approved disposal fee increase 1/1/23:</t>
  </si>
  <si>
    <t>Previously approved disposal fee increase 1/1/24:</t>
  </si>
  <si>
    <t>A compilation of forecasted statements is limited to presenting in the form prescribed by WUTC forecast information that is the representation of management and does not include evaluation of the assumptions underlying the forecast. We have not examined the forecast and accordingly, do not express an opinion or any other form of assurance on the accompanying forecasted statements or assumptions. Furthermore, the forecasted results may not be achieved, as there will usually be differences between the forecasted and actual results because events and circumstances frequently do not occur as expected, and these differences may be material. We have no responsibility to update this report for events and circumstances occurring after the date of this report.</t>
  </si>
  <si>
    <t>The historical and forecasted results of operations and supporting schedules are presented in accordance with the requirements of the WUTC, which differ from generally accepted accounting principles. Accordingly, the historical and forecasted results of operations and supporting schedules are not designed for those who are not informed about such differences.</t>
  </si>
  <si>
    <t>Management has elected to omit the summary of significant accounting policies required by the guidelines for presentation of a forecast established by the AICPA other than those related to the significant assumptions. If the omitted disclosures were included in the forecast, they might influence the user’s conclusions about the Company’s financial position and results of operations for the forecast period. Accordingly, this forecast is not designed for those who are not informed of such matters.</t>
  </si>
  <si>
    <t xml:space="preserve">Revenues have been forecasted based on the application of the Lurito-Gallagher Formula to total approximately $6,217,000, an increase of approximately 32%.  The Company's price out is based on an increase of 27%. </t>
  </si>
  <si>
    <t>Management has estimated  results of operations for the twelve months ended December 31, 2024, to include changes in labor rates, the estimated cost of rate case filing expenses, the costs of new trucks and equipment placed in service, changes to the cost of fuel and and changes to disposal fees.  All other costs are based upon WUTC allowable historic costs.</t>
  </si>
  <si>
    <t>Depreciation of</t>
  </si>
  <si>
    <t>Values</t>
  </si>
  <si>
    <t xml:space="preserve">Payroll is adjusted to reflect payroll increases, staff attaining benefits, and increases in medical costs, employment security and labor and industry rates in effect as of January 1, 2023.  </t>
  </si>
  <si>
    <t>Difference is depreciation of salvage values not depreciating on books</t>
  </si>
  <si>
    <t>In Support of Tariff No. 18, G-143, effective March 1, 2024</t>
  </si>
  <si>
    <t>Non-Regulated %</t>
  </si>
  <si>
    <t>Non</t>
  </si>
  <si>
    <t xml:space="preserve">Non  </t>
  </si>
  <si>
    <t>WORKPAPER 11 - NON-REGULATED MILES ALLOCATION</t>
  </si>
  <si>
    <t>WORKPAPER 6 - CAPITAL STRUCTURE/COST OF DEBT</t>
  </si>
  <si>
    <t xml:space="preserve">Management is responsible for the accompanying solid waste collection tariff filing for Tariff No. 18, Cerificate G-143, of Bainbridge Disposal, Inc. (a corporation), which comprise the accompanying  historical results of operations - modified cash basis for the year ended December 31, 2022, forecasted results of operations - modified cash basis for the twelve months ended December 31, 2024, summary of significant assumptions and the related work papers of Bainbridge Disposal, Inc. (“the Company”) in the prescribed form as required by the Washington Utilities and Transportation Commission (WUTC) for rate making purposes in accordance with Statements on Standards for Accounting and Review Services promulgated by the Accounting and Review Services Committee of the American Institute of Certified Public Accountants (AICPA). We did not audit or review the financial statements nor were we required to perform any procedures to verify the accuracy or completeness of the information provided by management. Accordingly, we do not express an opinion, a conclusion, nor provide any form of assurance on these financial statements.  </t>
  </si>
  <si>
    <t>Results of Operations - modified cash basis</t>
  </si>
  <si>
    <t>The financial forecast presents, to the best of management’s knowledge and belief, the financial position and results of operation of Bainbridge Disposal, Inc on the modified cash basis of accounting.  Accordingly, this forecast reflects management’s judgment as of December 21, 2023 the date of this forecast, of the expected conditions and its’ expected course of action.  The assumptions disclosed herein are those that management believes are significant to this forecast.  Furthermore, there will usually be differences between the forecasted and actual results, because events and circumstances frequently do not occur as expected, and those differences may be material.</t>
  </si>
  <si>
    <t>Profit &amp; Loss Prepared by Client</t>
  </si>
  <si>
    <t>Balance Sheet Prepared by Client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</si>
</sst>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dd\-mmm\-yy_)"/>
    <numFmt numFmtId="165" formatCode="#,##0.0000_);\(#,##0.0000\)"/>
    <numFmt numFmtId="166" formatCode="#,##0.000_);\(#,##0.000\)"/>
    <numFmt numFmtId="167" formatCode="0.000%"/>
    <numFmt numFmtId="168" formatCode="0.0000%"/>
    <numFmt numFmtId="169" formatCode="mm/dd/yy;@"/>
    <numFmt numFmtId="170" formatCode="_(* #,##0.000_);_(* \(#,##0.000\);_(* &quot;-&quot;???_);_(@_)"/>
    <numFmt numFmtId="171" formatCode="&quot;$&quot;#,##0.00"/>
    <numFmt numFmtId="172" formatCode="General_)"/>
    <numFmt numFmtId="173" formatCode="0.0%"/>
    <numFmt numFmtId="174" formatCode="[$-409]mmmm\ d\,\ yyyy;@"/>
    <numFmt numFmtId="175" formatCode="_(* #,##0_);_(* \(#,##0\);_(* &quot;-&quot;??_);_(@_)"/>
    <numFmt numFmtId="176" formatCode="_(* #,##0.00_);_(* \(#,##0.00\);_(* &quot;-&quot;???_);_(@_)"/>
    <numFmt numFmtId="177" formatCode="#,###_);\(#,###\);&quot;-&quot;"/>
    <numFmt numFmtId="178" formatCode="mmmm\ d\,\ yyyy"/>
    <numFmt numFmtId="179" formatCode="_*\ #,###.0,;_(* \(#,###.0,\);_(* &quot;-&quot;??_);_(@_)"/>
    <numFmt numFmtId="180" formatCode="#,##0.0"/>
    <numFmt numFmtId="181" formatCode="_(* #,##0.000_);_(* \(#,##0.000\);_(* &quot;-&quot;??_);_(@_)"/>
    <numFmt numFmtId="182" formatCode="[$-F800]dddd\,\ mmmm\ dd\,\ yyyy"/>
    <numFmt numFmtId="183" formatCode="mm/dd/yyyy"/>
    <numFmt numFmtId="184" formatCode="_(* #,##0.00_);_(* \(#,##0.00\);_(* &quot;-&quot;_);_(@_)"/>
    <numFmt numFmtId="185" formatCode="0_);\(0\)"/>
    <numFmt numFmtId="186" formatCode="#,##0.00000_);\(#,##0.00000\)"/>
    <numFmt numFmtId="187" formatCode="_(* #,##0.00000_);_(* \(#,##0.00000\);_(* &quot;-&quot;??_);_(@_)"/>
    <numFmt numFmtId="188" formatCode="_(* #,##0.0_);_(* \(#,##0.0\);_(* &quot;-&quot;??_);_(@_)"/>
    <numFmt numFmtId="189" formatCode="0.00000"/>
  </numFmts>
  <fonts count="159">
    <font>
      <sz val="12"/>
      <name val="Arial"/>
    </font>
    <font>
      <sz val="10"/>
      <color indexed="8"/>
      <name val="Arial"/>
      <family val="2"/>
    </font>
    <font>
      <b/>
      <sz val="12"/>
      <name val="Arial"/>
      <family val="2"/>
    </font>
    <font>
      <sz val="12"/>
      <name val="Arial"/>
      <family val="2"/>
    </font>
    <font>
      <sz val="12"/>
      <name val="Times New Roman"/>
      <family val="1"/>
    </font>
    <font>
      <b/>
      <sz val="12"/>
      <name val="Times New Roman"/>
      <family val="1"/>
    </font>
    <font>
      <sz val="12"/>
      <name val="Arial"/>
      <family val="2"/>
    </font>
    <font>
      <sz val="12"/>
      <name val="Times New Roman"/>
      <family val="1"/>
    </font>
    <font>
      <sz val="8"/>
      <name val="Times New Roman"/>
      <family val="1"/>
    </font>
    <font>
      <sz val="10"/>
      <name val="Arial"/>
      <family val="2"/>
    </font>
    <font>
      <sz val="10"/>
      <name val="Times New Roman"/>
      <family val="1"/>
    </font>
    <font>
      <sz val="12"/>
      <name val="Helv"/>
    </font>
    <font>
      <b/>
      <sz val="10"/>
      <name val="Times New Roman"/>
      <family val="1"/>
    </font>
    <font>
      <sz val="14"/>
      <name val="Times New Roman"/>
      <family val="1"/>
    </font>
    <font>
      <sz val="11"/>
      <name val="Times New Roman"/>
      <family val="1"/>
    </font>
    <font>
      <b/>
      <sz val="13"/>
      <name val="Times New Roman"/>
      <family val="1"/>
    </font>
    <font>
      <b/>
      <u/>
      <sz val="10"/>
      <name val="Times New Roman"/>
      <family val="1"/>
    </font>
    <font>
      <b/>
      <sz val="11"/>
      <name val="Times New Roman"/>
      <family val="1"/>
    </font>
    <font>
      <b/>
      <u/>
      <sz val="11"/>
      <name val="Times New Roman"/>
      <family val="1"/>
    </font>
    <font>
      <sz val="10"/>
      <name val="Arial"/>
      <family val="2"/>
    </font>
    <font>
      <sz val="12"/>
      <name val="SWISS"/>
    </font>
    <font>
      <sz val="12"/>
      <name val="Arial"/>
      <family val="2"/>
    </font>
    <font>
      <sz val="11"/>
      <name val="Arial"/>
      <family val="2"/>
    </font>
    <font>
      <b/>
      <u val="singleAccounting"/>
      <sz val="11"/>
      <name val="Times New Roman"/>
      <family val="1"/>
    </font>
    <font>
      <b/>
      <sz val="16"/>
      <name val="Times New Roman"/>
      <family val="1"/>
    </font>
    <font>
      <sz val="7"/>
      <name val="Arial"/>
      <family val="2"/>
    </font>
    <font>
      <sz val="7"/>
      <name val="Times New Roman"/>
      <family val="1"/>
    </font>
    <font>
      <b/>
      <sz val="7"/>
      <name val="Times New Roman"/>
      <family val="1"/>
    </font>
    <font>
      <b/>
      <sz val="7"/>
      <name val="Arial"/>
      <family val="2"/>
    </font>
    <font>
      <b/>
      <sz val="10"/>
      <name val="Arial"/>
      <family val="2"/>
    </font>
    <font>
      <sz val="9"/>
      <name val="Arial"/>
      <family val="2"/>
    </font>
    <font>
      <b/>
      <sz val="9"/>
      <name val="Times New Roman"/>
      <family val="1"/>
    </font>
    <font>
      <sz val="10"/>
      <color indexed="9"/>
      <name val="Arial"/>
      <family val="2"/>
    </font>
    <font>
      <b/>
      <sz val="10"/>
      <color indexed="9"/>
      <name val="Arial"/>
      <family val="2"/>
    </font>
    <font>
      <sz val="11"/>
      <color indexed="8"/>
      <name val="Calibri"/>
      <family val="2"/>
    </font>
    <font>
      <sz val="12"/>
      <color indexed="8"/>
      <name val="Times New Roman"/>
      <family val="2"/>
    </font>
    <font>
      <sz val="8"/>
      <name val="Arial"/>
      <family val="2"/>
    </font>
    <font>
      <b/>
      <sz val="14"/>
      <name val="Arial"/>
      <family val="2"/>
    </font>
    <font>
      <b/>
      <i/>
      <sz val="14"/>
      <name val="Arial"/>
      <family val="2"/>
    </font>
    <font>
      <b/>
      <sz val="11"/>
      <name val="Arial"/>
      <family val="2"/>
    </font>
    <font>
      <b/>
      <sz val="24"/>
      <name val="Arial Narrow"/>
      <family val="2"/>
    </font>
    <font>
      <b/>
      <i/>
      <sz val="12"/>
      <name val="Arial"/>
      <family val="2"/>
    </font>
    <font>
      <i/>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sz val="12"/>
      <color indexed="8"/>
      <name val="Arial"/>
      <family val="2"/>
    </font>
    <font>
      <sz val="8"/>
      <color indexed="56"/>
      <name val="Arial"/>
      <family val="2"/>
    </font>
    <font>
      <sz val="10"/>
      <name val="MS Sans Serif"/>
      <family val="2"/>
    </font>
    <font>
      <b/>
      <sz val="10"/>
      <name val="MS Sans Serif"/>
      <family val="2"/>
    </font>
    <font>
      <sz val="10"/>
      <color indexed="61"/>
      <name val="Arial"/>
      <family val="2"/>
    </font>
    <font>
      <b/>
      <i/>
      <sz val="10"/>
      <color indexed="9"/>
      <name val="Arial"/>
      <family val="2"/>
    </font>
    <font>
      <i/>
      <sz val="10"/>
      <color indexed="9"/>
      <name val="Arial"/>
      <family val="2"/>
    </font>
    <font>
      <sz val="14"/>
      <name val="Arial"/>
      <family val="2"/>
    </font>
    <font>
      <sz val="11"/>
      <color indexed="8"/>
      <name val="Calibri"/>
      <family val="2"/>
    </font>
    <font>
      <sz val="12"/>
      <color indexed="8"/>
      <name val="Times New Roman"/>
      <family val="2"/>
    </font>
    <font>
      <sz val="12"/>
      <color indexed="8"/>
      <name val="Times New Roman"/>
      <family val="1"/>
    </font>
    <font>
      <sz val="12"/>
      <color indexed="60"/>
      <name val="Times New Roman"/>
      <family val="1"/>
    </font>
    <font>
      <sz val="13"/>
      <color indexed="36"/>
      <name val="Times New Roman"/>
      <family val="1"/>
    </font>
    <font>
      <sz val="11"/>
      <color indexed="17"/>
      <name val="Calibri"/>
      <family val="2"/>
    </font>
    <font>
      <sz val="11"/>
      <color indexed="20"/>
      <name val="Calibri"/>
      <family val="2"/>
    </font>
    <font>
      <sz val="11"/>
      <color indexed="60"/>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2"/>
      <name val="Courier"/>
      <family val="3"/>
    </font>
    <font>
      <sz val="9"/>
      <color indexed="8"/>
      <name val="Arial"/>
      <family val="2"/>
    </font>
    <font>
      <sz val="11"/>
      <color indexed="8"/>
      <name val="Arial"/>
      <family val="2"/>
    </font>
    <font>
      <b/>
      <sz val="10"/>
      <color indexed="12"/>
      <name val="Arial"/>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u/>
      <sz val="11"/>
      <color indexed="12"/>
      <name val="Calibri"/>
      <family val="2"/>
    </font>
    <font>
      <sz val="10"/>
      <color indexed="12"/>
      <name val="Arial"/>
      <family val="2"/>
    </font>
    <font>
      <i/>
      <sz val="10"/>
      <color indexed="10"/>
      <name val="Arial"/>
      <family val="2"/>
    </font>
    <font>
      <b/>
      <sz val="11"/>
      <color indexed="61"/>
      <name val="Calibri"/>
      <family val="2"/>
    </font>
    <font>
      <sz val="11"/>
      <color indexed="61"/>
      <name val="Calibri"/>
      <family val="2"/>
    </font>
    <font>
      <b/>
      <sz val="18"/>
      <color indexed="61"/>
      <name val="Cambria"/>
      <family val="2"/>
    </font>
    <font>
      <b/>
      <sz val="15"/>
      <color indexed="56"/>
      <name val="Calibri"/>
      <family val="2"/>
    </font>
    <font>
      <b/>
      <sz val="13"/>
      <color indexed="56"/>
      <name val="Calibri"/>
      <family val="2"/>
    </font>
    <font>
      <b/>
      <sz val="11"/>
      <color indexed="56"/>
      <name val="Calibri"/>
      <family val="2"/>
    </font>
    <font>
      <sz val="12"/>
      <name val="Arial MT"/>
    </font>
    <font>
      <b/>
      <u/>
      <sz val="11"/>
      <name val="Arial"/>
      <family val="2"/>
    </font>
    <font>
      <sz val="10"/>
      <color theme="1"/>
      <name val="Arial"/>
      <family val="2"/>
    </font>
    <font>
      <sz val="11"/>
      <color theme="1"/>
      <name val="Calibri"/>
      <family val="2"/>
      <scheme val="minor"/>
    </font>
    <font>
      <sz val="12"/>
      <color theme="1"/>
      <name val="Times New Roman"/>
      <family val="2"/>
    </font>
    <font>
      <sz val="12"/>
      <color theme="1"/>
      <name val="Times New Roman"/>
      <family val="1"/>
    </font>
    <font>
      <b/>
      <sz val="12"/>
      <color theme="1"/>
      <name val="Times New Roman"/>
      <family val="1"/>
    </font>
    <font>
      <sz val="11"/>
      <color theme="1"/>
      <name val="Times New Roman"/>
      <family val="1"/>
    </font>
    <font>
      <b/>
      <sz val="10"/>
      <color theme="1"/>
      <name val="Times New Roman"/>
      <family val="1"/>
    </font>
    <font>
      <b/>
      <sz val="11"/>
      <color theme="1"/>
      <name val="Times New Roman"/>
      <family val="1"/>
    </font>
    <font>
      <sz val="8"/>
      <color theme="1"/>
      <name val="Times New Roman"/>
      <family val="1"/>
    </font>
    <font>
      <b/>
      <sz val="13"/>
      <color theme="1"/>
      <name val="Times New Roman"/>
      <family val="1"/>
    </font>
    <font>
      <sz val="12"/>
      <color theme="1"/>
      <name val="Arial"/>
      <family val="2"/>
    </font>
    <font>
      <sz val="11"/>
      <color theme="1"/>
      <name val="Times New Roman"/>
      <family val="2"/>
    </font>
    <font>
      <sz val="11"/>
      <color theme="1"/>
      <name val="Arial"/>
      <family val="2"/>
    </font>
    <font>
      <b/>
      <sz val="8"/>
      <color rgb="FF000080"/>
      <name val="Arial"/>
      <family val="2"/>
    </font>
    <font>
      <sz val="10"/>
      <color rgb="FF000080"/>
      <name val="Arial"/>
      <family val="2"/>
    </font>
    <font>
      <sz val="10"/>
      <color rgb="FF000000"/>
      <name val="Arial"/>
      <family val="2"/>
    </font>
    <font>
      <b/>
      <sz val="11"/>
      <color theme="1"/>
      <name val="Calibri"/>
      <family val="2"/>
      <scheme val="minor"/>
    </font>
    <font>
      <b/>
      <sz val="12"/>
      <color rgb="FFFF0000"/>
      <name val="Times New Roman"/>
      <family val="1"/>
    </font>
    <font>
      <sz val="14"/>
      <color rgb="FF000080"/>
      <name val="Arial"/>
      <family val="2"/>
    </font>
    <font>
      <u/>
      <sz val="11"/>
      <color theme="1"/>
      <name val="Times New Roman"/>
      <family val="1"/>
    </font>
    <font>
      <b/>
      <sz val="11"/>
      <color rgb="FFFF0000"/>
      <name val="Times New Roman"/>
      <family val="1"/>
    </font>
    <font>
      <sz val="12"/>
      <color rgb="FFFF0000"/>
      <name val="Times New Roman"/>
      <family val="1"/>
    </font>
    <font>
      <sz val="12"/>
      <color rgb="FFFF0000"/>
      <name val="Times New Roman"/>
      <family val="2"/>
    </font>
    <font>
      <b/>
      <u/>
      <sz val="12"/>
      <name val="Times New Roman"/>
      <family val="1"/>
    </font>
    <font>
      <b/>
      <sz val="12"/>
      <color rgb="FF00B0F0"/>
      <name val="Times New Roman"/>
      <family val="1"/>
    </font>
    <font>
      <b/>
      <sz val="9"/>
      <color indexed="81"/>
      <name val="Tahoma"/>
      <family val="2"/>
    </font>
    <font>
      <sz val="9"/>
      <color indexed="81"/>
      <name val="Tahoma"/>
      <family val="2"/>
    </font>
    <font>
      <b/>
      <sz val="12"/>
      <color indexed="10"/>
      <name val="Times New Roman"/>
      <family val="1"/>
    </font>
    <font>
      <sz val="12"/>
      <color indexed="10"/>
      <name val="Times New Roman"/>
      <family val="1"/>
    </font>
    <font>
      <b/>
      <sz val="18"/>
      <name val="Times New Roman"/>
      <family val="1"/>
    </font>
    <font>
      <sz val="11"/>
      <color theme="0"/>
      <name val="Calibri"/>
      <family val="2"/>
      <scheme val="minor"/>
    </font>
    <font>
      <b/>
      <sz val="11"/>
      <color rgb="FF000000"/>
      <name val="Calibri"/>
      <family val="2"/>
      <scheme val="minor"/>
    </font>
    <font>
      <b/>
      <sz val="12"/>
      <color rgb="FF000000"/>
      <name val="Calibri"/>
      <family val="2"/>
      <scheme val="minor"/>
    </font>
    <font>
      <b/>
      <sz val="10"/>
      <color rgb="FF000000"/>
      <name val="Calibri"/>
      <family val="2"/>
      <scheme val="minor"/>
    </font>
    <font>
      <sz val="11"/>
      <color rgb="FF000000"/>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sz val="12"/>
      <color indexed="12"/>
      <name val="SWISS"/>
    </font>
    <font>
      <b/>
      <sz val="12"/>
      <name val="SWISS"/>
    </font>
    <font>
      <sz val="8"/>
      <color indexed="9"/>
      <name val="Calibri"/>
      <family val="2"/>
    </font>
    <font>
      <sz val="14"/>
      <color indexed="9"/>
      <name val="Calibri"/>
      <family val="2"/>
    </font>
    <font>
      <b/>
      <sz val="14"/>
      <name val="SWISS"/>
    </font>
    <font>
      <sz val="9"/>
      <color rgb="FF0070C0"/>
      <name val="SWISS"/>
    </font>
    <font>
      <b/>
      <sz val="12"/>
      <color indexed="12"/>
      <name val="Times New Roman"/>
      <family val="1"/>
    </font>
    <font>
      <sz val="12"/>
      <color indexed="39"/>
      <name val="SWISS"/>
    </font>
    <font>
      <sz val="12"/>
      <color indexed="39"/>
      <name val="Times New Roman"/>
      <family val="1"/>
    </font>
    <font>
      <b/>
      <sz val="12"/>
      <color indexed="39"/>
      <name val="Times New Roman"/>
      <family val="1"/>
    </font>
    <font>
      <sz val="12"/>
      <color indexed="10"/>
      <name val="SWISS"/>
    </font>
    <font>
      <sz val="12"/>
      <color indexed="8"/>
      <name val="SWISS"/>
    </font>
    <font>
      <sz val="9"/>
      <color indexed="39"/>
      <name val="Times New Roman"/>
      <family val="1"/>
    </font>
    <font>
      <u/>
      <sz val="12"/>
      <color indexed="12"/>
      <name val="Times New Roman"/>
      <family val="1"/>
    </font>
    <font>
      <b/>
      <u/>
      <sz val="12"/>
      <color indexed="39"/>
      <name val="Times New Roman"/>
      <family val="1"/>
    </font>
    <font>
      <sz val="12"/>
      <color indexed="18"/>
      <name val="Times New Roman"/>
      <family val="1"/>
    </font>
    <font>
      <u/>
      <sz val="12"/>
      <color indexed="8"/>
      <name val="Times New Roman"/>
      <family val="1"/>
    </font>
    <font>
      <sz val="12"/>
      <color indexed="32"/>
      <name val="SWISS"/>
    </font>
    <font>
      <sz val="12"/>
      <color indexed="18"/>
      <name val="SWISS"/>
    </font>
    <font>
      <b/>
      <sz val="10"/>
      <name val="SWISS"/>
    </font>
    <font>
      <sz val="12"/>
      <color indexed="56"/>
      <name val="SWISS"/>
    </font>
    <font>
      <i/>
      <sz val="12"/>
      <name val="SWISS"/>
    </font>
    <font>
      <sz val="10"/>
      <color indexed="39"/>
      <name val="Times New Roman"/>
      <family val="1"/>
    </font>
    <font>
      <sz val="10"/>
      <color indexed="18"/>
      <name val="Times New Roman"/>
      <family val="1"/>
    </font>
    <font>
      <u/>
      <sz val="11"/>
      <name val="Times New Roman"/>
      <family val="1"/>
    </font>
    <font>
      <u/>
      <sz val="12"/>
      <color theme="1"/>
      <name val="Times New Roman"/>
      <family val="1"/>
    </font>
    <font>
      <sz val="12"/>
      <color theme="7" tint="-0.249977111117893"/>
      <name val="Times New Roman"/>
      <family val="1"/>
    </font>
    <font>
      <sz val="11"/>
      <name val="Calibri"/>
      <family val="2"/>
    </font>
    <font>
      <u val="singleAccounting"/>
      <sz val="12"/>
      <name val="Times New Roman"/>
      <family val="1"/>
    </font>
    <font>
      <b/>
      <sz val="8"/>
      <name val="Times New Roman"/>
      <family val="1"/>
    </font>
  </fonts>
  <fills count="45">
    <fill>
      <patternFill patternType="none"/>
    </fill>
    <fill>
      <patternFill patternType="gray125"/>
    </fill>
    <fill>
      <patternFill patternType="solid">
        <fgColor indexed="31"/>
      </patternFill>
    </fill>
    <fill>
      <patternFill patternType="solid">
        <fgColor indexed="22"/>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8"/>
      </patternFill>
    </fill>
    <fill>
      <patternFill patternType="solid">
        <fgColor indexed="9"/>
      </patternFill>
    </fill>
    <fill>
      <patternFill patternType="solid">
        <fgColor indexed="63"/>
      </patternFill>
    </fill>
    <fill>
      <patternFill patternType="solid">
        <fgColor indexed="45"/>
        <bgColor indexed="64"/>
      </patternFill>
    </fill>
    <fill>
      <patternFill patternType="solid">
        <fgColor indexed="65"/>
        <bgColor indexed="10"/>
      </patternFill>
    </fill>
    <fill>
      <patternFill patternType="gray125">
        <fgColor indexed="10"/>
      </patternFill>
    </fill>
    <fill>
      <patternFill patternType="solid">
        <fgColor indexed="22"/>
        <bgColor indexed="64"/>
      </patternFill>
    </fill>
    <fill>
      <patternFill patternType="solid">
        <fgColor indexed="26"/>
        <bgColor indexed="64"/>
      </patternFill>
    </fill>
    <fill>
      <patternFill patternType="solid">
        <fgColor indexed="57"/>
        <bgColor indexed="64"/>
      </patternFill>
    </fill>
    <fill>
      <patternFill patternType="mediumGray">
        <fgColor indexed="22"/>
      </patternFill>
    </fill>
    <fill>
      <patternFill patternType="solid">
        <fgColor indexed="43"/>
        <bgColor indexed="64"/>
      </patternFill>
    </fill>
    <fill>
      <patternFill patternType="solid">
        <fgColor indexed="9"/>
        <bgColor indexed="64"/>
      </patternFill>
    </fill>
    <fill>
      <patternFill patternType="solid">
        <fgColor indexed="26"/>
        <bgColor indexed="41"/>
      </patternFill>
    </fill>
    <fill>
      <patternFill patternType="solid">
        <fgColor indexed="26"/>
        <bgColor indexed="31"/>
      </patternFill>
    </fill>
    <fill>
      <patternFill patternType="solid">
        <fgColor indexed="22"/>
        <bgColor indexed="26"/>
      </patternFill>
    </fill>
    <fill>
      <patternFill patternType="solid">
        <fgColor indexed="22"/>
        <bgColor indexed="29"/>
      </patternFill>
    </fill>
    <fill>
      <patternFill patternType="solid">
        <fgColor rgb="FFFFFF00"/>
        <bgColor indexed="64"/>
      </patternFill>
    </fill>
    <fill>
      <patternFill patternType="solid">
        <fgColor theme="8"/>
      </patternFill>
    </fill>
    <fill>
      <patternFill patternType="solid">
        <fgColor theme="2"/>
        <bgColor indexed="64"/>
      </patternFill>
    </fill>
    <fill>
      <patternFill patternType="solid">
        <fgColor theme="0" tint="-4.9989318521683403E-2"/>
        <bgColor indexed="64"/>
      </patternFill>
    </fill>
    <fill>
      <patternFill patternType="solid">
        <fgColor rgb="FFFFFFFF"/>
      </patternFill>
    </fill>
    <fill>
      <patternFill patternType="solid">
        <fgColor rgb="FFF7F7F7"/>
      </patternFill>
    </fill>
    <fill>
      <patternFill patternType="solid">
        <fgColor indexed="15"/>
        <bgColor indexed="64"/>
      </patternFill>
    </fill>
    <fill>
      <patternFill patternType="solid">
        <fgColor indexed="9"/>
        <bgColor indexed="8"/>
      </patternFill>
    </fill>
  </fills>
  <borders count="76">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2"/>
      </left>
      <right style="double">
        <color indexed="62"/>
      </right>
      <top style="double">
        <color indexed="62"/>
      </top>
      <bottom style="double">
        <color indexed="62"/>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2"/>
      </left>
      <right style="thin">
        <color indexed="62"/>
      </right>
      <top style="thin">
        <color indexed="62"/>
      </top>
      <bottom style="thin">
        <color indexed="62"/>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top/>
      <bottom/>
      <diagonal/>
    </border>
    <border>
      <left/>
      <right/>
      <top/>
      <bottom style="thin">
        <color indexed="8"/>
      </bottom>
      <diagonal/>
    </border>
    <border>
      <left/>
      <right/>
      <top/>
      <bottom style="double">
        <color indexed="8"/>
      </bottom>
      <diagonal/>
    </border>
    <border>
      <left/>
      <right/>
      <top style="thin">
        <color indexed="8"/>
      </top>
      <bottom/>
      <diagonal/>
    </border>
    <border>
      <left/>
      <right/>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8"/>
      </bottom>
      <diagonal/>
    </border>
    <border>
      <left/>
      <right/>
      <top style="thin">
        <color indexed="8"/>
      </top>
      <bottom style="thin">
        <color indexed="8"/>
      </bottom>
      <diagonal/>
    </border>
    <border>
      <left/>
      <right/>
      <top style="thin">
        <color indexed="64"/>
      </top>
      <bottom style="double">
        <color indexed="64"/>
      </bottom>
      <diagonal/>
    </border>
    <border>
      <left/>
      <right/>
      <top style="thick">
        <color indexed="64"/>
      </top>
      <bottom style="thick">
        <color indexed="64"/>
      </bottom>
      <diagonal/>
    </border>
    <border>
      <left/>
      <right/>
      <top style="medium">
        <color indexed="64"/>
      </top>
      <bottom style="double">
        <color indexed="64"/>
      </bottom>
      <diagonal/>
    </border>
    <border>
      <left/>
      <right/>
      <top style="medium">
        <color indexed="64"/>
      </top>
      <bottom/>
      <diagonal/>
    </border>
    <border>
      <left/>
      <right/>
      <top/>
      <bottom style="thick">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double">
        <color indexed="64"/>
      </bottom>
      <diagonal/>
    </border>
    <border>
      <left/>
      <right/>
      <top style="thin">
        <color theme="4" tint="-0.24994659260841701"/>
      </top>
      <bottom style="double">
        <color theme="4" tint="-0.24994659260841701"/>
      </bottom>
      <diagonal/>
    </border>
    <border>
      <left/>
      <right/>
      <top style="thin">
        <color indexed="49"/>
      </top>
      <bottom style="double">
        <color indexed="49"/>
      </bottom>
      <diagonal/>
    </border>
    <border>
      <left/>
      <right style="thin">
        <color auto="1"/>
      </right>
      <top style="thin">
        <color auto="1"/>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28">
    <xf numFmtId="37" fontId="0" fillId="0" borderId="0"/>
    <xf numFmtId="0" fontId="34" fillId="3" borderId="0" applyNumberFormat="0" applyBorder="0" applyAlignment="0" applyProtection="0"/>
    <xf numFmtId="0" fontId="34" fillId="2" borderId="0" applyNumberFormat="0" applyBorder="0" applyAlignment="0" applyProtection="0"/>
    <xf numFmtId="0" fontId="34" fillId="5" borderId="0" applyNumberFormat="0" applyBorder="0" applyAlignment="0" applyProtection="0"/>
    <xf numFmtId="0" fontId="34" fillId="7" borderId="0" applyNumberFormat="0" applyBorder="0" applyAlignment="0" applyProtection="0"/>
    <xf numFmtId="0" fontId="34" fillId="3"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7" borderId="0" applyNumberFormat="0" applyBorder="0" applyAlignment="0" applyProtection="0"/>
    <xf numFmtId="0" fontId="34" fillId="3"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12" borderId="0" applyNumberFormat="0" applyBorder="0" applyAlignment="0" applyProtection="0"/>
    <xf numFmtId="0" fontId="34" fillId="3" borderId="0" applyNumberFormat="0" applyBorder="0" applyAlignment="0" applyProtection="0"/>
    <xf numFmtId="0" fontId="34" fillId="8" borderId="0" applyNumberFormat="0" applyBorder="0" applyAlignment="0" applyProtection="0"/>
    <xf numFmtId="0" fontId="34" fillId="10"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71" fillId="15" borderId="0" applyNumberFormat="0" applyBorder="0" applyAlignment="0" applyProtection="0"/>
    <xf numFmtId="0" fontId="71" fillId="14" borderId="0" applyNumberFormat="0" applyBorder="0" applyAlignment="0" applyProtection="0"/>
    <xf numFmtId="0" fontId="71" fillId="5" borderId="0" applyNumberFormat="0" applyBorder="0" applyAlignment="0" applyProtection="0"/>
    <xf numFmtId="0" fontId="71" fillId="12" borderId="0" applyNumberFormat="0" applyBorder="0" applyAlignment="0" applyProtection="0"/>
    <xf numFmtId="0" fontId="71" fillId="11" borderId="0" applyNumberFormat="0" applyBorder="0" applyAlignment="0" applyProtection="0"/>
    <xf numFmtId="0" fontId="71" fillId="3" borderId="0" applyNumberFormat="0" applyBorder="0" applyAlignment="0" applyProtection="0"/>
    <xf numFmtId="0" fontId="71" fillId="16" borderId="0" applyNumberFormat="0" applyBorder="0" applyAlignment="0" applyProtection="0"/>
    <xf numFmtId="0" fontId="71" fillId="15" borderId="0" applyNumberFormat="0" applyBorder="0" applyAlignment="0" applyProtection="0"/>
    <xf numFmtId="0" fontId="71" fillId="5" borderId="0" applyNumberFormat="0" applyBorder="0" applyAlignment="0" applyProtection="0"/>
    <xf numFmtId="0" fontId="71" fillId="15" borderId="0" applyNumberFormat="0" applyBorder="0" applyAlignment="0" applyProtection="0"/>
    <xf numFmtId="0" fontId="71" fillId="17" borderId="0" applyNumberFormat="0" applyBorder="0" applyAlignment="0" applyProtection="0"/>
    <xf numFmtId="0" fontId="71" fillId="18" borderId="0" applyNumberFormat="0" applyBorder="0" applyAlignment="0" applyProtection="0"/>
    <xf numFmtId="0" fontId="71" fillId="19" borderId="0" applyNumberFormat="0" applyBorder="0" applyAlignment="0" applyProtection="0"/>
    <xf numFmtId="0" fontId="71" fillId="20" borderId="0" applyNumberFormat="0" applyBorder="0" applyAlignment="0" applyProtection="0"/>
    <xf numFmtId="0" fontId="71" fillId="21" borderId="0" applyNumberFormat="0" applyBorder="0" applyAlignment="0" applyProtection="0"/>
    <xf numFmtId="0" fontId="71" fillId="20" borderId="0" applyNumberFormat="0" applyBorder="0" applyAlignment="0" applyProtection="0"/>
    <xf numFmtId="41" fontId="9" fillId="0" borderId="0"/>
    <xf numFmtId="41" fontId="9" fillId="0" borderId="0"/>
    <xf numFmtId="41" fontId="9" fillId="0" borderId="0"/>
    <xf numFmtId="41" fontId="9" fillId="0" borderId="0"/>
    <xf numFmtId="0" fontId="63" fillId="4" borderId="0" applyNumberFormat="0" applyBorder="0" applyAlignment="0" applyProtection="0"/>
    <xf numFmtId="3" fontId="9" fillId="0" borderId="0"/>
    <xf numFmtId="3" fontId="9" fillId="0" borderId="0"/>
    <xf numFmtId="3" fontId="9" fillId="0" borderId="0"/>
    <xf numFmtId="3" fontId="9" fillId="0" borderId="0"/>
    <xf numFmtId="171" fontId="36" fillId="0" borderId="0" applyFill="0"/>
    <xf numFmtId="171" fontId="36" fillId="0" borderId="0">
      <alignment horizontal="center"/>
    </xf>
    <xf numFmtId="0" fontId="36" fillId="0" borderId="0" applyFill="0">
      <alignment horizontal="center"/>
    </xf>
    <xf numFmtId="171" fontId="37" fillId="0" borderId="1" applyFill="0"/>
    <xf numFmtId="0" fontId="9" fillId="0" borderId="0" applyFont="0" applyAlignment="0"/>
    <xf numFmtId="0" fontId="38" fillId="0" borderId="0" applyFill="0">
      <alignment vertical="top"/>
    </xf>
    <xf numFmtId="0" fontId="37" fillId="0" borderId="0" applyFill="0">
      <alignment horizontal="left" vertical="top"/>
    </xf>
    <xf numFmtId="171" fontId="2" fillId="0" borderId="2" applyFill="0"/>
    <xf numFmtId="0" fontId="9" fillId="0" borderId="0" applyNumberFormat="0" applyFont="0" applyAlignment="0"/>
    <xf numFmtId="0" fontId="38" fillId="0" borderId="0" applyFill="0">
      <alignment wrapText="1"/>
    </xf>
    <xf numFmtId="0" fontId="37" fillId="0" borderId="0" applyFill="0">
      <alignment horizontal="left" vertical="top" wrapText="1"/>
    </xf>
    <xf numFmtId="171" fontId="39" fillId="0" borderId="0" applyFill="0"/>
    <xf numFmtId="0" fontId="40" fillId="0" borderId="0" applyNumberFormat="0" applyFont="0" applyAlignment="0">
      <alignment horizontal="center"/>
    </xf>
    <xf numFmtId="0" fontId="41" fillId="0" borderId="0" applyFill="0">
      <alignment vertical="top" wrapText="1"/>
    </xf>
    <xf numFmtId="0" fontId="2" fillId="0" borderId="0" applyFill="0">
      <alignment horizontal="left" vertical="top" wrapText="1"/>
    </xf>
    <xf numFmtId="171" fontId="9" fillId="0" borderId="0" applyFill="0"/>
    <xf numFmtId="0" fontId="40" fillId="0" borderId="0" applyNumberFormat="0" applyFont="0" applyAlignment="0">
      <alignment horizontal="center"/>
    </xf>
    <xf numFmtId="0" fontId="42" fillId="0" borderId="0" applyFill="0">
      <alignment vertical="center" wrapText="1"/>
    </xf>
    <xf numFmtId="0" fontId="3" fillId="0" borderId="0">
      <alignment horizontal="left" vertical="center" wrapText="1"/>
    </xf>
    <xf numFmtId="171" fontId="30" fillId="0" borderId="0" applyFill="0"/>
    <xf numFmtId="0" fontId="40" fillId="0" borderId="0" applyNumberFormat="0" applyFont="0" applyAlignment="0">
      <alignment horizontal="center"/>
    </xf>
    <xf numFmtId="0" fontId="43" fillId="0" borderId="0" applyFill="0">
      <alignment horizontal="center" vertical="center" wrapText="1"/>
    </xf>
    <xf numFmtId="0" fontId="9" fillId="0" borderId="0" applyFill="0">
      <alignment horizontal="center" vertical="center" wrapText="1"/>
    </xf>
    <xf numFmtId="171" fontId="44" fillId="0" borderId="0" applyFill="0"/>
    <xf numFmtId="0" fontId="40" fillId="0" borderId="0" applyNumberFormat="0" applyFont="0" applyAlignment="0">
      <alignment horizontal="center"/>
    </xf>
    <xf numFmtId="0" fontId="45" fillId="0" borderId="0" applyFill="0">
      <alignment horizontal="center" vertical="center" wrapText="1"/>
    </xf>
    <xf numFmtId="0" fontId="46" fillId="0" borderId="0" applyFill="0">
      <alignment horizontal="center" vertical="center" wrapText="1"/>
    </xf>
    <xf numFmtId="171" fontId="47" fillId="0" borderId="0" applyFill="0"/>
    <xf numFmtId="0" fontId="40" fillId="0" borderId="0" applyNumberFormat="0" applyFont="0" applyAlignment="0">
      <alignment horizontal="center"/>
    </xf>
    <xf numFmtId="0" fontId="48" fillId="0" borderId="0">
      <alignment horizontal="center" wrapText="1"/>
    </xf>
    <xf numFmtId="0" fontId="44" fillId="0" borderId="0" applyFill="0">
      <alignment horizontal="center" wrapText="1"/>
    </xf>
    <xf numFmtId="0" fontId="65" fillId="22" borderId="3" applyNumberFormat="0" applyAlignment="0" applyProtection="0"/>
    <xf numFmtId="0" fontId="65" fillId="3" borderId="3" applyNumberFormat="0" applyAlignment="0" applyProtection="0"/>
    <xf numFmtId="0" fontId="67" fillId="23" borderId="4" applyNumberFormat="0" applyAlignment="0" applyProtection="0"/>
    <xf numFmtId="0" fontId="9" fillId="24" borderId="0">
      <alignment horizontal="center"/>
    </xf>
    <xf numFmtId="43" fontId="6" fillId="0" borderId="0" applyFont="0" applyFill="0" applyBorder="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6" fillId="0" borderId="0" applyFont="0" applyFill="0" applyBorder="0" applyAlignment="0" applyProtection="0"/>
    <xf numFmtId="43" fontId="5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6"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9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6" fillId="0" borderId="0" applyFont="0" applyFill="0" applyBorder="0" applyAlignment="0" applyProtection="0"/>
    <xf numFmtId="177" fontId="10"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9" fillId="0" borderId="0" applyFont="0" applyFill="0" applyBorder="0" applyAlignment="0" applyProtection="0"/>
    <xf numFmtId="43" fontId="34" fillId="0" borderId="0" applyFont="0" applyFill="0" applyBorder="0" applyAlignment="0" applyProtection="0"/>
    <xf numFmtId="43" fontId="57" fillId="0" borderId="0" applyFont="0" applyFill="0" applyBorder="0" applyAlignment="0" applyProtection="0"/>
    <xf numFmtId="43" fontId="9"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9" fillId="0" borderId="0" applyFont="0" applyFill="0" applyBorder="0" applyAlignment="0" applyProtection="0"/>
    <xf numFmtId="43" fontId="58" fillId="0" borderId="0" applyFont="0" applyFill="0" applyBorder="0" applyAlignment="0" applyProtection="0"/>
    <xf numFmtId="43" fontId="9" fillId="0" borderId="0" applyFont="0" applyFill="0" applyBorder="0" applyAlignment="0" applyProtection="0"/>
    <xf numFmtId="43" fontId="35" fillId="0" borderId="0" applyFont="0" applyFill="0" applyBorder="0" applyAlignment="0" applyProtection="0"/>
    <xf numFmtId="43" fontId="5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 fontId="1" fillId="0" borderId="0"/>
    <xf numFmtId="3" fontId="9" fillId="0" borderId="0" applyFill="0" applyBorder="0" applyAlignment="0" applyProtection="0"/>
    <xf numFmtId="0" fontId="72" fillId="0" borderId="0"/>
    <xf numFmtId="0" fontId="72" fillId="0" borderId="0"/>
    <xf numFmtId="0" fontId="73" fillId="25" borderId="5" applyAlignment="0">
      <alignment horizontal="right"/>
      <protection locked="0"/>
    </xf>
    <xf numFmtId="44" fontId="6" fillId="0" borderId="0" applyFont="0" applyFill="0" applyBorder="0" applyAlignment="0" applyProtection="0"/>
    <xf numFmtId="44" fontId="5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34"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36"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44" fontId="74" fillId="0" borderId="0" applyFont="0" applyFill="0" applyBorder="0" applyAlignment="0" applyProtection="0"/>
    <xf numFmtId="44" fontId="10" fillId="0" borderId="0" applyFont="0" applyFill="0" applyBorder="0" applyAlignment="0" applyProtection="0"/>
    <xf numFmtId="44" fontId="34"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34" fillId="0" borderId="0" applyFont="0" applyFill="0" applyBorder="0" applyAlignment="0" applyProtection="0"/>
    <xf numFmtId="44" fontId="9" fillId="0" borderId="0" applyFont="0" applyFill="0" applyBorder="0" applyAlignment="0" applyProtection="0"/>
    <xf numFmtId="44" fontId="34" fillId="0" borderId="0" applyFont="0" applyFill="0" applyBorder="0" applyAlignment="0" applyProtection="0"/>
    <xf numFmtId="44" fontId="9" fillId="0" borderId="0" applyFont="0" applyFill="0" applyBorder="0" applyAlignment="0" applyProtection="0"/>
    <xf numFmtId="44" fontId="34" fillId="0" borderId="0" applyFont="0" applyFill="0" applyBorder="0" applyAlignment="0" applyProtection="0"/>
    <xf numFmtId="44" fontId="57" fillId="0" borderId="0" applyFont="0" applyFill="0" applyBorder="0" applyAlignment="0" applyProtection="0"/>
    <xf numFmtId="44" fontId="36"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5" fontId="9" fillId="0" borderId="0" applyFill="0" applyBorder="0" applyAlignment="0" applyProtection="0"/>
    <xf numFmtId="0" fontId="75" fillId="26" borderId="0">
      <alignment horizontal="right"/>
      <protection locked="0"/>
    </xf>
    <xf numFmtId="178" fontId="9" fillId="0" borderId="0" applyFill="0" applyBorder="0" applyAlignment="0" applyProtection="0"/>
    <xf numFmtId="14" fontId="9" fillId="0" borderId="0"/>
    <xf numFmtId="0" fontId="69" fillId="0" borderId="0" applyNumberFormat="0" applyFill="0" applyBorder="0" applyAlignment="0" applyProtection="0"/>
    <xf numFmtId="2" fontId="75" fillId="26" borderId="0">
      <alignment horizontal="right"/>
      <protection locked="0"/>
    </xf>
    <xf numFmtId="1" fontId="9" fillId="0" borderId="0">
      <alignment horizontal="center"/>
    </xf>
    <xf numFmtId="2" fontId="9" fillId="0" borderId="0" applyFill="0" applyBorder="0" applyAlignment="0" applyProtection="0"/>
    <xf numFmtId="0" fontId="62" fillId="6" borderId="0" applyNumberFormat="0" applyBorder="0" applyAlignment="0" applyProtection="0"/>
    <xf numFmtId="38" fontId="36" fillId="27" borderId="0" applyNumberFormat="0" applyBorder="0" applyAlignment="0" applyProtection="0"/>
    <xf numFmtId="0" fontId="2" fillId="0" borderId="6" applyNumberFormat="0" applyAlignment="0" applyProtection="0">
      <alignment horizontal="left" vertical="center"/>
    </xf>
    <xf numFmtId="0" fontId="2" fillId="0" borderId="7">
      <alignment horizontal="left" vertical="center"/>
    </xf>
    <xf numFmtId="0" fontId="76" fillId="0" borderId="9" applyNumberFormat="0" applyFill="0" applyAlignment="0" applyProtection="0"/>
    <xf numFmtId="0" fontId="86" fillId="0" borderId="8" applyNumberFormat="0" applyFill="0" applyAlignment="0" applyProtection="0"/>
    <xf numFmtId="0" fontId="77" fillId="0" borderId="10" applyNumberFormat="0" applyFill="0" applyAlignment="0" applyProtection="0"/>
    <xf numFmtId="0" fontId="87" fillId="0" borderId="10" applyNumberFormat="0" applyFill="0" applyAlignment="0" applyProtection="0"/>
    <xf numFmtId="0" fontId="78" fillId="0" borderId="12" applyNumberFormat="0" applyFill="0" applyAlignment="0" applyProtection="0"/>
    <xf numFmtId="0" fontId="88" fillId="0" borderId="11" applyNumberFormat="0" applyFill="0" applyAlignment="0" applyProtection="0"/>
    <xf numFmtId="0" fontId="83" fillId="0" borderId="0" applyNumberFormat="0" applyFill="0" applyBorder="0" applyAlignment="0" applyProtection="0"/>
    <xf numFmtId="0" fontId="79"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10" fontId="36" fillId="28" borderId="13" applyNumberFormat="0" applyBorder="0" applyAlignment="0" applyProtection="0"/>
    <xf numFmtId="0" fontId="84" fillId="12" borderId="3" applyNumberFormat="0" applyAlignment="0" applyProtection="0"/>
    <xf numFmtId="3" fontId="81" fillId="27" borderId="0">
      <protection locked="0"/>
    </xf>
    <xf numFmtId="4" fontId="81" fillId="27" borderId="0">
      <protection locked="0"/>
    </xf>
    <xf numFmtId="0" fontId="66" fillId="0" borderId="14" applyNumberFormat="0" applyFill="0" applyAlignment="0" applyProtection="0"/>
    <xf numFmtId="41" fontId="49" fillId="29" borderId="0" applyFill="0" applyBorder="0" applyAlignment="0" applyProtection="0"/>
    <xf numFmtId="0" fontId="64" fillId="12" borderId="0" applyNumberFormat="0" applyBorder="0" applyAlignment="0" applyProtection="0"/>
    <xf numFmtId="43"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37" fontId="3" fillId="0" borderId="0"/>
    <xf numFmtId="0" fontId="92" fillId="0" borderId="0"/>
    <xf numFmtId="0" fontId="92" fillId="0" borderId="0"/>
    <xf numFmtId="0" fontId="34" fillId="0" borderId="0"/>
    <xf numFmtId="0" fontId="9" fillId="0" borderId="0"/>
    <xf numFmtId="0" fontId="9" fillId="0" borderId="0"/>
    <xf numFmtId="0" fontId="9" fillId="0" borderId="0"/>
    <xf numFmtId="37" fontId="3" fillId="0" borderId="0"/>
    <xf numFmtId="37" fontId="3" fillId="0" borderId="0"/>
    <xf numFmtId="0" fontId="92" fillId="0" borderId="0"/>
    <xf numFmtId="0" fontId="34" fillId="0" borderId="0"/>
    <xf numFmtId="37" fontId="3" fillId="0" borderId="0"/>
    <xf numFmtId="0" fontId="34" fillId="0" borderId="0"/>
    <xf numFmtId="37" fontId="3" fillId="0" borderId="0"/>
    <xf numFmtId="0" fontId="34" fillId="0" borderId="0"/>
    <xf numFmtId="37" fontId="3" fillId="0" borderId="0"/>
    <xf numFmtId="0" fontId="34" fillId="0" borderId="0"/>
    <xf numFmtId="0" fontId="92" fillId="0" borderId="0"/>
    <xf numFmtId="0" fontId="34" fillId="0" borderId="0"/>
    <xf numFmtId="0" fontId="34" fillId="0" borderId="0"/>
    <xf numFmtId="0" fontId="34" fillId="0" borderId="0"/>
    <xf numFmtId="0" fontId="34" fillId="0" borderId="0"/>
    <xf numFmtId="0" fontId="91" fillId="0" borderId="0"/>
    <xf numFmtId="172" fontId="11" fillId="0" borderId="0"/>
    <xf numFmtId="0" fontId="9" fillId="0" borderId="0"/>
    <xf numFmtId="0" fontId="9" fillId="0" borderId="0"/>
    <xf numFmtId="0" fontId="9" fillId="0" borderId="0"/>
    <xf numFmtId="0" fontId="9" fillId="0" borderId="0"/>
    <xf numFmtId="0" fontId="13" fillId="0" borderId="0"/>
    <xf numFmtId="0" fontId="9" fillId="0" borderId="0"/>
    <xf numFmtId="0" fontId="9" fillId="0" borderId="0"/>
    <xf numFmtId="0" fontId="9" fillId="0" borderId="0"/>
    <xf numFmtId="0" fontId="92" fillId="0" borderId="0"/>
    <xf numFmtId="0" fontId="9" fillId="0" borderId="0"/>
    <xf numFmtId="0" fontId="9" fillId="0" borderId="0"/>
    <xf numFmtId="37" fontId="3" fillId="0" borderId="0"/>
    <xf numFmtId="0" fontId="3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92" fillId="0" borderId="0"/>
    <xf numFmtId="0" fontId="1"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2"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3" fillId="0" borderId="0"/>
    <xf numFmtId="0" fontId="9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9" fillId="0" borderId="0"/>
    <xf numFmtId="0" fontId="34" fillId="0" borderId="0"/>
    <xf numFmtId="0" fontId="1" fillId="0" borderId="0">
      <alignment vertical="top"/>
    </xf>
    <xf numFmtId="0" fontId="1" fillId="0" borderId="0">
      <alignment vertical="top"/>
    </xf>
    <xf numFmtId="0" fontId="1" fillId="0" borderId="0">
      <alignment vertical="top"/>
    </xf>
    <xf numFmtId="0" fontId="34" fillId="0" borderId="0"/>
    <xf numFmtId="0" fontId="92" fillId="0" borderId="0"/>
    <xf numFmtId="0" fontId="92" fillId="0" borderId="0"/>
    <xf numFmtId="37" fontId="21" fillId="0" borderId="0"/>
    <xf numFmtId="37" fontId="3" fillId="0" borderId="0"/>
    <xf numFmtId="0" fontId="9" fillId="0" borderId="0"/>
    <xf numFmtId="0" fontId="7" fillId="0" borderId="0"/>
    <xf numFmtId="0" fontId="34" fillId="7" borderId="15" applyNumberFormat="0" applyFont="0" applyAlignment="0" applyProtection="0"/>
    <xf numFmtId="0" fontId="36" fillId="7" borderId="15" applyNumberFormat="0" applyFont="0" applyAlignment="0" applyProtection="0"/>
    <xf numFmtId="173" fontId="82" fillId="0" borderId="0" applyNumberFormat="0"/>
    <xf numFmtId="0" fontId="78" fillId="22" borderId="16" applyNumberFormat="0" applyAlignment="0" applyProtection="0"/>
    <xf numFmtId="9" fontId="6" fillId="0" borderId="0" applyFont="0" applyFill="0" applyBorder="0" applyAlignment="0" applyProtection="0"/>
    <xf numFmtId="10" fontId="9" fillId="0" borderId="0" applyFont="0" applyFill="0" applyBorder="0" applyAlignment="0" applyProtection="0"/>
    <xf numFmtId="9" fontId="34" fillId="0" borderId="0" applyFont="0" applyFill="0" applyBorder="0" applyAlignment="0" applyProtection="0"/>
    <xf numFmtId="9" fontId="92" fillId="0" borderId="0" applyFont="0" applyFill="0" applyBorder="0" applyAlignment="0" applyProtection="0"/>
    <xf numFmtId="9" fontId="93" fillId="0" borderId="0" applyFont="0" applyFill="0" applyBorder="0" applyAlignment="0" applyProtection="0"/>
    <xf numFmtId="9" fontId="58" fillId="0" borderId="0" applyFont="0" applyFill="0" applyBorder="0" applyAlignment="0" applyProtection="0"/>
    <xf numFmtId="9" fontId="10"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9" fillId="0" borderId="0" applyFont="0" applyFill="0" applyBorder="0" applyAlignment="0" applyProtection="0"/>
    <xf numFmtId="9" fontId="58" fillId="0" borderId="0" applyFont="0" applyFill="0" applyBorder="0" applyAlignment="0" applyProtection="0"/>
    <xf numFmtId="9" fontId="36"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57" fillId="0" borderId="0" applyFont="0" applyFill="0" applyBorder="0" applyAlignment="0" applyProtection="0"/>
    <xf numFmtId="9" fontId="34" fillId="0" borderId="0" applyFont="0" applyFill="0" applyBorder="0" applyAlignment="0" applyProtection="0"/>
    <xf numFmtId="173" fontId="9" fillId="0" borderId="0" applyFont="0" applyFill="0" applyBorder="0" applyAlignment="0" applyProtection="0"/>
    <xf numFmtId="10" fontId="9" fillId="0" borderId="0" applyFont="0" applyFill="0" applyBorder="0" applyAlignment="0" applyProtection="0"/>
    <xf numFmtId="0" fontId="9" fillId="0" borderId="0"/>
    <xf numFmtId="0" fontId="9" fillId="0" borderId="0"/>
    <xf numFmtId="0" fontId="9" fillId="0" borderId="0"/>
    <xf numFmtId="0" fontId="9" fillId="0" borderId="0"/>
    <xf numFmtId="38" fontId="50" fillId="0" borderId="0" applyNumberFormat="0" applyFont="0" applyFill="0" applyBorder="0">
      <alignment horizontal="left" indent="4"/>
      <protection locked="0"/>
    </xf>
    <xf numFmtId="0" fontId="51" fillId="0" borderId="0" applyNumberFormat="0" applyFont="0" applyFill="0" applyBorder="0" applyAlignment="0" applyProtection="0">
      <alignment horizontal="left"/>
    </xf>
    <xf numFmtId="15" fontId="51" fillId="0" borderId="0" applyFont="0" applyFill="0" applyBorder="0" applyAlignment="0" applyProtection="0"/>
    <xf numFmtId="4" fontId="51" fillId="0" borderId="0" applyFont="0" applyFill="0" applyBorder="0" applyAlignment="0" applyProtection="0"/>
    <xf numFmtId="0" fontId="52" fillId="0" borderId="17">
      <alignment horizontal="center"/>
    </xf>
    <xf numFmtId="0" fontId="52" fillId="0" borderId="17">
      <alignment horizontal="center"/>
    </xf>
    <xf numFmtId="3" fontId="51" fillId="0" borderId="0" applyFont="0" applyFill="0" applyBorder="0" applyAlignment="0" applyProtection="0"/>
    <xf numFmtId="0" fontId="51" fillId="30" borderId="0" applyNumberFormat="0" applyFont="0" applyBorder="0" applyAlignment="0" applyProtection="0"/>
    <xf numFmtId="179" fontId="22" fillId="31" borderId="18" applyNumberFormat="0" applyFill="0"/>
    <xf numFmtId="0" fontId="53" fillId="31" borderId="0" applyNumberFormat="0" applyFill="0" applyBorder="0" applyAlignment="0" applyProtection="0">
      <alignment horizontal="left" indent="7"/>
    </xf>
    <xf numFmtId="0" fontId="9" fillId="32" borderId="18" applyNumberFormat="0" applyFill="0">
      <alignment horizontal="left" indent="6"/>
    </xf>
    <xf numFmtId="179" fontId="39" fillId="0" borderId="19" applyNumberFormat="0" applyFill="0"/>
    <xf numFmtId="0" fontId="29" fillId="33" borderId="13" applyNumberFormat="0" applyFill="0" applyBorder="0" applyAlignment="0">
      <alignment horizontal="right"/>
    </xf>
    <xf numFmtId="0" fontId="33" fillId="34" borderId="18" applyNumberFormat="0" applyFill="0" applyBorder="0" applyAlignment="0"/>
    <xf numFmtId="0" fontId="39" fillId="0" borderId="18" applyNumberFormat="0" applyFill="0"/>
    <xf numFmtId="179" fontId="39" fillId="0" borderId="18" applyNumberFormat="0" applyFill="0"/>
    <xf numFmtId="0" fontId="9" fillId="35" borderId="0" applyNumberFormat="0" applyFill="0" applyBorder="0" applyAlignment="0"/>
    <xf numFmtId="0" fontId="54" fillId="36" borderId="18" applyNumberFormat="0" applyFill="0" applyBorder="0">
      <alignment horizontal="left" indent="1"/>
    </xf>
    <xf numFmtId="0" fontId="29" fillId="0" borderId="18" applyNumberFormat="0" applyFill="0">
      <alignment horizontal="left" indent="1"/>
    </xf>
    <xf numFmtId="179" fontId="39" fillId="0" borderId="18" applyNumberFormat="0" applyFill="0"/>
    <xf numFmtId="0" fontId="9" fillId="24" borderId="0" applyNumberFormat="0" applyFill="0" applyBorder="0" applyAlignment="0"/>
    <xf numFmtId="0" fontId="33" fillId="24" borderId="18" applyNumberFormat="0" applyFill="0" applyBorder="0">
      <alignment horizontal="left" indent="2"/>
    </xf>
    <xf numFmtId="0" fontId="29" fillId="24" borderId="18" applyNumberFormat="0" applyFill="0">
      <alignment horizontal="left" indent="2"/>
    </xf>
    <xf numFmtId="179" fontId="22" fillId="0" borderId="18" applyNumberFormat="0" applyFill="0"/>
    <xf numFmtId="0" fontId="9" fillId="0" borderId="0" applyNumberFormat="0" applyFill="0" applyBorder="0" applyAlignment="0"/>
    <xf numFmtId="0" fontId="54" fillId="0" borderId="18" applyNumberFormat="0" applyFill="0" applyBorder="0">
      <alignment horizontal="left" indent="3"/>
    </xf>
    <xf numFmtId="0" fontId="9" fillId="0" borderId="18" applyNumberFormat="0" applyFill="0" applyProtection="0">
      <alignment horizontal="left" indent="3"/>
    </xf>
    <xf numFmtId="179" fontId="22" fillId="0" borderId="18" applyNumberFormat="0" applyFill="0"/>
    <xf numFmtId="0" fontId="9" fillId="0" borderId="0" applyNumberFormat="0" applyFill="0" applyBorder="0" applyAlignment="0"/>
    <xf numFmtId="0" fontId="32" fillId="0" borderId="18" applyNumberFormat="0" applyFill="0" applyBorder="0">
      <alignment horizontal="left" indent="4"/>
    </xf>
    <xf numFmtId="180" fontId="9" fillId="0" borderId="18" applyNumberFormat="0" applyFill="0">
      <alignment horizontal="left" indent="4"/>
    </xf>
    <xf numFmtId="179" fontId="22" fillId="0" borderId="18" applyNumberFormat="0" applyFill="0"/>
    <xf numFmtId="0" fontId="9" fillId="0" borderId="0" applyNumberFormat="0" applyBorder="0" applyAlignment="0"/>
    <xf numFmtId="0" fontId="32" fillId="0" borderId="18" applyNumberFormat="0" applyFill="0" applyBorder="0">
      <alignment horizontal="left" indent="5"/>
    </xf>
    <xf numFmtId="0" fontId="9" fillId="0" borderId="18" applyNumberFormat="0" applyFill="0">
      <alignment horizontal="left" indent="5"/>
    </xf>
    <xf numFmtId="179" fontId="22" fillId="0" borderId="18" applyNumberFormat="0" applyFill="0"/>
    <xf numFmtId="0" fontId="9" fillId="0" borderId="0" applyNumberFormat="0" applyFill="0" applyBorder="0" applyAlignment="0"/>
    <xf numFmtId="0" fontId="55" fillId="0" borderId="18" applyNumberFormat="0" applyFill="0" applyBorder="0">
      <alignment horizontal="left" indent="6"/>
    </xf>
    <xf numFmtId="0" fontId="43" fillId="0" borderId="18" applyNumberFormat="0" applyFill="0">
      <alignment horizontal="left" indent="6"/>
    </xf>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1" fillId="0" borderId="0">
      <alignment vertical="top"/>
    </xf>
    <xf numFmtId="0" fontId="1" fillId="0" borderId="0">
      <alignment vertical="top"/>
    </xf>
    <xf numFmtId="0" fontId="1" fillId="0" borderId="0" applyNumberFormat="0" applyBorder="0" applyAlignment="0"/>
    <xf numFmtId="0" fontId="1" fillId="0" borderId="0" applyNumberFormat="0" applyBorder="0" applyAlignment="0"/>
    <xf numFmtId="37" fontId="90" fillId="0" borderId="0"/>
    <xf numFmtId="179" fontId="56" fillId="31" borderId="18" applyNumberFormat="0" applyProtection="0">
      <alignment horizontal="right"/>
    </xf>
    <xf numFmtId="0" fontId="85" fillId="0" borderId="0" applyNumberFormat="0" applyFill="0" applyBorder="0" applyAlignment="0" applyProtection="0"/>
    <xf numFmtId="0" fontId="70" fillId="0" borderId="21" applyNumberFormat="0" applyFill="0" applyAlignment="0" applyProtection="0"/>
    <xf numFmtId="0" fontId="70" fillId="0" borderId="20" applyNumberFormat="0" applyFill="0" applyAlignment="0" applyProtection="0"/>
    <xf numFmtId="0" fontId="68" fillId="0" borderId="0" applyNumberFormat="0" applyFill="0" applyBorder="0" applyAlignment="0" applyProtection="0"/>
    <xf numFmtId="175" fontId="3" fillId="31" borderId="0" applyFont="0" applyFill="0" applyBorder="0" applyAlignment="0" applyProtection="0">
      <alignment wrapText="1"/>
    </xf>
    <xf numFmtId="0" fontId="3" fillId="31" borderId="22" applyNumberFormat="0" applyFill="0" applyBorder="0" applyProtection="0">
      <alignment horizontal="right"/>
    </xf>
    <xf numFmtId="0" fontId="121" fillId="38" borderId="0" applyNumberFormat="0" applyBorder="0" applyAlignment="0" applyProtection="0"/>
    <xf numFmtId="41" fontId="10" fillId="32" borderId="0">
      <alignment horizontal="left"/>
    </xf>
    <xf numFmtId="10" fontId="10" fillId="32" borderId="0"/>
    <xf numFmtId="0" fontId="20" fillId="22" borderId="0"/>
    <xf numFmtId="0" fontId="20" fillId="22" borderId="0"/>
  </cellStyleXfs>
  <cellXfs count="871">
    <xf numFmtId="37" fontId="0" fillId="0" borderId="0" xfId="0"/>
    <xf numFmtId="37" fontId="4" fillId="0" borderId="0" xfId="0" applyFont="1"/>
    <xf numFmtId="37" fontId="4" fillId="0" borderId="0" xfId="0" applyFont="1" applyAlignment="1">
      <alignment horizontal="center"/>
    </xf>
    <xf numFmtId="37" fontId="5" fillId="0" borderId="0" xfId="0" applyFont="1"/>
    <xf numFmtId="0" fontId="7" fillId="0" borderId="0" xfId="320"/>
    <xf numFmtId="0" fontId="4" fillId="0" borderId="0" xfId="241" applyFont="1"/>
    <xf numFmtId="0" fontId="5" fillId="0" borderId="0" xfId="241" applyFont="1" applyAlignment="1">
      <alignment horizontal="center"/>
    </xf>
    <xf numFmtId="43" fontId="4" fillId="0" borderId="0" xfId="241" applyNumberFormat="1" applyFont="1"/>
    <xf numFmtId="0" fontId="7" fillId="0" borderId="0" xfId="320" applyAlignment="1">
      <alignment vertical="top"/>
    </xf>
    <xf numFmtId="41" fontId="4" fillId="0" borderId="0" xfId="241" applyNumberFormat="1" applyFont="1"/>
    <xf numFmtId="164" fontId="12" fillId="0" borderId="0" xfId="241" applyNumberFormat="1" applyFont="1" applyAlignment="1">
      <alignment horizontal="left"/>
    </xf>
    <xf numFmtId="37" fontId="4" fillId="0" borderId="0" xfId="241" applyNumberFormat="1" applyFont="1"/>
    <xf numFmtId="37" fontId="5" fillId="0" borderId="0" xfId="241" applyNumberFormat="1" applyFont="1" applyAlignment="1">
      <alignment horizontal="left"/>
    </xf>
    <xf numFmtId="37" fontId="5" fillId="0" borderId="0" xfId="241" applyNumberFormat="1" applyFont="1"/>
    <xf numFmtId="37" fontId="5" fillId="0" borderId="0" xfId="0" applyFont="1" applyAlignment="1">
      <alignment horizontal="center"/>
    </xf>
    <xf numFmtId="41" fontId="13" fillId="0" borderId="0" xfId="0" applyNumberFormat="1" applyFont="1"/>
    <xf numFmtId="37" fontId="13" fillId="0" borderId="0" xfId="0" applyFont="1"/>
    <xf numFmtId="41" fontId="5" fillId="0" borderId="0" xfId="0" applyNumberFormat="1" applyFont="1"/>
    <xf numFmtId="0" fontId="4" fillId="0" borderId="0" xfId="222" applyFont="1"/>
    <xf numFmtId="0" fontId="5" fillId="0" borderId="0" xfId="222" applyFont="1"/>
    <xf numFmtId="37" fontId="5" fillId="0" borderId="0" xfId="241" applyNumberFormat="1" applyFont="1" applyAlignment="1">
      <alignment horizontal="center"/>
    </xf>
    <xf numFmtId="0" fontId="5" fillId="0" borderId="0" xfId="222" applyFont="1" applyAlignment="1">
      <alignment horizontal="center"/>
    </xf>
    <xf numFmtId="37" fontId="17" fillId="0" borderId="0" xfId="0" applyFont="1"/>
    <xf numFmtId="37" fontId="14" fillId="0" borderId="0" xfId="0" applyFont="1"/>
    <xf numFmtId="37" fontId="14" fillId="0" borderId="0" xfId="0" applyFont="1" applyAlignment="1">
      <alignment horizontal="left" indent="1"/>
    </xf>
    <xf numFmtId="41" fontId="14" fillId="0" borderId="0" xfId="0" applyNumberFormat="1" applyFont="1"/>
    <xf numFmtId="41" fontId="14" fillId="0" borderId="23" xfId="0" applyNumberFormat="1" applyFont="1" applyBorder="1"/>
    <xf numFmtId="41" fontId="14" fillId="0" borderId="0" xfId="0" applyNumberFormat="1" applyFont="1" applyAlignment="1">
      <alignment horizontal="center"/>
    </xf>
    <xf numFmtId="14" fontId="14" fillId="0" borderId="0" xfId="0" applyNumberFormat="1" applyFont="1" applyAlignment="1">
      <alignment horizontal="center"/>
    </xf>
    <xf numFmtId="41" fontId="17" fillId="0" borderId="0" xfId="0" applyNumberFormat="1" applyFont="1"/>
    <xf numFmtId="41" fontId="17" fillId="0" borderId="0" xfId="0" applyNumberFormat="1" applyFont="1" applyAlignment="1">
      <alignment horizontal="center"/>
    </xf>
    <xf numFmtId="42" fontId="14" fillId="0" borderId="24" xfId="0" applyNumberFormat="1" applyFont="1" applyBorder="1"/>
    <xf numFmtId="41" fontId="14" fillId="0" borderId="25" xfId="0" applyNumberFormat="1" applyFont="1" applyBorder="1"/>
    <xf numFmtId="0" fontId="14" fillId="0" borderId="0" xfId="241" applyFont="1"/>
    <xf numFmtId="41" fontId="4" fillId="0" borderId="23" xfId="241" applyNumberFormat="1" applyFont="1" applyBorder="1"/>
    <xf numFmtId="37" fontId="15" fillId="0" borderId="0" xfId="0" applyFont="1" applyAlignment="1">
      <alignment horizontal="center"/>
    </xf>
    <xf numFmtId="37" fontId="5" fillId="0" borderId="0" xfId="0" applyFont="1" applyAlignment="1">
      <alignment horizontal="justify"/>
    </xf>
    <xf numFmtId="37" fontId="4" fillId="0" borderId="0" xfId="0" applyFont="1" applyAlignment="1">
      <alignment horizontal="justify"/>
    </xf>
    <xf numFmtId="37" fontId="13" fillId="0" borderId="0" xfId="0" applyFont="1" applyAlignment="1">
      <alignment horizontal="justify"/>
    </xf>
    <xf numFmtId="41" fontId="4" fillId="0" borderId="0" xfId="241" applyNumberFormat="1" applyFont="1" applyAlignment="1">
      <alignment horizontal="center"/>
    </xf>
    <xf numFmtId="0" fontId="15" fillId="0" borderId="0" xfId="320" applyFont="1" applyAlignment="1">
      <alignment horizontal="center" vertical="top"/>
    </xf>
    <xf numFmtId="0" fontId="4" fillId="0" borderId="0" xfId="308" applyFont="1"/>
    <xf numFmtId="0" fontId="14" fillId="0" borderId="0" xfId="308" applyFont="1"/>
    <xf numFmtId="43" fontId="14" fillId="0" borderId="0" xfId="308" applyNumberFormat="1" applyFont="1"/>
    <xf numFmtId="43" fontId="10" fillId="0" borderId="0" xfId="308" applyNumberFormat="1" applyFont="1"/>
    <xf numFmtId="0" fontId="10" fillId="0" borderId="0" xfId="308" applyFont="1"/>
    <xf numFmtId="0" fontId="16" fillId="0" borderId="0" xfId="308" applyFont="1" applyAlignment="1">
      <alignment horizontal="center"/>
    </xf>
    <xf numFmtId="14" fontId="10" fillId="0" borderId="0" xfId="308" applyNumberFormat="1" applyFont="1" applyAlignment="1">
      <alignment horizontal="center"/>
    </xf>
    <xf numFmtId="14" fontId="16" fillId="0" borderId="0" xfId="308" applyNumberFormat="1" applyFont="1" applyAlignment="1">
      <alignment horizontal="center"/>
    </xf>
    <xf numFmtId="14" fontId="16" fillId="0" borderId="0" xfId="308" quotePrefix="1" applyNumberFormat="1" applyFont="1" applyAlignment="1">
      <alignment horizontal="center"/>
    </xf>
    <xf numFmtId="0" fontId="10" fillId="0" borderId="0" xfId="308" applyFont="1" applyAlignment="1">
      <alignment horizontal="center"/>
    </xf>
    <xf numFmtId="0" fontId="12" fillId="0" borderId="0" xfId="308" applyFont="1" applyAlignment="1">
      <alignment horizontal="left"/>
    </xf>
    <xf numFmtId="0" fontId="12" fillId="0" borderId="0" xfId="308" applyFont="1" applyAlignment="1">
      <alignment horizontal="center"/>
    </xf>
    <xf numFmtId="0" fontId="10" fillId="0" borderId="0" xfId="308" quotePrefix="1" applyFont="1" applyAlignment="1">
      <alignment horizontal="right"/>
    </xf>
    <xf numFmtId="37" fontId="5" fillId="0" borderId="0" xfId="308" applyNumberFormat="1" applyFont="1" applyAlignment="1">
      <alignment horizontal="center"/>
    </xf>
    <xf numFmtId="0" fontId="5" fillId="0" borderId="0" xfId="308" applyFont="1"/>
    <xf numFmtId="37" fontId="5" fillId="0" borderId="0" xfId="308" applyNumberFormat="1" applyFont="1"/>
    <xf numFmtId="0" fontId="4" fillId="0" borderId="0" xfId="241" applyFont="1" applyAlignment="1">
      <alignment horizontal="left"/>
    </xf>
    <xf numFmtId="0" fontId="93" fillId="0" borderId="0" xfId="283"/>
    <xf numFmtId="43" fontId="93" fillId="0" borderId="0" xfId="283" applyNumberFormat="1"/>
    <xf numFmtId="37" fontId="4" fillId="0" borderId="0" xfId="0" applyFont="1" applyAlignment="1">
      <alignment wrapText="1"/>
    </xf>
    <xf numFmtId="37" fontId="4" fillId="0" borderId="0" xfId="0" quotePrefix="1" applyFont="1" applyAlignment="1">
      <alignment wrapText="1"/>
    </xf>
    <xf numFmtId="167" fontId="4" fillId="0" borderId="0" xfId="0" applyNumberFormat="1" applyFont="1"/>
    <xf numFmtId="37" fontId="4" fillId="32" borderId="0" xfId="0" applyFont="1" applyFill="1"/>
    <xf numFmtId="0" fontId="17" fillId="0" borderId="0" xfId="241" applyFont="1" applyAlignment="1">
      <alignment horizontal="center"/>
    </xf>
    <xf numFmtId="43" fontId="23" fillId="0" borderId="0" xfId="241" applyNumberFormat="1" applyFont="1" applyAlignment="1">
      <alignment horizontal="center"/>
    </xf>
    <xf numFmtId="0" fontId="18" fillId="0" borderId="0" xfId="241" applyFont="1" applyAlignment="1">
      <alignment horizontal="center"/>
    </xf>
    <xf numFmtId="42" fontId="4" fillId="0" borderId="0" xfId="241" applyNumberFormat="1" applyFont="1"/>
    <xf numFmtId="42" fontId="4" fillId="0" borderId="24" xfId="241" applyNumberFormat="1" applyFont="1" applyBorder="1"/>
    <xf numFmtId="14" fontId="18" fillId="0" borderId="0" xfId="241" applyNumberFormat="1" applyFont="1" applyAlignment="1">
      <alignment horizontal="center"/>
    </xf>
    <xf numFmtId="37" fontId="4" fillId="0" borderId="0" xfId="0" applyFont="1" applyAlignment="1">
      <alignment horizontal="justify" vertical="center"/>
    </xf>
    <xf numFmtId="37" fontId="4" fillId="0" borderId="0" xfId="0" applyFont="1" applyAlignment="1">
      <alignment vertical="center"/>
    </xf>
    <xf numFmtId="37" fontId="25" fillId="0" borderId="0" xfId="0" applyFont="1"/>
    <xf numFmtId="37" fontId="26" fillId="0" borderId="0" xfId="0" applyFont="1"/>
    <xf numFmtId="37" fontId="17" fillId="0" borderId="0" xfId="0" applyFont="1" applyAlignment="1">
      <alignment horizontal="right"/>
    </xf>
    <xf numFmtId="37" fontId="31" fillId="0" borderId="0" xfId="0" applyFont="1"/>
    <xf numFmtId="14" fontId="93" fillId="0" borderId="0" xfId="283" applyNumberFormat="1"/>
    <xf numFmtId="0" fontId="5" fillId="0" borderId="0" xfId="283" applyFont="1"/>
    <xf numFmtId="175" fontId="4" fillId="0" borderId="0" xfId="78" applyNumberFormat="1" applyFont="1" applyFill="1"/>
    <xf numFmtId="37" fontId="0" fillId="0" borderId="0" xfId="0" applyAlignment="1">
      <alignment wrapText="1"/>
    </xf>
    <xf numFmtId="0" fontId="94" fillId="0" borderId="0" xfId="320" applyFont="1" applyAlignment="1">
      <alignment vertical="top"/>
    </xf>
    <xf numFmtId="175" fontId="28" fillId="0" borderId="0" xfId="78" applyNumberFormat="1" applyFont="1" applyAlignment="1">
      <alignment horizontal="center"/>
    </xf>
    <xf numFmtId="0" fontId="94" fillId="0" borderId="0" xfId="195" applyFont="1"/>
    <xf numFmtId="0" fontId="94" fillId="0" borderId="0" xfId="195" applyFont="1" applyAlignment="1">
      <alignment horizontal="center"/>
    </xf>
    <xf numFmtId="43" fontId="0" fillId="0" borderId="0" xfId="101" applyFont="1"/>
    <xf numFmtId="0" fontId="94" fillId="0" borderId="0" xfId="195" applyFont="1" applyAlignment="1">
      <alignment horizontal="left" vertical="center" wrapText="1"/>
    </xf>
    <xf numFmtId="43" fontId="93" fillId="0" borderId="2" xfId="283" applyNumberFormat="1" applyBorder="1"/>
    <xf numFmtId="0" fontId="94" fillId="0" borderId="0" xfId="320" applyFont="1"/>
    <xf numFmtId="37" fontId="95" fillId="0" borderId="0" xfId="0" applyFont="1"/>
    <xf numFmtId="37" fontId="94" fillId="0" borderId="0" xfId="0" applyFont="1"/>
    <xf numFmtId="0" fontId="95" fillId="0" borderId="0" xfId="320" applyFont="1" applyAlignment="1">
      <alignment horizontal="right"/>
    </xf>
    <xf numFmtId="0" fontId="95" fillId="0" borderId="0" xfId="320" applyFont="1"/>
    <xf numFmtId="37" fontId="95" fillId="0" borderId="0" xfId="0" applyFont="1" applyAlignment="1">
      <alignment horizontal="center"/>
    </xf>
    <xf numFmtId="37" fontId="96" fillId="0" borderId="0" xfId="0" applyFont="1"/>
    <xf numFmtId="37" fontId="97" fillId="0" borderId="0" xfId="0" applyFont="1" applyAlignment="1">
      <alignment horizontal="center"/>
    </xf>
    <xf numFmtId="37" fontId="97" fillId="0" borderId="0" xfId="0" applyFont="1"/>
    <xf numFmtId="37" fontId="97" fillId="0" borderId="23" xfId="0" applyFont="1" applyBorder="1" applyAlignment="1">
      <alignment horizontal="center"/>
    </xf>
    <xf numFmtId="37" fontId="98" fillId="0" borderId="0" xfId="0" applyFont="1"/>
    <xf numFmtId="37" fontId="96" fillId="0" borderId="0" xfId="0" applyFont="1" applyAlignment="1">
      <alignment horizontal="left" indent="1"/>
    </xf>
    <xf numFmtId="42" fontId="96" fillId="0" borderId="0" xfId="0" applyNumberFormat="1" applyFont="1"/>
    <xf numFmtId="41" fontId="96" fillId="0" borderId="0" xfId="0" applyNumberFormat="1" applyFont="1"/>
    <xf numFmtId="41" fontId="96" fillId="0" borderId="23" xfId="0" applyNumberFormat="1" applyFont="1" applyBorder="1"/>
    <xf numFmtId="41" fontId="96" fillId="0" borderId="31" xfId="0" applyNumberFormat="1" applyFont="1" applyBorder="1"/>
    <xf numFmtId="41" fontId="99" fillId="0" borderId="0" xfId="0" applyNumberFormat="1" applyFont="1"/>
    <xf numFmtId="41" fontId="96" fillId="0" borderId="32" xfId="0" applyNumberFormat="1" applyFont="1" applyBorder="1"/>
    <xf numFmtId="42" fontId="96" fillId="0" borderId="24" xfId="0" applyNumberFormat="1" applyFont="1" applyBorder="1"/>
    <xf numFmtId="0" fontId="100" fillId="0" borderId="0" xfId="320" applyFont="1" applyAlignment="1">
      <alignment horizontal="center" vertical="top"/>
    </xf>
    <xf numFmtId="0" fontId="94" fillId="0" borderId="0" xfId="320" applyFont="1" applyAlignment="1">
      <alignment vertical="top" wrapText="1"/>
    </xf>
    <xf numFmtId="0" fontId="95" fillId="0" borderId="0" xfId="320" applyFont="1" applyAlignment="1">
      <alignment vertical="top"/>
    </xf>
    <xf numFmtId="0" fontId="97" fillId="0" borderId="0" xfId="320" applyFont="1"/>
    <xf numFmtId="175" fontId="94" fillId="0" borderId="0" xfId="78" applyNumberFormat="1" applyFont="1" applyFill="1"/>
    <xf numFmtId="49" fontId="94" fillId="0" borderId="0" xfId="320" applyNumberFormat="1" applyFont="1" applyAlignment="1">
      <alignment horizontal="center"/>
    </xf>
    <xf numFmtId="49" fontId="97" fillId="0" borderId="0" xfId="320" applyNumberFormat="1" applyFont="1" applyAlignment="1">
      <alignment horizontal="center" wrapText="1"/>
    </xf>
    <xf numFmtId="49" fontId="94" fillId="0" borderId="0" xfId="0" applyNumberFormat="1" applyFont="1"/>
    <xf numFmtId="49" fontId="97" fillId="0" borderId="0" xfId="0" applyNumberFormat="1" applyFont="1" applyAlignment="1">
      <alignment horizontal="center"/>
    </xf>
    <xf numFmtId="49" fontId="97" fillId="0" borderId="0" xfId="320" applyNumberFormat="1" applyFont="1"/>
    <xf numFmtId="49" fontId="94" fillId="0" borderId="0" xfId="320" applyNumberFormat="1" applyFont="1"/>
    <xf numFmtId="49" fontId="97" fillId="0" borderId="23" xfId="0" applyNumberFormat="1" applyFont="1" applyBorder="1" applyAlignment="1">
      <alignment horizontal="center"/>
    </xf>
    <xf numFmtId="49" fontId="97" fillId="0" borderId="0" xfId="0" applyNumberFormat="1" applyFont="1"/>
    <xf numFmtId="41" fontId="96" fillId="0" borderId="5" xfId="0" applyNumberFormat="1" applyFont="1" applyBorder="1"/>
    <xf numFmtId="41" fontId="94" fillId="0" borderId="0" xfId="320" applyNumberFormat="1" applyFont="1"/>
    <xf numFmtId="37" fontId="101" fillId="0" borderId="0" xfId="0" applyFont="1" applyAlignment="1">
      <alignment horizontal="center"/>
    </xf>
    <xf numFmtId="37" fontId="101" fillId="0" borderId="0" xfId="0" applyFont="1"/>
    <xf numFmtId="37" fontId="95" fillId="0" borderId="0" xfId="241" applyNumberFormat="1" applyFont="1" applyAlignment="1">
      <alignment horizontal="left"/>
    </xf>
    <xf numFmtId="0" fontId="94" fillId="0" borderId="0" xfId="241" applyFont="1"/>
    <xf numFmtId="0" fontId="95" fillId="0" borderId="0" xfId="241" applyFont="1" applyAlignment="1">
      <alignment horizontal="center"/>
    </xf>
    <xf numFmtId="14" fontId="102" fillId="0" borderId="0" xfId="283" applyNumberFormat="1" applyFont="1"/>
    <xf numFmtId="43" fontId="96" fillId="0" borderId="0" xfId="268" applyNumberFormat="1" applyFont="1"/>
    <xf numFmtId="0" fontId="102" fillId="0" borderId="0" xfId="283" applyFont="1" applyAlignment="1">
      <alignment vertical="top"/>
    </xf>
    <xf numFmtId="43" fontId="102" fillId="0" borderId="0" xfId="283" applyNumberFormat="1" applyFont="1" applyAlignment="1">
      <alignment vertical="top"/>
    </xf>
    <xf numFmtId="43" fontId="102" fillId="0" borderId="0" xfId="283" applyNumberFormat="1" applyFont="1" applyAlignment="1">
      <alignment vertical="center"/>
    </xf>
    <xf numFmtId="49" fontId="102" fillId="0" borderId="0" xfId="283" applyNumberFormat="1" applyFont="1" applyAlignment="1">
      <alignment horizontal="justify" vertical="top" wrapText="1"/>
    </xf>
    <xf numFmtId="43" fontId="93" fillId="0" borderId="0" xfId="283" applyNumberFormat="1" applyAlignment="1">
      <alignment horizontal="center"/>
    </xf>
    <xf numFmtId="44" fontId="102" fillId="0" borderId="0" xfId="283" applyNumberFormat="1" applyFont="1" applyAlignment="1">
      <alignment vertical="center"/>
    </xf>
    <xf numFmtId="37" fontId="103" fillId="0" borderId="0" xfId="0" applyFont="1"/>
    <xf numFmtId="43" fontId="95" fillId="0" borderId="0" xfId="283" applyNumberFormat="1" applyFont="1"/>
    <xf numFmtId="44" fontId="102" fillId="0" borderId="0" xfId="283" applyNumberFormat="1" applyFont="1" applyAlignment="1">
      <alignment vertical="top"/>
    </xf>
    <xf numFmtId="43" fontId="93" fillId="0" borderId="0" xfId="283" applyNumberFormat="1" applyAlignment="1">
      <alignment horizontal="left" wrapText="1"/>
    </xf>
    <xf numFmtId="49" fontId="103" fillId="0" borderId="0" xfId="0" applyNumberFormat="1" applyFont="1" applyAlignment="1">
      <alignment horizontal="center" vertical="top" wrapText="1"/>
    </xf>
    <xf numFmtId="49" fontId="96" fillId="0" borderId="0" xfId="268" applyNumberFormat="1" applyFont="1" applyAlignment="1">
      <alignment horizontal="center"/>
    </xf>
    <xf numFmtId="43" fontId="94" fillId="0" borderId="0" xfId="78" applyFont="1"/>
    <xf numFmtId="9" fontId="4" fillId="0" borderId="0" xfId="325" applyFont="1" applyFill="1"/>
    <xf numFmtId="44" fontId="14" fillId="0" borderId="0" xfId="308" applyNumberFormat="1" applyFont="1"/>
    <xf numFmtId="49" fontId="0" fillId="0" borderId="0" xfId="0" applyNumberFormat="1"/>
    <xf numFmtId="49" fontId="104" fillId="0" borderId="0" xfId="0" applyNumberFormat="1" applyFont="1" applyAlignment="1">
      <alignment horizontal="right"/>
    </xf>
    <xf numFmtId="183" fontId="105" fillId="0" borderId="0" xfId="0" applyNumberFormat="1" applyFont="1" applyAlignment="1">
      <alignment horizontal="right"/>
    </xf>
    <xf numFmtId="49" fontId="106" fillId="0" borderId="0" xfId="0" applyNumberFormat="1" applyFont="1"/>
    <xf numFmtId="49" fontId="106" fillId="0" borderId="0" xfId="0" applyNumberFormat="1" applyFont="1" applyAlignment="1">
      <alignment horizontal="center"/>
    </xf>
    <xf numFmtId="49" fontId="106" fillId="0" borderId="34" xfId="0" applyNumberFormat="1" applyFont="1" applyBorder="1" applyAlignment="1">
      <alignment horizontal="center"/>
    </xf>
    <xf numFmtId="40" fontId="106" fillId="0" borderId="0" xfId="0" applyNumberFormat="1" applyFont="1"/>
    <xf numFmtId="40" fontId="106" fillId="0" borderId="35" xfId="0" applyNumberFormat="1" applyFont="1" applyBorder="1"/>
    <xf numFmtId="40" fontId="106" fillId="0" borderId="17" xfId="0" applyNumberFormat="1" applyFont="1" applyBorder="1"/>
    <xf numFmtId="40" fontId="106" fillId="0" borderId="6" xfId="0" applyNumberFormat="1" applyFont="1" applyBorder="1"/>
    <xf numFmtId="40" fontId="106" fillId="0" borderId="36" xfId="0" applyNumberFormat="1" applyFont="1" applyBorder="1"/>
    <xf numFmtId="41" fontId="14" fillId="0" borderId="31" xfId="0" applyNumberFormat="1" applyFont="1" applyBorder="1"/>
    <xf numFmtId="37" fontId="3" fillId="0" borderId="0" xfId="0" applyFont="1"/>
    <xf numFmtId="49" fontId="102" fillId="0" borderId="0" xfId="283" applyNumberFormat="1" applyFont="1" applyAlignment="1">
      <alignment vertical="top"/>
    </xf>
    <xf numFmtId="49" fontId="102" fillId="0" borderId="0" xfId="283" applyNumberFormat="1" applyFont="1" applyAlignment="1">
      <alignment vertical="top" wrapText="1"/>
    </xf>
    <xf numFmtId="43" fontId="102" fillId="0" borderId="33" xfId="283" applyNumberFormat="1" applyFont="1" applyBorder="1" applyAlignment="1">
      <alignment vertical="top"/>
    </xf>
    <xf numFmtId="0" fontId="94" fillId="0" borderId="0" xfId="320" applyFont="1" applyAlignment="1">
      <alignment horizontal="justify" vertical="top" wrapText="1"/>
    </xf>
    <xf numFmtId="37" fontId="95" fillId="0" borderId="0" xfId="320" applyNumberFormat="1" applyFont="1" applyAlignment="1">
      <alignment horizontal="center" vertical="top"/>
    </xf>
    <xf numFmtId="0" fontId="95" fillId="0" borderId="0" xfId="320" applyFont="1" applyAlignment="1">
      <alignment horizontal="center" vertical="top"/>
    </xf>
    <xf numFmtId="43" fontId="94" fillId="0" borderId="0" xfId="78" applyFont="1" applyFill="1" applyBorder="1"/>
    <xf numFmtId="39" fontId="94" fillId="0" borderId="0" xfId="78" applyNumberFormat="1" applyFont="1" applyFill="1" applyBorder="1"/>
    <xf numFmtId="175" fontId="94" fillId="0" borderId="0" xfId="78" applyNumberFormat="1" applyFont="1" applyFill="1" applyBorder="1"/>
    <xf numFmtId="175" fontId="94" fillId="0" borderId="0" xfId="320" applyNumberFormat="1" applyFont="1"/>
    <xf numFmtId="0" fontId="94" fillId="0" borderId="0" xfId="320" applyFont="1" applyAlignment="1">
      <alignment wrapText="1"/>
    </xf>
    <xf numFmtId="37" fontId="107" fillId="0" borderId="0" xfId="0" applyFont="1"/>
    <xf numFmtId="43" fontId="0" fillId="0" borderId="0" xfId="101" applyFont="1" applyBorder="1"/>
    <xf numFmtId="37" fontId="0" fillId="0" borderId="0" xfId="0" applyAlignment="1">
      <alignment vertical="top" wrapText="1"/>
    </xf>
    <xf numFmtId="37" fontId="0" fillId="0" borderId="0" xfId="0" applyAlignment="1">
      <alignment vertical="top"/>
    </xf>
    <xf numFmtId="43" fontId="0" fillId="0" borderId="0" xfId="101" applyFont="1" applyBorder="1" applyAlignment="1">
      <alignment vertical="top"/>
    </xf>
    <xf numFmtId="0" fontId="15" fillId="0" borderId="0" xfId="320" applyFont="1" applyAlignment="1">
      <alignment vertical="top"/>
    </xf>
    <xf numFmtId="0" fontId="100" fillId="0" borderId="0" xfId="320" applyFont="1" applyAlignment="1">
      <alignment vertical="top"/>
    </xf>
    <xf numFmtId="37" fontId="5" fillId="0" borderId="0" xfId="320" applyNumberFormat="1" applyFont="1" applyAlignment="1">
      <alignment horizontal="center" vertical="top"/>
    </xf>
    <xf numFmtId="37" fontId="95" fillId="0" borderId="0" xfId="222" applyNumberFormat="1" applyFont="1" applyAlignment="1">
      <alignment horizontal="center"/>
    </xf>
    <xf numFmtId="37" fontId="27" fillId="0" borderId="0" xfId="0" applyFont="1" applyAlignment="1">
      <alignment horizontal="center"/>
    </xf>
    <xf numFmtId="37" fontId="26" fillId="0" borderId="5" xfId="0" applyFont="1" applyBorder="1" applyAlignment="1">
      <alignment horizontal="center"/>
    </xf>
    <xf numFmtId="175" fontId="26" fillId="0" borderId="0" xfId="78" applyNumberFormat="1" applyFont="1"/>
    <xf numFmtId="175" fontId="4" fillId="0" borderId="0" xfId="78" applyNumberFormat="1" applyFont="1"/>
    <xf numFmtId="37" fontId="17" fillId="0" borderId="0" xfId="0" applyFont="1" applyAlignment="1">
      <alignment horizontal="center"/>
    </xf>
    <xf numFmtId="37" fontId="22" fillId="0" borderId="0" xfId="0" applyFont="1"/>
    <xf numFmtId="175" fontId="14" fillId="0" borderId="0" xfId="78" applyNumberFormat="1" applyFont="1" applyFill="1"/>
    <xf numFmtId="175" fontId="14" fillId="0" borderId="0" xfId="78" applyNumberFormat="1" applyFont="1"/>
    <xf numFmtId="175" fontId="17" fillId="0" borderId="7" xfId="78" applyNumberFormat="1" applyFont="1" applyFill="1" applyBorder="1"/>
    <xf numFmtId="175" fontId="17" fillId="0" borderId="7" xfId="78" applyNumberFormat="1" applyFont="1" applyBorder="1"/>
    <xf numFmtId="9" fontId="14" fillId="0" borderId="0" xfId="325" applyFont="1" applyFill="1"/>
    <xf numFmtId="43" fontId="14" fillId="0" borderId="0" xfId="78" applyFont="1" applyFill="1"/>
    <xf numFmtId="175" fontId="14" fillId="0" borderId="0" xfId="92" applyNumberFormat="1" applyFont="1" applyFill="1"/>
    <xf numFmtId="175" fontId="14" fillId="0" borderId="0" xfId="78" applyNumberFormat="1" applyFont="1" applyFill="1" applyBorder="1"/>
    <xf numFmtId="0" fontId="96" fillId="0" borderId="0" xfId="320" applyFont="1" applyAlignment="1">
      <alignment vertical="top"/>
    </xf>
    <xf numFmtId="0" fontId="14" fillId="0" borderId="0" xfId="320" applyFont="1" applyAlignment="1">
      <alignment horizontal="left" vertical="top"/>
    </xf>
    <xf numFmtId="0" fontId="14" fillId="0" borderId="0" xfId="320" applyFont="1" applyAlignment="1">
      <alignment vertical="top"/>
    </xf>
    <xf numFmtId="0" fontId="14" fillId="0" borderId="0" xfId="320" applyFont="1" applyAlignment="1">
      <alignment horizontal="justify" vertical="top" wrapText="1"/>
    </xf>
    <xf numFmtId="0" fontId="14" fillId="0" borderId="0" xfId="320" applyFont="1" applyAlignment="1">
      <alignment horizontal="center" vertical="top" wrapText="1"/>
    </xf>
    <xf numFmtId="10" fontId="14" fillId="0" borderId="0" xfId="320" applyNumberFormat="1" applyFont="1" applyAlignment="1">
      <alignment horizontal="right" vertical="top"/>
    </xf>
    <xf numFmtId="0" fontId="14" fillId="0" borderId="0" xfId="320" applyFont="1"/>
    <xf numFmtId="43" fontId="14" fillId="0" borderId="0" xfId="320" applyNumberFormat="1" applyFont="1"/>
    <xf numFmtId="0" fontId="96" fillId="0" borderId="0" xfId="320" applyFont="1" applyAlignment="1">
      <alignment vertical="top" wrapText="1"/>
    </xf>
    <xf numFmtId="0" fontId="96" fillId="0" borderId="0" xfId="320" applyFont="1" applyAlignment="1">
      <alignment horizontal="justify" vertical="top" wrapText="1"/>
    </xf>
    <xf numFmtId="43" fontId="96" fillId="0" borderId="0" xfId="320" applyNumberFormat="1" applyFont="1"/>
    <xf numFmtId="0" fontId="96" fillId="0" borderId="0" xfId="320" applyFont="1"/>
    <xf numFmtId="49" fontId="105" fillId="0" borderId="0" xfId="0" applyNumberFormat="1" applyFont="1" applyAlignment="1">
      <alignment horizontal="centerContinuous"/>
    </xf>
    <xf numFmtId="49" fontId="106" fillId="0" borderId="0" xfId="0" applyNumberFormat="1" applyFont="1" applyAlignment="1">
      <alignment horizontal="centerContinuous"/>
    </xf>
    <xf numFmtId="49" fontId="109" fillId="0" borderId="0" xfId="0" applyNumberFormat="1" applyFont="1" applyAlignment="1">
      <alignment horizontal="centerContinuous"/>
    </xf>
    <xf numFmtId="49" fontId="106" fillId="0" borderId="37" xfId="0" applyNumberFormat="1" applyFont="1" applyBorder="1" applyAlignment="1">
      <alignment horizontal="center"/>
    </xf>
    <xf numFmtId="37" fontId="0" fillId="0" borderId="0" xfId="0" applyAlignment="1">
      <alignment horizontal="center"/>
    </xf>
    <xf numFmtId="37" fontId="106" fillId="0" borderId="0" xfId="0" applyFont="1"/>
    <xf numFmtId="0" fontId="106" fillId="0" borderId="0" xfId="0" applyNumberFormat="1" applyFont="1"/>
    <xf numFmtId="0" fontId="0" fillId="0" borderId="0" xfId="0" applyNumberFormat="1"/>
    <xf numFmtId="49" fontId="0" fillId="0" borderId="0" xfId="0" applyNumberFormat="1" applyAlignment="1">
      <alignment horizontal="centerContinuous"/>
    </xf>
    <xf numFmtId="41" fontId="18" fillId="0" borderId="0" xfId="0" applyNumberFormat="1" applyFont="1" applyAlignment="1">
      <alignment horizontal="center" vertical="center"/>
    </xf>
    <xf numFmtId="41" fontId="17" fillId="0" borderId="0" xfId="0" applyNumberFormat="1" applyFont="1" applyAlignment="1">
      <alignment horizontal="center" vertical="center"/>
    </xf>
    <xf numFmtId="41" fontId="14" fillId="0" borderId="5" xfId="0" applyNumberFormat="1" applyFont="1" applyBorder="1"/>
    <xf numFmtId="43" fontId="95" fillId="0" borderId="0" xfId="283" applyNumberFormat="1" applyFont="1" applyAlignment="1">
      <alignment horizontal="center"/>
    </xf>
    <xf numFmtId="0" fontId="17" fillId="0" borderId="0" xfId="241" applyFont="1" applyAlignment="1">
      <alignment horizontal="center" vertical="center"/>
    </xf>
    <xf numFmtId="0" fontId="17" fillId="0" borderId="0" xfId="241" applyFont="1" applyAlignment="1">
      <alignment vertical="center"/>
    </xf>
    <xf numFmtId="43" fontId="17" fillId="0" borderId="0" xfId="241" applyNumberFormat="1" applyFont="1" applyAlignment="1">
      <alignment vertical="center"/>
    </xf>
    <xf numFmtId="0" fontId="18" fillId="0" borderId="0" xfId="241" applyFont="1" applyAlignment="1">
      <alignment horizontal="center" vertical="center"/>
    </xf>
    <xf numFmtId="43" fontId="23" fillId="0" borderId="0" xfId="241" applyNumberFormat="1" applyFont="1" applyAlignment="1">
      <alignment horizontal="center" vertical="center"/>
    </xf>
    <xf numFmtId="176" fontId="4" fillId="0" borderId="0" xfId="283" applyNumberFormat="1" applyFont="1"/>
    <xf numFmtId="0" fontId="5" fillId="0" borderId="0" xfId="308" applyFont="1" applyAlignment="1">
      <alignment horizontal="right"/>
    </xf>
    <xf numFmtId="44" fontId="4" fillId="0" borderId="33" xfId="129" applyFont="1" applyFill="1" applyBorder="1" applyProtection="1"/>
    <xf numFmtId="44" fontId="4" fillId="0" borderId="2" xfId="129" applyFont="1" applyFill="1" applyBorder="1" applyProtection="1"/>
    <xf numFmtId="44" fontId="10" fillId="0" borderId="0" xfId="308" applyNumberFormat="1" applyFont="1"/>
    <xf numFmtId="44" fontId="10" fillId="0" borderId="24" xfId="308" applyNumberFormat="1" applyFont="1" applyBorder="1"/>
    <xf numFmtId="44" fontId="4" fillId="0" borderId="0" xfId="129" applyFont="1" applyFill="1" applyBorder="1" applyProtection="1"/>
    <xf numFmtId="175" fontId="2" fillId="0" borderId="0" xfId="78" applyNumberFormat="1" applyFont="1" applyBorder="1"/>
    <xf numFmtId="43" fontId="14" fillId="0" borderId="0" xfId="78" applyFont="1" applyFill="1" applyAlignment="1">
      <alignment horizontal="justify" vertical="top" wrapText="1"/>
    </xf>
    <xf numFmtId="0" fontId="98" fillId="0" borderId="0" xfId="320" applyFont="1" applyAlignment="1">
      <alignment vertical="top"/>
    </xf>
    <xf numFmtId="0" fontId="17" fillId="0" borderId="0" xfId="320" applyFont="1" applyAlignment="1">
      <alignment vertical="top"/>
    </xf>
    <xf numFmtId="43" fontId="17" fillId="0" borderId="33" xfId="78" applyFont="1" applyFill="1" applyBorder="1"/>
    <xf numFmtId="43" fontId="4" fillId="0" borderId="0" xfId="195" applyNumberFormat="1" applyFont="1"/>
    <xf numFmtId="173" fontId="4" fillId="0" borderId="0" xfId="328" applyNumberFormat="1" applyFont="1" applyFill="1"/>
    <xf numFmtId="175" fontId="14" fillId="0" borderId="5" xfId="78" applyNumberFormat="1" applyFont="1" applyFill="1" applyBorder="1"/>
    <xf numFmtId="41" fontId="111" fillId="0" borderId="0" xfId="0" applyNumberFormat="1" applyFont="1" applyAlignment="1">
      <alignment horizontal="center"/>
    </xf>
    <xf numFmtId="37" fontId="112" fillId="0" borderId="0" xfId="0" applyFont="1"/>
    <xf numFmtId="0" fontId="113" fillId="0" borderId="0" xfId="283" applyFont="1"/>
    <xf numFmtId="181" fontId="4" fillId="0" borderId="0" xfId="241" applyNumberFormat="1" applyFont="1"/>
    <xf numFmtId="37" fontId="95" fillId="0" borderId="0" xfId="242" applyNumberFormat="1" applyFont="1"/>
    <xf numFmtId="175" fontId="17" fillId="0" borderId="0" xfId="78" applyNumberFormat="1" applyFont="1" applyFill="1"/>
    <xf numFmtId="175" fontId="17" fillId="0" borderId="0" xfId="78" applyNumberFormat="1" applyFont="1" applyFill="1" applyBorder="1"/>
    <xf numFmtId="175" fontId="17" fillId="0" borderId="0" xfId="92" applyNumberFormat="1" applyFont="1" applyFill="1" applyAlignment="1">
      <alignment horizontal="left"/>
    </xf>
    <xf numFmtId="175" fontId="17" fillId="0" borderId="0" xfId="92" applyNumberFormat="1" applyFont="1" applyFill="1"/>
    <xf numFmtId="175" fontId="14" fillId="0" borderId="0" xfId="92" applyNumberFormat="1" applyFont="1" applyFill="1" applyAlignment="1">
      <alignment horizontal="left"/>
    </xf>
    <xf numFmtId="175" fontId="17" fillId="0" borderId="0" xfId="92" applyNumberFormat="1" applyFont="1" applyFill="1" applyAlignment="1">
      <alignment horizontal="right"/>
    </xf>
    <xf numFmtId="37" fontId="103" fillId="0" borderId="0" xfId="0" applyFont="1" applyAlignment="1">
      <alignment horizontal="justify" vertical="top" wrapText="1"/>
    </xf>
    <xf numFmtId="10" fontId="4" fillId="0" borderId="0" xfId="325" applyNumberFormat="1" applyFont="1" applyFill="1"/>
    <xf numFmtId="37" fontId="15" fillId="0" borderId="0" xfId="241" applyNumberFormat="1" applyFont="1" applyAlignment="1">
      <alignment horizontal="center"/>
    </xf>
    <xf numFmtId="41" fontId="4" fillId="0" borderId="0" xfId="0" applyNumberFormat="1" applyFont="1"/>
    <xf numFmtId="0" fontId="4" fillId="0" borderId="0" xfId="0" applyNumberFormat="1" applyFont="1"/>
    <xf numFmtId="41" fontId="4" fillId="0" borderId="24" xfId="0" applyNumberFormat="1" applyFont="1" applyBorder="1"/>
    <xf numFmtId="41" fontId="4" fillId="0" borderId="0" xfId="0" applyNumberFormat="1" applyFont="1" applyAlignment="1">
      <alignment horizontal="center"/>
    </xf>
    <xf numFmtId="41" fontId="4" fillId="0" borderId="23" xfId="0" applyNumberFormat="1" applyFont="1" applyBorder="1"/>
    <xf numFmtId="37" fontId="4" fillId="0" borderId="0" xfId="0" applyFont="1" applyAlignment="1">
      <alignment horizontal="left" indent="1"/>
    </xf>
    <xf numFmtId="43" fontId="4" fillId="0" borderId="0" xfId="0" applyNumberFormat="1" applyFont="1"/>
    <xf numFmtId="37" fontId="5" fillId="0" borderId="0" xfId="0" applyFont="1" applyAlignment="1">
      <alignment horizontal="left" indent="1"/>
    </xf>
    <xf numFmtId="37" fontId="114" fillId="0" borderId="0" xfId="0" applyFont="1" applyAlignment="1">
      <alignment horizontal="center"/>
    </xf>
    <xf numFmtId="10" fontId="114" fillId="0" borderId="0" xfId="0" applyNumberFormat="1" applyFont="1" applyAlignment="1">
      <alignment horizontal="center"/>
    </xf>
    <xf numFmtId="185" fontId="114" fillId="0" borderId="0" xfId="0" applyNumberFormat="1" applyFont="1" applyAlignment="1">
      <alignment horizontal="center"/>
    </xf>
    <xf numFmtId="185" fontId="114" fillId="0" borderId="0" xfId="0" quotePrefix="1" applyNumberFormat="1" applyFont="1" applyAlignment="1">
      <alignment horizontal="center"/>
    </xf>
    <xf numFmtId="14" fontId="5" fillId="0" borderId="0" xfId="0" applyNumberFormat="1" applyFont="1" applyAlignment="1">
      <alignment horizontal="center"/>
    </xf>
    <xf numFmtId="14" fontId="5" fillId="0" borderId="0" xfId="0" applyNumberFormat="1" applyFont="1" applyAlignment="1">
      <alignment horizontal="center" vertical="center"/>
    </xf>
    <xf numFmtId="0" fontId="115" fillId="0" borderId="0" xfId="241" applyFont="1" applyAlignment="1">
      <alignment horizontal="center"/>
    </xf>
    <xf numFmtId="37" fontId="4" fillId="0" borderId="0" xfId="0" quotePrefix="1" applyFont="1" applyAlignment="1">
      <alignment horizontal="center"/>
    </xf>
    <xf numFmtId="0" fontId="15" fillId="0" borderId="0" xfId="241" applyFont="1" applyAlignment="1">
      <alignment horizontal="center"/>
    </xf>
    <xf numFmtId="0" fontId="5" fillId="0" borderId="0" xfId="241" applyFont="1" applyAlignment="1">
      <alignment horizontal="left"/>
    </xf>
    <xf numFmtId="43" fontId="4" fillId="0" borderId="0" xfId="92" applyFont="1" applyFill="1"/>
    <xf numFmtId="37" fontId="4" fillId="0" borderId="0" xfId="0" applyFont="1" applyAlignment="1">
      <alignment horizontal="right"/>
    </xf>
    <xf numFmtId="43" fontId="4" fillId="0" borderId="0" xfId="92" applyFont="1" applyFill="1" applyAlignment="1">
      <alignment horizontal="center"/>
    </xf>
    <xf numFmtId="9" fontId="4" fillId="0" borderId="0" xfId="0" applyNumberFormat="1" applyFont="1"/>
    <xf numFmtId="49" fontId="4" fillId="0" borderId="0" xfId="0" applyNumberFormat="1" applyFont="1" applyAlignment="1">
      <alignment vertical="top"/>
    </xf>
    <xf numFmtId="43" fontId="4" fillId="0" borderId="0" xfId="0" applyNumberFormat="1" applyFont="1" applyAlignment="1">
      <alignment horizontal="center"/>
    </xf>
    <xf numFmtId="41" fontId="4" fillId="0" borderId="7" xfId="0" applyNumberFormat="1" applyFont="1" applyBorder="1"/>
    <xf numFmtId="175" fontId="4" fillId="0" borderId="0" xfId="92" applyNumberFormat="1" applyFont="1" applyFill="1" applyAlignment="1">
      <alignment horizontal="center"/>
    </xf>
    <xf numFmtId="166" fontId="4" fillId="0" borderId="0" xfId="0" applyNumberFormat="1" applyFont="1"/>
    <xf numFmtId="39" fontId="4" fillId="0" borderId="0" xfId="0" applyNumberFormat="1" applyFont="1"/>
    <xf numFmtId="186" fontId="4" fillId="0" borderId="0" xfId="0" applyNumberFormat="1" applyFont="1"/>
    <xf numFmtId="187" fontId="4" fillId="0" borderId="0" xfId="92" applyNumberFormat="1" applyFont="1" applyFill="1"/>
    <xf numFmtId="14" fontId="4" fillId="0" borderId="0" xfId="0" applyNumberFormat="1" applyFont="1" applyAlignment="1">
      <alignment horizontal="center"/>
    </xf>
    <xf numFmtId="37" fontId="5" fillId="0" borderId="23" xfId="0" applyFont="1" applyBorder="1" applyAlignment="1">
      <alignment horizontal="center"/>
    </xf>
    <xf numFmtId="9" fontId="5" fillId="0" borderId="0" xfId="0" applyNumberFormat="1" applyFont="1" applyAlignment="1">
      <alignment horizontal="center"/>
    </xf>
    <xf numFmtId="0" fontId="5" fillId="0" borderId="0" xfId="0" applyNumberFormat="1" applyFont="1" applyAlignment="1">
      <alignment horizontal="center"/>
    </xf>
    <xf numFmtId="49" fontId="5" fillId="0" borderId="0" xfId="0" applyNumberFormat="1" applyFont="1" applyAlignment="1">
      <alignment horizontal="center"/>
    </xf>
    <xf numFmtId="10" fontId="5" fillId="0" borderId="0" xfId="0" applyNumberFormat="1" applyFont="1"/>
    <xf numFmtId="37" fontId="5" fillId="0" borderId="0" xfId="0" quotePrefix="1" applyFont="1" applyAlignment="1">
      <alignment horizontal="center"/>
    </xf>
    <xf numFmtId="37" fontId="118" fillId="0" borderId="0" xfId="0" applyFont="1"/>
    <xf numFmtId="43" fontId="5" fillId="0" borderId="0" xfId="92" applyFont="1" applyFill="1" applyAlignment="1"/>
    <xf numFmtId="41" fontId="4" fillId="0" borderId="33" xfId="0" applyNumberFormat="1" applyFont="1" applyBorder="1"/>
    <xf numFmtId="41" fontId="119" fillId="0" borderId="0" xfId="0" applyNumberFormat="1" applyFont="1"/>
    <xf numFmtId="175" fontId="4" fillId="0" borderId="0" xfId="92" applyNumberFormat="1" applyFont="1" applyFill="1"/>
    <xf numFmtId="175" fontId="112" fillId="0" borderId="0" xfId="92" applyNumberFormat="1" applyFont="1" applyFill="1"/>
    <xf numFmtId="175" fontId="119" fillId="0" borderId="0" xfId="0" applyNumberFormat="1" applyFont="1"/>
    <xf numFmtId="0" fontId="5" fillId="0" borderId="23" xfId="0" applyNumberFormat="1" applyFont="1" applyBorder="1" applyAlignment="1">
      <alignment horizontal="center"/>
    </xf>
    <xf numFmtId="37" fontId="119" fillId="0" borderId="23" xfId="0" applyFont="1" applyBorder="1"/>
    <xf numFmtId="37" fontId="119" fillId="0" borderId="0" xfId="0" applyFont="1"/>
    <xf numFmtId="0" fontId="120" fillId="0" borderId="0" xfId="0" applyNumberFormat="1" applyFont="1"/>
    <xf numFmtId="14" fontId="5" fillId="0" borderId="0" xfId="0" quotePrefix="1" applyNumberFormat="1" applyFont="1" applyAlignment="1">
      <alignment horizontal="center" vertical="center"/>
    </xf>
    <xf numFmtId="0" fontId="4" fillId="0" borderId="0" xfId="0" applyNumberFormat="1" applyFont="1" applyAlignment="1">
      <alignment horizontal="center"/>
    </xf>
    <xf numFmtId="37" fontId="108" fillId="0" borderId="0" xfId="241" applyNumberFormat="1" applyFont="1" applyAlignment="1">
      <alignment horizontal="center"/>
    </xf>
    <xf numFmtId="37" fontId="95" fillId="0" borderId="0" xfId="241" applyNumberFormat="1" applyFont="1"/>
    <xf numFmtId="0" fontId="15" fillId="0" borderId="0" xfId="241" applyFont="1"/>
    <xf numFmtId="0" fontId="119" fillId="0" borderId="0" xfId="0" applyNumberFormat="1" applyFont="1"/>
    <xf numFmtId="37" fontId="15" fillId="0" borderId="0" xfId="241" applyNumberFormat="1" applyFont="1"/>
    <xf numFmtId="43" fontId="4" fillId="0" borderId="33" xfId="92" applyFont="1" applyFill="1" applyBorder="1"/>
    <xf numFmtId="43" fontId="4" fillId="0" borderId="2" xfId="92" applyFont="1" applyFill="1" applyBorder="1"/>
    <xf numFmtId="9" fontId="4" fillId="0" borderId="0" xfId="325" applyFont="1"/>
    <xf numFmtId="43" fontId="4" fillId="0" borderId="5" xfId="92" applyFont="1" applyFill="1" applyBorder="1"/>
    <xf numFmtId="43" fontId="4" fillId="0" borderId="0" xfId="92" applyFont="1"/>
    <xf numFmtId="43" fontId="14" fillId="0" borderId="0" xfId="320" applyNumberFormat="1" applyFont="1" applyAlignment="1">
      <alignment horizontal="left" vertical="top"/>
    </xf>
    <xf numFmtId="184" fontId="14" fillId="0" borderId="0" xfId="320" applyNumberFormat="1" applyFont="1"/>
    <xf numFmtId="0" fontId="17" fillId="0" borderId="0" xfId="320" applyFont="1" applyAlignment="1">
      <alignment horizontal="justify" vertical="top" wrapText="1"/>
    </xf>
    <xf numFmtId="43" fontId="17" fillId="0" borderId="33" xfId="78" applyFont="1" applyFill="1" applyBorder="1" applyAlignment="1">
      <alignment horizontal="right" vertical="top"/>
    </xf>
    <xf numFmtId="10" fontId="14" fillId="0" borderId="0" xfId="320" applyNumberFormat="1" applyFont="1"/>
    <xf numFmtId="0" fontId="97" fillId="0" borderId="0" xfId="320" applyFont="1" applyAlignment="1">
      <alignment horizontal="center"/>
    </xf>
    <xf numFmtId="43" fontId="96" fillId="0" borderId="0" xfId="320" applyNumberFormat="1" applyFont="1" applyAlignment="1">
      <alignment vertical="top"/>
    </xf>
    <xf numFmtId="43" fontId="98" fillId="0" borderId="0" xfId="320" applyNumberFormat="1" applyFont="1" applyAlignment="1">
      <alignment vertical="top"/>
    </xf>
    <xf numFmtId="43" fontId="96" fillId="0" borderId="5" xfId="320" applyNumberFormat="1" applyFont="1" applyBorder="1"/>
    <xf numFmtId="0" fontId="98" fillId="0" borderId="0" xfId="320" applyFont="1" applyAlignment="1">
      <alignment horizontal="justify" vertical="top" wrapText="1"/>
    </xf>
    <xf numFmtId="43" fontId="98" fillId="0" borderId="33" xfId="320" applyNumberFormat="1" applyFont="1" applyBorder="1"/>
    <xf numFmtId="41" fontId="96" fillId="0" borderId="7" xfId="0" applyNumberFormat="1" applyFont="1" applyBorder="1"/>
    <xf numFmtId="37" fontId="97" fillId="0" borderId="5" xfId="0" applyFont="1" applyBorder="1" applyAlignment="1">
      <alignment horizontal="center"/>
    </xf>
    <xf numFmtId="43" fontId="17" fillId="0" borderId="26" xfId="78" applyFont="1" applyBorder="1"/>
    <xf numFmtId="0" fontId="10" fillId="0" borderId="0" xfId="0" applyNumberFormat="1" applyFont="1"/>
    <xf numFmtId="37" fontId="112" fillId="0" borderId="0" xfId="0" applyFont="1" applyAlignment="1">
      <alignment horizontal="center"/>
    </xf>
    <xf numFmtId="37" fontId="10" fillId="0" borderId="0" xfId="0" applyFont="1" applyAlignment="1">
      <alignment horizontal="left"/>
    </xf>
    <xf numFmtId="43" fontId="4" fillId="0" borderId="0" xfId="78" applyFont="1"/>
    <xf numFmtId="10" fontId="4" fillId="0" borderId="0" xfId="0" applyNumberFormat="1" applyFont="1"/>
    <xf numFmtId="43" fontId="4" fillId="0" borderId="0" xfId="78" applyFont="1" applyFill="1"/>
    <xf numFmtId="37" fontId="95" fillId="0" borderId="0" xfId="241" applyNumberFormat="1" applyFont="1" applyAlignment="1">
      <alignment horizontal="center"/>
    </xf>
    <xf numFmtId="0" fontId="14" fillId="0" borderId="0" xfId="320" applyFont="1" applyAlignment="1">
      <alignment horizontal="left" vertical="top" wrapText="1"/>
    </xf>
    <xf numFmtId="37" fontId="107" fillId="0" borderId="41" xfId="0" applyFont="1" applyBorder="1" applyAlignment="1">
      <alignment horizontal="center" vertical="center"/>
    </xf>
    <xf numFmtId="37" fontId="122" fillId="0" borderId="41" xfId="0" applyFont="1" applyBorder="1" applyAlignment="1">
      <alignment horizontal="center" vertical="center" shrinkToFit="1" readingOrder="1"/>
    </xf>
    <xf numFmtId="49" fontId="122" fillId="0" borderId="41" xfId="0" applyNumberFormat="1" applyFont="1" applyBorder="1" applyAlignment="1">
      <alignment horizontal="center" vertical="center" shrinkToFit="1" readingOrder="1"/>
    </xf>
    <xf numFmtId="37" fontId="123" fillId="0" borderId="38" xfId="0" applyFont="1" applyBorder="1" applyAlignment="1">
      <alignment horizontal="center" vertical="center" shrinkToFit="1" readingOrder="1"/>
    </xf>
    <xf numFmtId="37" fontId="123" fillId="0" borderId="45" xfId="0" applyFont="1" applyBorder="1" applyAlignment="1">
      <alignment horizontal="center" vertical="center" shrinkToFit="1" readingOrder="1"/>
    </xf>
    <xf numFmtId="37" fontId="0" fillId="0" borderId="40" xfId="0" applyBorder="1"/>
    <xf numFmtId="37" fontId="0" fillId="0" borderId="13" xfId="0" applyBorder="1"/>
    <xf numFmtId="37" fontId="0" fillId="0" borderId="13" xfId="0" applyBorder="1" applyAlignment="1">
      <alignment horizontal="center"/>
    </xf>
    <xf numFmtId="37" fontId="124" fillId="39" borderId="39" xfId="0" applyFont="1" applyFill="1" applyBorder="1" applyAlignment="1">
      <alignment horizontal="center" vertical="center" shrinkToFit="1" readingOrder="1"/>
    </xf>
    <xf numFmtId="37" fontId="124" fillId="0" borderId="13" xfId="0" applyFont="1" applyBorder="1" applyAlignment="1">
      <alignment horizontal="center" vertical="center" shrinkToFit="1" readingOrder="1"/>
    </xf>
    <xf numFmtId="37" fontId="124" fillId="40" borderId="13" xfId="0" applyFont="1" applyFill="1" applyBorder="1" applyAlignment="1">
      <alignment horizontal="center" vertical="center" shrinkToFit="1" readingOrder="1"/>
    </xf>
    <xf numFmtId="37" fontId="124" fillId="0" borderId="48" xfId="0" applyFont="1" applyBorder="1" applyAlignment="1">
      <alignment horizontal="center" vertical="center" shrinkToFit="1" readingOrder="1"/>
    </xf>
    <xf numFmtId="37" fontId="0" fillId="0" borderId="38" xfId="0" applyBorder="1" applyAlignment="1">
      <alignment horizontal="center"/>
    </xf>
    <xf numFmtId="49" fontId="125" fillId="41" borderId="45" xfId="0" applyNumberFormat="1" applyFont="1" applyFill="1" applyBorder="1" applyAlignment="1">
      <alignment horizontal="left" vertical="center" shrinkToFit="1" readingOrder="1"/>
    </xf>
    <xf numFmtId="37" fontId="0" fillId="0" borderId="45" xfId="0" applyBorder="1" applyAlignment="1">
      <alignment horizontal="left"/>
    </xf>
    <xf numFmtId="37" fontId="0" fillId="39" borderId="45" xfId="0" applyFill="1" applyBorder="1" applyAlignment="1">
      <alignment horizontal="center"/>
    </xf>
    <xf numFmtId="37" fontId="0" fillId="0" borderId="45" xfId="0" applyBorder="1" applyAlignment="1">
      <alignment horizontal="center"/>
    </xf>
    <xf numFmtId="37" fontId="0" fillId="40" borderId="45" xfId="0" applyFill="1" applyBorder="1"/>
    <xf numFmtId="37" fontId="0" fillId="0" borderId="49" xfId="0" applyBorder="1"/>
    <xf numFmtId="37" fontId="0" fillId="0" borderId="40" xfId="0" applyBorder="1" applyAlignment="1">
      <alignment horizontal="center"/>
    </xf>
    <xf numFmtId="49" fontId="125" fillId="42" borderId="13" xfId="0" applyNumberFormat="1" applyFont="1" applyFill="1" applyBorder="1" applyAlignment="1">
      <alignment horizontal="left" vertical="center" shrinkToFit="1" readingOrder="1"/>
    </xf>
    <xf numFmtId="49" fontId="125" fillId="42" borderId="13" xfId="0" applyNumberFormat="1" applyFont="1" applyFill="1" applyBorder="1" applyAlignment="1">
      <alignment horizontal="center" vertical="center" shrinkToFit="1" readingOrder="1"/>
    </xf>
    <xf numFmtId="37" fontId="0" fillId="0" borderId="13" xfId="0" applyBorder="1" applyAlignment="1">
      <alignment horizontal="left"/>
    </xf>
    <xf numFmtId="37" fontId="0" fillId="39" borderId="13" xfId="0" applyFill="1" applyBorder="1" applyAlignment="1">
      <alignment horizontal="center"/>
    </xf>
    <xf numFmtId="37" fontId="0" fillId="40" borderId="13" xfId="0" applyFill="1" applyBorder="1"/>
    <xf numFmtId="37" fontId="0" fillId="0" borderId="48" xfId="0" applyBorder="1"/>
    <xf numFmtId="49" fontId="125" fillId="41" borderId="13" xfId="0" applyNumberFormat="1" applyFont="1" applyFill="1" applyBorder="1" applyAlignment="1">
      <alignment horizontal="left" vertical="center" shrinkToFit="1" readingOrder="1"/>
    </xf>
    <xf numFmtId="49" fontId="125" fillId="41" borderId="13" xfId="0" applyNumberFormat="1" applyFont="1" applyFill="1" applyBorder="1" applyAlignment="1">
      <alignment horizontal="center" vertical="center" shrinkToFit="1" readingOrder="1"/>
    </xf>
    <xf numFmtId="37" fontId="0" fillId="0" borderId="40" xfId="0" applyBorder="1" applyAlignment="1">
      <alignment horizontal="center" vertical="center"/>
    </xf>
    <xf numFmtId="37" fontId="0" fillId="0" borderId="41" xfId="0" applyBorder="1" applyAlignment="1">
      <alignment horizontal="left"/>
    </xf>
    <xf numFmtId="37" fontId="0" fillId="39" borderId="41" xfId="0" applyFill="1" applyBorder="1" applyAlignment="1">
      <alignment horizontal="center"/>
    </xf>
    <xf numFmtId="37" fontId="0" fillId="0" borderId="41" xfId="0" applyBorder="1" applyAlignment="1">
      <alignment horizontal="center"/>
    </xf>
    <xf numFmtId="37" fontId="0" fillId="40" borderId="41" xfId="0" applyFill="1" applyBorder="1"/>
    <xf numFmtId="37" fontId="0" fillId="0" borderId="50" xfId="0" applyBorder="1"/>
    <xf numFmtId="0" fontId="0" fillId="0" borderId="13" xfId="0" applyNumberFormat="1" applyBorder="1" applyAlignment="1">
      <alignment horizontal="left"/>
    </xf>
    <xf numFmtId="37" fontId="0" fillId="0" borderId="51" xfId="0" applyBorder="1" applyAlignment="1">
      <alignment horizontal="center"/>
    </xf>
    <xf numFmtId="49" fontId="125" fillId="0" borderId="52" xfId="0" applyNumberFormat="1" applyFont="1" applyBorder="1" applyAlignment="1">
      <alignment horizontal="left" vertical="center" shrinkToFit="1" readingOrder="1"/>
    </xf>
    <xf numFmtId="49" fontId="125" fillId="0" borderId="52" xfId="0" applyNumberFormat="1" applyFont="1" applyBorder="1" applyAlignment="1">
      <alignment horizontal="center" vertical="center" shrinkToFit="1" readingOrder="1"/>
    </xf>
    <xf numFmtId="0" fontId="0" fillId="0" borderId="52" xfId="0" applyNumberFormat="1" applyBorder="1" applyAlignment="1">
      <alignment horizontal="left"/>
    </xf>
    <xf numFmtId="37" fontId="0" fillId="0" borderId="52" xfId="0" applyBorder="1" applyAlignment="1">
      <alignment horizontal="center"/>
    </xf>
    <xf numFmtId="37" fontId="0" fillId="0" borderId="52" xfId="0" applyBorder="1"/>
    <xf numFmtId="37" fontId="0" fillId="0" borderId="53" xfId="0" applyBorder="1"/>
    <xf numFmtId="10" fontId="0" fillId="0" borderId="0" xfId="344" applyNumberFormat="1" applyFont="1" applyAlignment="1"/>
    <xf numFmtId="49" fontId="125" fillId="0" borderId="0" xfId="0" applyNumberFormat="1" applyFont="1" applyAlignment="1">
      <alignment horizontal="left" vertical="center" shrinkToFit="1" readingOrder="1"/>
    </xf>
    <xf numFmtId="49" fontId="125" fillId="0" borderId="0" xfId="0" applyNumberFormat="1" applyFont="1" applyAlignment="1">
      <alignment horizontal="center" vertical="center" shrinkToFit="1" readingOrder="1"/>
    </xf>
    <xf numFmtId="49" fontId="125" fillId="42" borderId="45" xfId="0" applyNumberFormat="1" applyFont="1" applyFill="1" applyBorder="1" applyAlignment="1">
      <alignment horizontal="center" vertical="center" shrinkToFit="1" readingOrder="1"/>
    </xf>
    <xf numFmtId="37" fontId="126" fillId="0" borderId="45" xfId="0" applyFont="1" applyBorder="1"/>
    <xf numFmtId="37" fontId="0" fillId="40" borderId="45" xfId="0" applyFill="1" applyBorder="1" applyAlignment="1">
      <alignment horizontal="center"/>
    </xf>
    <xf numFmtId="37" fontId="0" fillId="0" borderId="45" xfId="0" applyBorder="1"/>
    <xf numFmtId="37" fontId="0" fillId="40" borderId="13" xfId="0" applyFill="1" applyBorder="1" applyAlignment="1">
      <alignment horizontal="center"/>
    </xf>
    <xf numFmtId="37" fontId="127" fillId="0" borderId="54" xfId="0" applyFont="1" applyBorder="1" applyAlignment="1">
      <alignment horizontal="center"/>
    </xf>
    <xf numFmtId="49" fontId="125" fillId="41" borderId="55" xfId="0" applyNumberFormat="1" applyFont="1" applyFill="1" applyBorder="1" applyAlignment="1">
      <alignment horizontal="left" vertical="center" shrinkToFit="1" readingOrder="1"/>
    </xf>
    <xf numFmtId="49" fontId="125" fillId="41" borderId="55" xfId="0" applyNumberFormat="1" applyFont="1" applyFill="1" applyBorder="1" applyAlignment="1">
      <alignment horizontal="center" vertical="center" shrinkToFit="1" readingOrder="1"/>
    </xf>
    <xf numFmtId="37" fontId="126" fillId="0" borderId="55" xfId="0" applyFont="1" applyBorder="1"/>
    <xf numFmtId="37" fontId="0" fillId="40" borderId="55" xfId="0" applyFill="1" applyBorder="1" applyAlignment="1">
      <alignment horizontal="center"/>
    </xf>
    <xf numFmtId="37" fontId="0" fillId="0" borderId="55" xfId="0" applyBorder="1" applyAlignment="1">
      <alignment horizontal="center"/>
    </xf>
    <xf numFmtId="37" fontId="0" fillId="0" borderId="55" xfId="0" applyBorder="1"/>
    <xf numFmtId="37" fontId="0" fillId="0" borderId="56" xfId="0" applyBorder="1"/>
    <xf numFmtId="37" fontId="127" fillId="0" borderId="0" xfId="0" applyFont="1" applyAlignment="1">
      <alignment horizontal="center"/>
    </xf>
    <xf numFmtId="37" fontId="126" fillId="0" borderId="0" xfId="0" applyFont="1"/>
    <xf numFmtId="37" fontId="127" fillId="0" borderId="38" xfId="0" applyFont="1" applyBorder="1" applyAlignment="1">
      <alignment horizontal="center"/>
    </xf>
    <xf numFmtId="49" fontId="125" fillId="42" borderId="45" xfId="0" applyNumberFormat="1" applyFont="1" applyFill="1" applyBorder="1" applyAlignment="1">
      <alignment horizontal="left" vertical="center" shrinkToFit="1" readingOrder="1"/>
    </xf>
    <xf numFmtId="37" fontId="127" fillId="0" borderId="40" xfId="0" applyFont="1" applyBorder="1" applyAlignment="1">
      <alignment horizontal="center"/>
    </xf>
    <xf numFmtId="9" fontId="0" fillId="40" borderId="13" xfId="0" applyNumberFormat="1" applyFill="1" applyBorder="1" applyAlignment="1">
      <alignment horizontal="center"/>
    </xf>
    <xf numFmtId="37" fontId="127" fillId="0" borderId="51" xfId="0" applyFont="1" applyBorder="1" applyAlignment="1">
      <alignment horizontal="center"/>
    </xf>
    <xf numFmtId="49" fontId="125" fillId="41" borderId="52" xfId="0" applyNumberFormat="1" applyFont="1" applyFill="1" applyBorder="1" applyAlignment="1">
      <alignment horizontal="left" vertical="center" shrinkToFit="1" readingOrder="1"/>
    </xf>
    <xf numFmtId="49" fontId="125" fillId="42" borderId="52" xfId="0" applyNumberFormat="1" applyFont="1" applyFill="1" applyBorder="1" applyAlignment="1">
      <alignment horizontal="center" vertical="center" shrinkToFit="1" readingOrder="1"/>
    </xf>
    <xf numFmtId="37" fontId="0" fillId="40" borderId="52" xfId="0" applyFill="1" applyBorder="1" applyAlignment="1">
      <alignment horizontal="center"/>
    </xf>
    <xf numFmtId="37" fontId="0" fillId="0" borderId="54" xfId="0" applyBorder="1" applyAlignment="1">
      <alignment horizontal="center"/>
    </xf>
    <xf numFmtId="49" fontId="125" fillId="42" borderId="55" xfId="0" applyNumberFormat="1" applyFont="1" applyFill="1" applyBorder="1" applyAlignment="1">
      <alignment vertical="center" shrinkToFit="1" readingOrder="1"/>
    </xf>
    <xf numFmtId="49" fontId="125" fillId="42" borderId="55" xfId="0" applyNumberFormat="1" applyFont="1" applyFill="1" applyBorder="1" applyAlignment="1">
      <alignment horizontal="center" vertical="center" shrinkToFit="1" readingOrder="1"/>
    </xf>
    <xf numFmtId="9" fontId="0" fillId="0" borderId="0" xfId="344" applyFont="1" applyAlignment="1"/>
    <xf numFmtId="49" fontId="125" fillId="0" borderId="0" xfId="0" applyNumberFormat="1" applyFont="1" applyAlignment="1">
      <alignment vertical="center" shrinkToFit="1" readingOrder="1"/>
    </xf>
    <xf numFmtId="49" fontId="125" fillId="42" borderId="41" xfId="0" applyNumberFormat="1" applyFont="1" applyFill="1" applyBorder="1" applyAlignment="1">
      <alignment horizontal="left" vertical="center" shrinkToFit="1" readingOrder="1"/>
    </xf>
    <xf numFmtId="37" fontId="0" fillId="0" borderId="57" xfId="0" applyBorder="1" applyAlignment="1">
      <alignment horizontal="center"/>
    </xf>
    <xf numFmtId="49" fontId="125" fillId="42" borderId="52" xfId="0" applyNumberFormat="1" applyFont="1" applyFill="1" applyBorder="1" applyAlignment="1">
      <alignment horizontal="left" vertical="center" shrinkToFit="1" readingOrder="1"/>
    </xf>
    <xf numFmtId="49" fontId="125" fillId="42" borderId="58" xfId="0" applyNumberFormat="1" applyFont="1" applyFill="1" applyBorder="1" applyAlignment="1">
      <alignment horizontal="center" vertical="center" shrinkToFit="1" readingOrder="1"/>
    </xf>
    <xf numFmtId="43" fontId="14" fillId="0" borderId="0" xfId="78" applyFont="1" applyFill="1" applyAlignment="1">
      <alignment horizontal="right" vertical="top" wrapText="1"/>
    </xf>
    <xf numFmtId="43" fontId="17" fillId="0" borderId="0" xfId="78" applyFont="1" applyFill="1" applyAlignment="1">
      <alignment horizontal="right" vertical="top" wrapText="1"/>
    </xf>
    <xf numFmtId="43" fontId="17" fillId="0" borderId="33" xfId="320" applyNumberFormat="1" applyFont="1" applyBorder="1" applyAlignment="1">
      <alignment horizontal="right" vertical="top"/>
    </xf>
    <xf numFmtId="43" fontId="4" fillId="0" borderId="0" xfId="92" applyFont="1" applyFill="1" applyBorder="1"/>
    <xf numFmtId="0" fontId="96" fillId="0" borderId="0" xfId="320" applyFont="1" applyAlignment="1">
      <alignment horizontal="center" vertical="top" wrapText="1"/>
    </xf>
    <xf numFmtId="0" fontId="131" fillId="38" borderId="44" xfId="423" applyNumberFormat="1" applyFont="1" applyBorder="1" applyAlignment="1">
      <alignment horizontal="centerContinuous"/>
    </xf>
    <xf numFmtId="0" fontId="132" fillId="38" borderId="6" xfId="423" applyNumberFormat="1" applyFont="1" applyBorder="1" applyAlignment="1">
      <alignment horizontal="centerContinuous"/>
    </xf>
    <xf numFmtId="0" fontId="132" fillId="38" borderId="6" xfId="423" applyNumberFormat="1" applyFont="1" applyBorder="1" applyAlignment="1">
      <alignment horizontal="left"/>
    </xf>
    <xf numFmtId="0" fontId="132" fillId="38" borderId="52" xfId="423" applyNumberFormat="1" applyFont="1" applyBorder="1" applyAlignment="1">
      <alignment horizontal="left"/>
    </xf>
    <xf numFmtId="41" fontId="4" fillId="0" borderId="27" xfId="424" applyFont="1" applyFill="1" applyBorder="1">
      <alignment horizontal="left"/>
    </xf>
    <xf numFmtId="41" fontId="4" fillId="32" borderId="0" xfId="424" applyFont="1" applyAlignment="1">
      <alignment horizontal="right"/>
    </xf>
    <xf numFmtId="10" fontId="10" fillId="32" borderId="0" xfId="425"/>
    <xf numFmtId="10" fontId="14" fillId="32" borderId="0" xfId="425" applyFont="1"/>
    <xf numFmtId="167" fontId="14" fillId="32" borderId="29" xfId="425" applyNumberFormat="1" applyFont="1" applyBorder="1"/>
    <xf numFmtId="10" fontId="14" fillId="32" borderId="5" xfId="425" applyFont="1" applyBorder="1"/>
    <xf numFmtId="10" fontId="14" fillId="32" borderId="27" xfId="425" applyFont="1" applyBorder="1"/>
    <xf numFmtId="10" fontId="14" fillId="32" borderId="29" xfId="425" applyFont="1" applyBorder="1"/>
    <xf numFmtId="0" fontId="20" fillId="22" borderId="0" xfId="426"/>
    <xf numFmtId="0" fontId="20" fillId="22" borderId="0" xfId="426" applyAlignment="1">
      <alignment horizontal="center"/>
    </xf>
    <xf numFmtId="0" fontId="20" fillId="22" borderId="30" xfId="426" applyBorder="1"/>
    <xf numFmtId="0" fontId="20" fillId="32" borderId="0" xfId="426" applyFill="1"/>
    <xf numFmtId="165" fontId="20" fillId="22" borderId="0" xfId="426" applyNumberFormat="1"/>
    <xf numFmtId="39" fontId="20" fillId="22" borderId="0" xfId="426" applyNumberFormat="1"/>
    <xf numFmtId="166" fontId="20" fillId="22" borderId="0" xfId="426" applyNumberFormat="1"/>
    <xf numFmtId="37" fontId="20" fillId="22" borderId="0" xfId="426" applyNumberFormat="1"/>
    <xf numFmtId="165" fontId="20" fillId="22" borderId="27" xfId="426" applyNumberFormat="1" applyBorder="1"/>
    <xf numFmtId="166" fontId="20" fillId="22" borderId="5" xfId="426" applyNumberFormat="1" applyBorder="1"/>
    <xf numFmtId="39" fontId="20" fillId="22" borderId="5" xfId="426" applyNumberFormat="1" applyBorder="1"/>
    <xf numFmtId="0" fontId="20" fillId="22" borderId="28" xfId="426" applyBorder="1"/>
    <xf numFmtId="10" fontId="20" fillId="22" borderId="29" xfId="426" applyNumberFormat="1" applyBorder="1"/>
    <xf numFmtId="0" fontId="10" fillId="22" borderId="0" xfId="426" applyFont="1"/>
    <xf numFmtId="0" fontId="152" fillId="22" borderId="0" xfId="426" applyFont="1"/>
    <xf numFmtId="0" fontId="151" fillId="22" borderId="0" xfId="426" applyFont="1"/>
    <xf numFmtId="0" fontId="20" fillId="43" borderId="0" xfId="426" applyFill="1"/>
    <xf numFmtId="0" fontId="151" fillId="22" borderId="29" xfId="426" applyFont="1" applyBorder="1"/>
    <xf numFmtId="0" fontId="151" fillId="22" borderId="30" xfId="426" applyFont="1" applyBorder="1"/>
    <xf numFmtId="0" fontId="147" fillId="43" borderId="0" xfId="426" applyFont="1" applyFill="1"/>
    <xf numFmtId="0" fontId="20" fillId="22" borderId="63" xfId="426" applyBorder="1"/>
    <xf numFmtId="0" fontId="20" fillId="22" borderId="62" xfId="426" applyBorder="1"/>
    <xf numFmtId="0" fontId="151" fillId="22" borderId="62" xfId="426" applyFont="1" applyBorder="1"/>
    <xf numFmtId="0" fontId="20" fillId="22" borderId="61" xfId="426" applyBorder="1"/>
    <xf numFmtId="189" fontId="20" fillId="22" borderId="0" xfId="426" applyNumberFormat="1"/>
    <xf numFmtId="10" fontId="20" fillId="22" borderId="5" xfId="426" applyNumberFormat="1" applyBorder="1"/>
    <xf numFmtId="189" fontId="20" fillId="22" borderId="27" xfId="426" applyNumberFormat="1" applyBorder="1" applyAlignment="1">
      <alignment horizontal="center"/>
    </xf>
    <xf numFmtId="189" fontId="149" fillId="22" borderId="5" xfId="426" applyNumberFormat="1" applyFont="1" applyBorder="1" applyAlignment="1">
      <alignment horizontal="left"/>
    </xf>
    <xf numFmtId="0" fontId="20" fillId="22" borderId="5" xfId="426" applyBorder="1" applyAlignment="1">
      <alignment horizontal="right"/>
    </xf>
    <xf numFmtId="0" fontId="20" fillId="43" borderId="0" xfId="426" applyFill="1" applyAlignment="1">
      <alignment horizontal="right"/>
    </xf>
    <xf numFmtId="0" fontId="147" fillId="43" borderId="0" xfId="426" applyFont="1" applyFill="1" applyAlignment="1">
      <alignment horizontal="fill"/>
    </xf>
    <xf numFmtId="189" fontId="20" fillId="22" borderId="29" xfId="426" applyNumberFormat="1" applyBorder="1" applyAlignment="1">
      <alignment horizontal="center"/>
    </xf>
    <xf numFmtId="0" fontId="150" fillId="22" borderId="0" xfId="426" applyFont="1" applyAlignment="1">
      <alignment horizontal="centerContinuous"/>
    </xf>
    <xf numFmtId="10" fontId="20" fillId="22" borderId="0" xfId="426" applyNumberFormat="1"/>
    <xf numFmtId="189" fontId="149" fillId="22" borderId="29" xfId="426" applyNumberFormat="1" applyFont="1" applyBorder="1" applyAlignment="1">
      <alignment horizontal="center"/>
    </xf>
    <xf numFmtId="0" fontId="20" fillId="22" borderId="0" xfId="426" applyAlignment="1">
      <alignment horizontal="left"/>
    </xf>
    <xf numFmtId="189" fontId="149" fillId="22" borderId="0" xfId="426" applyNumberFormat="1" applyFont="1" applyAlignment="1">
      <alignment horizontal="center"/>
    </xf>
    <xf numFmtId="0" fontId="20" fillId="22" borderId="30" xfId="426" applyBorder="1" applyAlignment="1">
      <alignment horizontal="left"/>
    </xf>
    <xf numFmtId="189" fontId="149" fillId="22" borderId="63" xfId="426" applyNumberFormat="1" applyFont="1" applyBorder="1" applyAlignment="1">
      <alignment horizontal="center"/>
    </xf>
    <xf numFmtId="0" fontId="20" fillId="22" borderId="62" xfId="426" applyBorder="1" applyAlignment="1">
      <alignment horizontal="left"/>
    </xf>
    <xf numFmtId="189" fontId="149" fillId="22" borderId="62" xfId="426" applyNumberFormat="1" applyFont="1" applyBorder="1" applyAlignment="1">
      <alignment horizontal="center"/>
    </xf>
    <xf numFmtId="0" fontId="20" fillId="22" borderId="61" xfId="426" applyBorder="1" applyAlignment="1">
      <alignment horizontal="left"/>
    </xf>
    <xf numFmtId="0" fontId="148" fillId="22" borderId="63" xfId="426" applyFont="1" applyBorder="1" applyAlignment="1">
      <alignment horizontal="center"/>
    </xf>
    <xf numFmtId="0" fontId="148" fillId="22" borderId="62" xfId="426" applyFont="1" applyBorder="1" applyAlignment="1">
      <alignment horizontal="center"/>
    </xf>
    <xf numFmtId="0" fontId="20" fillId="22" borderId="0" xfId="426" applyAlignment="1">
      <alignment horizontal="centerContinuous"/>
    </xf>
    <xf numFmtId="0" fontId="130" fillId="22" borderId="0" xfId="426" applyFont="1" applyAlignment="1">
      <alignment horizontal="centerContinuous"/>
    </xf>
    <xf numFmtId="186" fontId="20" fillId="22" borderId="0" xfId="426" applyNumberFormat="1"/>
    <xf numFmtId="0" fontId="147" fillId="22" borderId="27" xfId="426" applyFont="1" applyBorder="1"/>
    <xf numFmtId="0" fontId="20" fillId="22" borderId="5" xfId="426" applyBorder="1"/>
    <xf numFmtId="10" fontId="20" fillId="22" borderId="28" xfId="426" applyNumberFormat="1" applyBorder="1" applyAlignment="1">
      <alignment horizontal="center"/>
    </xf>
    <xf numFmtId="2" fontId="146" fillId="43" borderId="0" xfId="426" applyNumberFormat="1" applyFont="1" applyFill="1"/>
    <xf numFmtId="0" fontId="146" fillId="43" borderId="0" xfId="426" applyFont="1" applyFill="1"/>
    <xf numFmtId="0" fontId="20" fillId="22" borderId="29" xfId="426" applyBorder="1"/>
    <xf numFmtId="0" fontId="20" fillId="22" borderId="30" xfId="426" applyBorder="1" applyAlignment="1">
      <alignment horizontal="center"/>
    </xf>
    <xf numFmtId="0" fontId="20" fillId="22" borderId="0" xfId="426" quotePrefix="1" applyAlignment="1">
      <alignment horizontal="left"/>
    </xf>
    <xf numFmtId="0" fontId="4" fillId="22" borderId="0" xfId="426" applyFont="1"/>
    <xf numFmtId="10" fontId="137" fillId="22" borderId="0" xfId="426" applyNumberFormat="1" applyFont="1"/>
    <xf numFmtId="0" fontId="137" fillId="22" borderId="0" xfId="426" applyFont="1"/>
    <xf numFmtId="0" fontId="4" fillId="22" borderId="30" xfId="426" applyFont="1" applyBorder="1"/>
    <xf numFmtId="0" fontId="137" fillId="22" borderId="46" xfId="426" applyFont="1" applyBorder="1" applyAlignment="1">
      <alignment horizontal="center"/>
    </xf>
    <xf numFmtId="0" fontId="20" fillId="22" borderId="62" xfId="426" quotePrefix="1" applyBorder="1" applyAlignment="1">
      <alignment horizontal="left"/>
    </xf>
    <xf numFmtId="39" fontId="20" fillId="22" borderId="61" xfId="426" applyNumberFormat="1" applyBorder="1" applyAlignment="1">
      <alignment horizontal="center"/>
    </xf>
    <xf numFmtId="41" fontId="137" fillId="22" borderId="0" xfId="426" applyNumberFormat="1" applyFont="1"/>
    <xf numFmtId="167" fontId="137" fillId="22" borderId="0" xfId="426" applyNumberFormat="1" applyFont="1"/>
    <xf numFmtId="0" fontId="144" fillId="22" borderId="0" xfId="426" applyFont="1"/>
    <xf numFmtId="41" fontId="137" fillId="22" borderId="66" xfId="426" applyNumberFormat="1" applyFont="1" applyBorder="1"/>
    <xf numFmtId="167" fontId="137" fillId="22" borderId="66" xfId="426" applyNumberFormat="1" applyFont="1" applyBorder="1"/>
    <xf numFmtId="0" fontId="20" fillId="22" borderId="27" xfId="426" applyBorder="1"/>
    <xf numFmtId="0" fontId="20" fillId="22" borderId="27" xfId="426" applyBorder="1" applyAlignment="1">
      <alignment horizontal="center"/>
    </xf>
    <xf numFmtId="0" fontId="20" fillId="22" borderId="28" xfId="426" applyBorder="1" applyAlignment="1">
      <alignment horizontal="center"/>
    </xf>
    <xf numFmtId="175" fontId="137" fillId="22" borderId="0" xfId="426" applyNumberFormat="1" applyFont="1" applyProtection="1">
      <protection locked="0"/>
    </xf>
    <xf numFmtId="0" fontId="59" fillId="22" borderId="0" xfId="426" applyFont="1"/>
    <xf numFmtId="10" fontId="20" fillId="22" borderId="0" xfId="426" applyNumberFormat="1" applyAlignment="1">
      <alignment horizontal="center"/>
    </xf>
    <xf numFmtId="41" fontId="20" fillId="22" borderId="0" xfId="426" applyNumberFormat="1"/>
    <xf numFmtId="10" fontId="20" fillId="22" borderId="29" xfId="426" applyNumberFormat="1" applyBorder="1" applyAlignment="1">
      <alignment horizontal="right"/>
    </xf>
    <xf numFmtId="0" fontId="20" fillId="22" borderId="29" xfId="426" applyBorder="1" applyAlignment="1">
      <alignment horizontal="center"/>
    </xf>
    <xf numFmtId="0" fontId="20" fillId="22" borderId="0" xfId="426" quotePrefix="1" applyAlignment="1">
      <alignment horizontal="right"/>
    </xf>
    <xf numFmtId="0" fontId="20" fillId="22" borderId="29" xfId="426" applyBorder="1" applyAlignment="1">
      <alignment horizontal="centerContinuous"/>
    </xf>
    <xf numFmtId="0" fontId="20" fillId="22" borderId="30" xfId="426" applyBorder="1" applyAlignment="1">
      <alignment horizontal="centerContinuous"/>
    </xf>
    <xf numFmtId="0" fontId="138" fillId="22" borderId="5" xfId="426" applyFont="1" applyBorder="1" applyAlignment="1">
      <alignment horizontal="center"/>
    </xf>
    <xf numFmtId="0" fontId="138" fillId="22" borderId="5" xfId="426" applyFont="1" applyBorder="1" applyAlignment="1">
      <alignment horizontal="right"/>
    </xf>
    <xf numFmtId="0" fontId="20" fillId="22" borderId="63" xfId="426" applyBorder="1" applyAlignment="1">
      <alignment horizontal="centerContinuous"/>
    </xf>
    <xf numFmtId="0" fontId="20" fillId="22" borderId="61" xfId="426" applyBorder="1" applyAlignment="1">
      <alignment horizontal="centerContinuous"/>
    </xf>
    <xf numFmtId="0" fontId="145" fillId="22" borderId="0" xfId="426" applyFont="1"/>
    <xf numFmtId="0" fontId="143" fillId="22" borderId="0" xfId="426" applyFont="1"/>
    <xf numFmtId="41" fontId="20" fillId="22" borderId="29" xfId="426" applyNumberFormat="1" applyBorder="1"/>
    <xf numFmtId="41" fontId="20" fillId="22" borderId="30" xfId="426" applyNumberFormat="1" applyBorder="1"/>
    <xf numFmtId="10" fontId="139" fillId="22" borderId="0" xfId="426" applyNumberFormat="1" applyFont="1"/>
    <xf numFmtId="165" fontId="20" fillId="22" borderId="5" xfId="426" applyNumberFormat="1" applyBorder="1"/>
    <xf numFmtId="2" fontId="20" fillId="22" borderId="30" xfId="426" applyNumberFormat="1" applyBorder="1" applyAlignment="1">
      <alignment horizontal="center"/>
    </xf>
    <xf numFmtId="0" fontId="20" fillId="22" borderId="46" xfId="426" applyBorder="1"/>
    <xf numFmtId="165" fontId="140" fillId="22" borderId="0" xfId="426" applyNumberFormat="1" applyFont="1"/>
    <xf numFmtId="0" fontId="140" fillId="22" borderId="30" xfId="426" applyFont="1" applyBorder="1" applyAlignment="1">
      <alignment horizontal="center"/>
    </xf>
    <xf numFmtId="39" fontId="137" fillId="22" borderId="0" xfId="426" applyNumberFormat="1" applyFont="1"/>
    <xf numFmtId="41" fontId="20" fillId="22" borderId="63" xfId="426" applyNumberFormat="1" applyBorder="1"/>
    <xf numFmtId="41" fontId="20" fillId="22" borderId="62" xfId="426" applyNumberFormat="1" applyBorder="1"/>
    <xf numFmtId="41" fontId="20" fillId="22" borderId="61" xfId="426" applyNumberFormat="1" applyBorder="1"/>
    <xf numFmtId="10" fontId="139" fillId="22" borderId="62" xfId="426" applyNumberFormat="1" applyFont="1" applyBorder="1"/>
    <xf numFmtId="165" fontId="20" fillId="22" borderId="62" xfId="426" applyNumberFormat="1" applyBorder="1"/>
    <xf numFmtId="2" fontId="20" fillId="22" borderId="61" xfId="426" applyNumberFormat="1" applyBorder="1" applyAlignment="1">
      <alignment horizontal="center"/>
    </xf>
    <xf numFmtId="0" fontId="20" fillId="22" borderId="61" xfId="426" applyBorder="1" applyAlignment="1">
      <alignment horizontal="center"/>
    </xf>
    <xf numFmtId="0" fontId="137" fillId="22" borderId="0" xfId="426" quotePrefix="1" applyFont="1" applyAlignment="1">
      <alignment horizontal="left"/>
    </xf>
    <xf numFmtId="10" fontId="20" fillId="43" borderId="0" xfId="426" applyNumberFormat="1" applyFill="1"/>
    <xf numFmtId="0" fontId="143" fillId="22" borderId="0" xfId="426" applyFont="1" applyAlignment="1">
      <alignment horizontal="right"/>
    </xf>
    <xf numFmtId="0" fontId="138" fillId="22" borderId="0" xfId="426" applyFont="1"/>
    <xf numFmtId="0" fontId="138" fillId="22" borderId="0" xfId="426" applyFont="1" applyAlignment="1">
      <alignment horizontal="center"/>
    </xf>
    <xf numFmtId="10" fontId="137" fillId="22" borderId="66" xfId="426" applyNumberFormat="1" applyFont="1" applyBorder="1" applyAlignment="1">
      <alignment horizontal="center"/>
    </xf>
    <xf numFmtId="0" fontId="4" fillId="22" borderId="0" xfId="426" applyFont="1" applyAlignment="1">
      <alignment horizontal="right"/>
    </xf>
    <xf numFmtId="9" fontId="137" fillId="22" borderId="0" xfId="426" applyNumberFormat="1" applyFont="1" applyAlignment="1">
      <alignment horizontal="center"/>
    </xf>
    <xf numFmtId="0" fontId="137" fillId="22" borderId="0" xfId="426" applyFont="1" applyAlignment="1">
      <alignment horizontal="right"/>
    </xf>
    <xf numFmtId="10" fontId="137" fillId="22" borderId="0" xfId="426" applyNumberFormat="1" applyFont="1" applyAlignment="1">
      <alignment horizontal="center"/>
    </xf>
    <xf numFmtId="10" fontId="137" fillId="22" borderId="0" xfId="426" applyNumberFormat="1" applyFont="1" applyAlignment="1">
      <alignment horizontal="right"/>
    </xf>
    <xf numFmtId="41" fontId="137" fillId="22" borderId="5" xfId="426" applyNumberFormat="1" applyFont="1" applyBorder="1" applyProtection="1">
      <protection locked="0"/>
    </xf>
    <xf numFmtId="41" fontId="137" fillId="22" borderId="0" xfId="426" applyNumberFormat="1" applyFont="1" applyProtection="1">
      <protection locked="0"/>
    </xf>
    <xf numFmtId="0" fontId="142" fillId="22" borderId="0" xfId="426" applyFont="1" applyAlignment="1">
      <alignment horizontal="center"/>
    </xf>
    <xf numFmtId="0" fontId="142" fillId="22" borderId="0" xfId="426" applyFont="1" applyAlignment="1">
      <alignment horizontal="right"/>
    </xf>
    <xf numFmtId="41" fontId="142" fillId="22" borderId="0" xfId="426" applyNumberFormat="1" applyFont="1" applyAlignment="1">
      <alignment horizontal="center"/>
    </xf>
    <xf numFmtId="0" fontId="135" fillId="32" borderId="0" xfId="426" applyFont="1" applyFill="1" applyAlignment="1">
      <alignment horizontal="centerContinuous"/>
    </xf>
    <xf numFmtId="0" fontId="135" fillId="44" borderId="0" xfId="426" applyFont="1" applyFill="1" applyAlignment="1">
      <alignment horizontal="right"/>
    </xf>
    <xf numFmtId="0" fontId="20" fillId="22" borderId="27" xfId="427" applyBorder="1"/>
    <xf numFmtId="0" fontId="20" fillId="22" borderId="5" xfId="427" applyBorder="1"/>
    <xf numFmtId="10" fontId="138" fillId="22" borderId="5" xfId="427" applyNumberFormat="1" applyFont="1" applyBorder="1" applyAlignment="1">
      <alignment horizontal="center" vertical="center"/>
    </xf>
    <xf numFmtId="0" fontId="137" fillId="22" borderId="5" xfId="427" applyFont="1" applyBorder="1" applyAlignment="1">
      <alignment horizontal="right" vertical="center"/>
    </xf>
    <xf numFmtId="0" fontId="20" fillId="22" borderId="28" xfId="427" applyBorder="1"/>
    <xf numFmtId="41" fontId="138" fillId="22" borderId="65" xfId="427" applyNumberFormat="1" applyFont="1" applyBorder="1"/>
    <xf numFmtId="0" fontId="138" fillId="22" borderId="0" xfId="427" applyFont="1" applyAlignment="1">
      <alignment horizontal="right"/>
    </xf>
    <xf numFmtId="0" fontId="20" fillId="22" borderId="0" xfId="427"/>
    <xf numFmtId="41" fontId="138" fillId="22" borderId="33" xfId="427" applyNumberFormat="1" applyFont="1" applyBorder="1"/>
    <xf numFmtId="0" fontId="4" fillId="22" borderId="30" xfId="427" applyFont="1" applyBorder="1"/>
    <xf numFmtId="0" fontId="130" fillId="43" borderId="0" xfId="426" applyFont="1" applyFill="1"/>
    <xf numFmtId="41" fontId="137" fillId="22" borderId="29" xfId="427" applyNumberFormat="1" applyFont="1" applyBorder="1"/>
    <xf numFmtId="0" fontId="137" fillId="22" borderId="0" xfId="427" applyFont="1" applyAlignment="1">
      <alignment horizontal="right"/>
    </xf>
    <xf numFmtId="0" fontId="141" fillId="22" borderId="0" xfId="427" applyFont="1" applyAlignment="1">
      <alignment horizontal="left"/>
    </xf>
    <xf numFmtId="41" fontId="137" fillId="22" borderId="0" xfId="427" applyNumberFormat="1" applyFont="1"/>
    <xf numFmtId="0" fontId="20" fillId="22" borderId="63" xfId="427" applyBorder="1"/>
    <xf numFmtId="0" fontId="20" fillId="22" borderId="62" xfId="427" applyBorder="1"/>
    <xf numFmtId="0" fontId="135" fillId="44" borderId="61" xfId="427" applyFont="1" applyFill="1" applyBorder="1" applyAlignment="1">
      <alignment horizontal="left"/>
    </xf>
    <xf numFmtId="0" fontId="4" fillId="22" borderId="0" xfId="427" applyFont="1"/>
    <xf numFmtId="41" fontId="20" fillId="43" borderId="0" xfId="426" applyNumberFormat="1" applyFill="1"/>
    <xf numFmtId="10" fontId="137" fillId="22" borderId="0" xfId="427" applyNumberFormat="1" applyFont="1" applyAlignment="1">
      <alignment horizontal="right"/>
    </xf>
    <xf numFmtId="0" fontId="20" fillId="22" borderId="0" xfId="427" applyAlignment="1">
      <alignment horizontal="right"/>
    </xf>
    <xf numFmtId="0" fontId="137" fillId="22" borderId="60" xfId="427" applyFont="1" applyBorder="1" applyAlignment="1">
      <alignment horizontal="right"/>
    </xf>
    <xf numFmtId="41" fontId="4" fillId="22" borderId="0" xfId="426" applyNumberFormat="1" applyFont="1"/>
    <xf numFmtId="41" fontId="137" fillId="22" borderId="67" xfId="426" applyNumberFormat="1" applyFont="1" applyBorder="1"/>
    <xf numFmtId="0" fontId="20" fillId="37" borderId="0" xfId="426" applyFill="1"/>
    <xf numFmtId="167" fontId="4" fillId="0" borderId="68" xfId="425" applyNumberFormat="1" applyFont="1" applyFill="1" applyBorder="1"/>
    <xf numFmtId="0" fontId="137" fillId="22" borderId="45" xfId="426" applyFont="1" applyBorder="1" applyAlignment="1">
      <alignment horizontal="right"/>
    </xf>
    <xf numFmtId="0" fontId="137" fillId="22" borderId="46" xfId="426" applyFont="1" applyBorder="1" applyAlignment="1">
      <alignment horizontal="right"/>
    </xf>
    <xf numFmtId="41" fontId="20" fillId="22" borderId="69" xfId="426" applyNumberFormat="1" applyBorder="1"/>
    <xf numFmtId="41" fontId="20" fillId="22" borderId="70" xfId="426" applyNumberFormat="1" applyBorder="1"/>
    <xf numFmtId="41" fontId="20" fillId="22" borderId="71" xfId="426" applyNumberFormat="1" applyBorder="1"/>
    <xf numFmtId="10" fontId="139" fillId="22" borderId="70" xfId="426" applyNumberFormat="1" applyFont="1" applyBorder="1"/>
    <xf numFmtId="165" fontId="20" fillId="22" borderId="70" xfId="426" applyNumberFormat="1" applyBorder="1"/>
    <xf numFmtId="2" fontId="20" fillId="22" borderId="71" xfId="426" applyNumberFormat="1" applyBorder="1" applyAlignment="1">
      <alignment horizontal="center"/>
    </xf>
    <xf numFmtId="0" fontId="20" fillId="22" borderId="71" xfId="426" applyBorder="1" applyAlignment="1">
      <alignment horizontal="center"/>
    </xf>
    <xf numFmtId="10" fontId="4" fillId="0" borderId="68" xfId="425" applyFont="1" applyFill="1" applyBorder="1"/>
    <xf numFmtId="0" fontId="138" fillId="22" borderId="46" xfId="426" applyFont="1" applyBorder="1" applyAlignment="1">
      <alignment horizontal="right"/>
    </xf>
    <xf numFmtId="5" fontId="137" fillId="22" borderId="72" xfId="426" applyNumberFormat="1" applyFont="1" applyBorder="1"/>
    <xf numFmtId="41" fontId="137" fillId="22" borderId="72" xfId="426" applyNumberFormat="1" applyFont="1" applyBorder="1"/>
    <xf numFmtId="0" fontId="137" fillId="22" borderId="73" xfId="426" applyFont="1" applyBorder="1" applyAlignment="1">
      <alignment horizontal="center"/>
    </xf>
    <xf numFmtId="41" fontId="4" fillId="0" borderId="68" xfId="424" applyFont="1" applyFill="1" applyBorder="1">
      <alignment horizontal="left"/>
    </xf>
    <xf numFmtId="0" fontId="138" fillId="44" borderId="5" xfId="426" applyFont="1" applyFill="1" applyBorder="1" applyAlignment="1">
      <alignment horizontal="center"/>
    </xf>
    <xf numFmtId="0" fontId="138" fillId="44" borderId="5" xfId="426" applyFont="1" applyFill="1" applyBorder="1"/>
    <xf numFmtId="0" fontId="135" fillId="44" borderId="5" xfId="426" applyFont="1" applyFill="1" applyBorder="1"/>
    <xf numFmtId="0" fontId="137" fillId="22" borderId="28" xfId="426" applyFont="1" applyBorder="1"/>
    <xf numFmtId="0" fontId="138" fillId="44" borderId="0" xfId="426" applyFont="1" applyFill="1" applyAlignment="1">
      <alignment horizontal="center"/>
    </xf>
    <xf numFmtId="0" fontId="135" fillId="44" borderId="0" xfId="426" applyFont="1" applyFill="1" applyAlignment="1">
      <alignment horizontal="center"/>
    </xf>
    <xf numFmtId="0" fontId="137" fillId="22" borderId="30" xfId="426" applyFont="1" applyBorder="1"/>
    <xf numFmtId="0" fontId="136" fillId="43" borderId="0" xfId="426" applyFont="1" applyFill="1"/>
    <xf numFmtId="0" fontId="132" fillId="38" borderId="74" xfId="423" applyNumberFormat="1" applyFont="1" applyBorder="1" applyAlignment="1">
      <alignment horizontal="left"/>
    </xf>
    <xf numFmtId="0" fontId="134" fillId="22" borderId="0" xfId="426" applyFont="1" applyAlignment="1">
      <alignment horizontal="center"/>
    </xf>
    <xf numFmtId="0" fontId="4" fillId="22" borderId="59" xfId="426" applyFont="1" applyBorder="1"/>
    <xf numFmtId="0" fontId="20" fillId="22" borderId="75" xfId="426" applyBorder="1" applyAlignment="1">
      <alignment horizontal="centerContinuous"/>
    </xf>
    <xf numFmtId="0" fontId="133" fillId="22" borderId="75" xfId="426" applyFont="1" applyBorder="1" applyAlignment="1">
      <alignment horizontal="centerContinuous"/>
    </xf>
    <xf numFmtId="0" fontId="133" fillId="22" borderId="74" xfId="426" applyFont="1" applyBorder="1" applyAlignment="1">
      <alignment horizontal="centerContinuous"/>
    </xf>
    <xf numFmtId="0" fontId="129" fillId="0" borderId="0" xfId="426" applyFont="1" applyFill="1"/>
    <xf numFmtId="0" fontId="129" fillId="0" borderId="0" xfId="426" applyFont="1" applyFill="1" applyAlignment="1">
      <alignment horizontal="center"/>
    </xf>
    <xf numFmtId="0" fontId="129" fillId="0" borderId="30" xfId="426" applyFont="1" applyFill="1" applyBorder="1"/>
    <xf numFmtId="0" fontId="129" fillId="43" borderId="0" xfId="426" applyFont="1" applyFill="1"/>
    <xf numFmtId="0" fontId="129" fillId="43" borderId="17" xfId="426" applyFont="1" applyFill="1" applyBorder="1"/>
    <xf numFmtId="0" fontId="96" fillId="0" borderId="0" xfId="320" applyFont="1" applyAlignment="1">
      <alignment horizontal="left" vertical="top" wrapText="1"/>
    </xf>
    <xf numFmtId="0" fontId="14" fillId="0" borderId="0" xfId="308" applyFont="1" applyAlignment="1">
      <alignment horizontal="right"/>
    </xf>
    <xf numFmtId="0" fontId="98" fillId="0" borderId="0" xfId="320" applyFont="1"/>
    <xf numFmtId="41" fontId="4" fillId="0" borderId="0" xfId="0" applyNumberFormat="1" applyFont="1" applyAlignment="1">
      <alignment horizontal="right"/>
    </xf>
    <xf numFmtId="41" fontId="4" fillId="0" borderId="25" xfId="0" applyNumberFormat="1" applyFont="1" applyBorder="1"/>
    <xf numFmtId="10" fontId="4" fillId="0" borderId="0" xfId="325" applyNumberFormat="1" applyFont="1"/>
    <xf numFmtId="10" fontId="4" fillId="0" borderId="0" xfId="0" applyNumberFormat="1" applyFont="1" applyAlignment="1">
      <alignment horizontal="right"/>
    </xf>
    <xf numFmtId="41" fontId="4" fillId="0" borderId="72" xfId="0" applyNumberFormat="1" applyFont="1" applyBorder="1"/>
    <xf numFmtId="0" fontId="110" fillId="0" borderId="0" xfId="320" applyFont="1" applyAlignment="1">
      <alignment horizontal="justify" vertical="top" wrapText="1"/>
    </xf>
    <xf numFmtId="41" fontId="96" fillId="0" borderId="0" xfId="320" applyNumberFormat="1" applyFont="1" applyAlignment="1">
      <alignment horizontal="justify" vertical="top" wrapText="1"/>
    </xf>
    <xf numFmtId="41" fontId="98" fillId="0" borderId="0" xfId="320" applyNumberFormat="1" applyFont="1" applyAlignment="1">
      <alignment horizontal="justify" vertical="top" wrapText="1"/>
    </xf>
    <xf numFmtId="175" fontId="95" fillId="0" borderId="0" xfId="78" applyNumberFormat="1" applyFont="1" applyFill="1"/>
    <xf numFmtId="43" fontId="96" fillId="0" borderId="0" xfId="320" applyNumberFormat="1" applyFont="1" applyAlignment="1">
      <alignment horizontal="justify" vertical="top" wrapText="1"/>
    </xf>
    <xf numFmtId="175" fontId="98" fillId="0" borderId="72" xfId="320" applyNumberFormat="1" applyFont="1" applyBorder="1" applyAlignment="1">
      <alignment horizontal="justify" vertical="top" wrapText="1"/>
    </xf>
    <xf numFmtId="10" fontId="4" fillId="0" borderId="0" xfId="241" applyNumberFormat="1" applyFont="1"/>
    <xf numFmtId="41" fontId="4" fillId="0" borderId="5" xfId="241" applyNumberFormat="1" applyFont="1" applyBorder="1"/>
    <xf numFmtId="175" fontId="4" fillId="0" borderId="33" xfId="78" applyNumberFormat="1" applyFont="1" applyBorder="1"/>
    <xf numFmtId="37" fontId="110" fillId="0" borderId="0" xfId="0" applyFont="1"/>
    <xf numFmtId="37" fontId="94" fillId="0" borderId="0" xfId="0" applyFont="1" applyAlignment="1">
      <alignment vertical="top" wrapText="1"/>
    </xf>
    <xf numFmtId="0" fontId="98" fillId="0" borderId="0" xfId="320" applyFont="1" applyAlignment="1">
      <alignment vertical="top" wrapText="1"/>
    </xf>
    <xf numFmtId="43" fontId="98" fillId="0" borderId="26" xfId="78" applyFont="1" applyFill="1" applyBorder="1"/>
    <xf numFmtId="43" fontId="4" fillId="0" borderId="0" xfId="101" applyFont="1" applyFill="1"/>
    <xf numFmtId="0" fontId="98" fillId="0" borderId="0" xfId="320" applyFont="1" applyAlignment="1">
      <alignment horizontal="center" vertical="top" wrapText="1"/>
    </xf>
    <xf numFmtId="37" fontId="4" fillId="0" borderId="5" xfId="0" applyFont="1" applyBorder="1"/>
    <xf numFmtId="37" fontId="14" fillId="0" borderId="0" xfId="0" applyFont="1" applyAlignment="1">
      <alignment vertical="top"/>
    </xf>
    <xf numFmtId="175" fontId="4" fillId="0" borderId="0" xfId="241" applyNumberFormat="1" applyFont="1"/>
    <xf numFmtId="0" fontId="110" fillId="0" borderId="0" xfId="320" applyFont="1" applyAlignment="1">
      <alignment vertical="top" wrapText="1"/>
    </xf>
    <xf numFmtId="175" fontId="98" fillId="0" borderId="0" xfId="320" applyNumberFormat="1" applyFont="1" applyAlignment="1">
      <alignment vertical="top"/>
    </xf>
    <xf numFmtId="10" fontId="96" fillId="0" borderId="0" xfId="325" applyNumberFormat="1" applyFont="1" applyBorder="1" applyAlignment="1">
      <alignment vertical="top"/>
    </xf>
    <xf numFmtId="43" fontId="98" fillId="0" borderId="33" xfId="78" applyFont="1" applyBorder="1" applyAlignment="1">
      <alignment vertical="top"/>
    </xf>
    <xf numFmtId="43" fontId="96" fillId="0" borderId="0" xfId="78" applyFont="1" applyAlignment="1">
      <alignment vertical="top"/>
    </xf>
    <xf numFmtId="0" fontId="96" fillId="0" borderId="0" xfId="320" applyFont="1" applyAlignment="1">
      <alignment horizontal="center" vertical="top"/>
    </xf>
    <xf numFmtId="10" fontId="96" fillId="0" borderId="0" xfId="325" applyNumberFormat="1" applyFont="1" applyAlignment="1">
      <alignment horizontal="center" vertical="top" wrapText="1"/>
    </xf>
    <xf numFmtId="10" fontId="96" fillId="0" borderId="0" xfId="320" applyNumberFormat="1" applyFont="1" applyAlignment="1">
      <alignment horizontal="center"/>
    </xf>
    <xf numFmtId="41" fontId="96" fillId="0" borderId="0" xfId="320" applyNumberFormat="1" applyFont="1" applyAlignment="1">
      <alignment horizontal="center" vertical="top" wrapText="1"/>
    </xf>
    <xf numFmtId="0" fontId="110" fillId="0" borderId="0" xfId="320" applyFont="1"/>
    <xf numFmtId="0" fontId="154" fillId="0" borderId="0" xfId="320" applyFont="1" applyAlignment="1">
      <alignment vertical="top"/>
    </xf>
    <xf numFmtId="49" fontId="97" fillId="0" borderId="0" xfId="320" applyNumberFormat="1" applyFont="1" applyAlignment="1">
      <alignment horizontal="center"/>
    </xf>
    <xf numFmtId="43" fontId="17" fillId="0" borderId="0" xfId="78" applyFont="1" applyFill="1" applyBorder="1"/>
    <xf numFmtId="43" fontId="17" fillId="0" borderId="0" xfId="78" applyFont="1"/>
    <xf numFmtId="0" fontId="17" fillId="0" borderId="0" xfId="320" applyFont="1"/>
    <xf numFmtId="0" fontId="96" fillId="0" borderId="0" xfId="320" applyFont="1" applyAlignment="1">
      <alignment horizontal="center"/>
    </xf>
    <xf numFmtId="188" fontId="96" fillId="0" borderId="0" xfId="78" applyNumberFormat="1" applyFont="1" applyFill="1"/>
    <xf numFmtId="175" fontId="98" fillId="0" borderId="33" xfId="320" applyNumberFormat="1" applyFont="1" applyBorder="1"/>
    <xf numFmtId="4" fontId="96" fillId="0" borderId="0" xfId="320" applyNumberFormat="1" applyFont="1"/>
    <xf numFmtId="43" fontId="96" fillId="0" borderId="0" xfId="78" applyFont="1" applyFill="1"/>
    <xf numFmtId="10" fontId="96" fillId="0" borderId="0" xfId="320" applyNumberFormat="1" applyFont="1"/>
    <xf numFmtId="43" fontId="98" fillId="0" borderId="42" xfId="78" applyFont="1" applyFill="1" applyBorder="1"/>
    <xf numFmtId="175" fontId="14" fillId="0" borderId="2" xfId="78" applyNumberFormat="1" applyFont="1" applyFill="1" applyBorder="1"/>
    <xf numFmtId="10" fontId="14" fillId="0" borderId="0" xfId="92" applyNumberFormat="1" applyFont="1" applyFill="1"/>
    <xf numFmtId="175" fontId="26" fillId="0" borderId="0" xfId="78" applyNumberFormat="1" applyFont="1" applyFill="1"/>
    <xf numFmtId="4" fontId="98" fillId="0" borderId="0" xfId="320" applyNumberFormat="1" applyFont="1"/>
    <xf numFmtId="14" fontId="97" fillId="0" borderId="0" xfId="320" applyNumberFormat="1" applyFont="1" applyAlignment="1">
      <alignment horizontal="center"/>
    </xf>
    <xf numFmtId="0" fontId="96" fillId="0" borderId="0" xfId="320" applyFont="1" applyAlignment="1">
      <alignment horizontal="right"/>
    </xf>
    <xf numFmtId="0" fontId="95" fillId="0" borderId="0" xfId="222" applyFont="1" applyAlignment="1">
      <alignment horizontal="center"/>
    </xf>
    <xf numFmtId="43" fontId="0" fillId="0" borderId="0" xfId="101" applyFont="1" applyFill="1" applyBorder="1"/>
    <xf numFmtId="0" fontId="111" fillId="0" borderId="0" xfId="308" applyFont="1"/>
    <xf numFmtId="0" fontId="17" fillId="0" borderId="0" xfId="308" applyFont="1"/>
    <xf numFmtId="175" fontId="17" fillId="0" borderId="0" xfId="92" applyNumberFormat="1" applyFont="1" applyFill="1" applyBorder="1"/>
    <xf numFmtId="37" fontId="4" fillId="0" borderId="0" xfId="0" applyFont="1" applyAlignment="1">
      <alignment horizontal="justify" vertical="top" wrapText="1"/>
    </xf>
    <xf numFmtId="49" fontId="14" fillId="0" borderId="0" xfId="0" applyNumberFormat="1" applyFont="1" applyAlignment="1">
      <alignment horizontal="left" vertical="top" wrapText="1"/>
    </xf>
    <xf numFmtId="37" fontId="61" fillId="0" borderId="0" xfId="0" applyFont="1"/>
    <xf numFmtId="0" fontId="153" fillId="0" borderId="0" xfId="320" applyFont="1" applyAlignment="1">
      <alignment vertical="top"/>
    </xf>
    <xf numFmtId="43" fontId="14" fillId="0" borderId="0" xfId="78" applyFont="1" applyAlignment="1">
      <alignment vertical="top"/>
    </xf>
    <xf numFmtId="37" fontId="98" fillId="0" borderId="0" xfId="0" applyFont="1" applyAlignment="1">
      <alignment horizontal="center" vertical="center"/>
    </xf>
    <xf numFmtId="41" fontId="23" fillId="0" borderId="0" xfId="0" applyNumberFormat="1" applyFont="1" applyAlignment="1">
      <alignment horizontal="center" vertical="center"/>
    </xf>
    <xf numFmtId="184" fontId="14" fillId="0" borderId="0" xfId="0" applyNumberFormat="1" applyFont="1"/>
    <xf numFmtId="41" fontId="4" fillId="0" borderId="33" xfId="0" applyNumberFormat="1" applyFont="1" applyBorder="1" applyAlignment="1">
      <alignment horizontal="center"/>
    </xf>
    <xf numFmtId="0" fontId="4" fillId="0" borderId="0" xfId="241" applyFont="1" applyAlignment="1">
      <alignment horizontal="right"/>
    </xf>
    <xf numFmtId="14" fontId="14" fillId="0" borderId="0" xfId="241" quotePrefix="1" applyNumberFormat="1" applyFont="1" applyAlignment="1">
      <alignment horizontal="right"/>
    </xf>
    <xf numFmtId="14" fontId="14" fillId="0" borderId="0" xfId="241" quotePrefix="1" applyNumberFormat="1" applyFont="1" applyAlignment="1">
      <alignment horizontal="center"/>
    </xf>
    <xf numFmtId="43" fontId="14" fillId="0" borderId="0" xfId="241" applyNumberFormat="1" applyFont="1"/>
    <xf numFmtId="44" fontId="14" fillId="0" borderId="24" xfId="241" applyNumberFormat="1" applyFont="1" applyBorder="1"/>
    <xf numFmtId="49" fontId="14" fillId="0" borderId="0" xfId="0" applyNumberFormat="1" applyFont="1"/>
    <xf numFmtId="0" fontId="5" fillId="0" borderId="0" xfId="241" applyFont="1"/>
    <xf numFmtId="0" fontId="4" fillId="0" borderId="0" xfId="283" applyFont="1"/>
    <xf numFmtId="0" fontId="4" fillId="0" borderId="0" xfId="226" applyFont="1"/>
    <xf numFmtId="0" fontId="17" fillId="0" borderId="0" xfId="226" applyFont="1" applyAlignment="1">
      <alignment horizontal="center"/>
    </xf>
    <xf numFmtId="43" fontId="14" fillId="0" borderId="0" xfId="283" applyNumberFormat="1" applyFont="1"/>
    <xf numFmtId="0" fontId="14" fillId="0" borderId="0" xfId="226" applyFont="1" applyAlignment="1">
      <alignment horizontal="center"/>
    </xf>
    <xf numFmtId="43" fontId="17" fillId="0" borderId="0" xfId="226" applyNumberFormat="1" applyFont="1" applyAlignment="1">
      <alignment horizontal="center"/>
    </xf>
    <xf numFmtId="0" fontId="18" fillId="0" borderId="0" xfId="226" applyFont="1" applyAlignment="1">
      <alignment horizontal="center"/>
    </xf>
    <xf numFmtId="43" fontId="18" fillId="0" borderId="0" xfId="226" applyNumberFormat="1" applyFont="1" applyAlignment="1">
      <alignment horizontal="center"/>
    </xf>
    <xf numFmtId="0" fontId="153" fillId="0" borderId="0" xfId="226" applyFont="1" applyAlignment="1">
      <alignment horizontal="center"/>
    </xf>
    <xf numFmtId="0" fontId="4" fillId="0" borderId="0" xfId="283" quotePrefix="1" applyFont="1"/>
    <xf numFmtId="170" fontId="4" fillId="0" borderId="0" xfId="226" applyNumberFormat="1" applyFont="1"/>
    <xf numFmtId="170" fontId="4" fillId="0" borderId="0" xfId="283" applyNumberFormat="1" applyFont="1"/>
    <xf numFmtId="43" fontId="4" fillId="0" borderId="0" xfId="283" applyNumberFormat="1" applyFont="1"/>
    <xf numFmtId="0" fontId="4" fillId="0" borderId="0" xfId="226" quotePrefix="1" applyFont="1"/>
    <xf numFmtId="0" fontId="4" fillId="0" borderId="0" xfId="283" applyFont="1" applyAlignment="1">
      <alignment horizontal="center"/>
    </xf>
    <xf numFmtId="0" fontId="4" fillId="0" borderId="5" xfId="283" applyFont="1" applyBorder="1" applyAlignment="1">
      <alignment horizontal="center"/>
    </xf>
    <xf numFmtId="17" fontId="4" fillId="0" borderId="0" xfId="283" applyNumberFormat="1" applyFont="1"/>
    <xf numFmtId="43" fontId="4" fillId="0" borderId="0" xfId="78" applyFont="1" applyFill="1" applyAlignment="1">
      <alignment horizontal="right"/>
    </xf>
    <xf numFmtId="0" fontId="4" fillId="0" borderId="0" xfId="226" applyFont="1" applyAlignment="1">
      <alignment horizontal="right"/>
    </xf>
    <xf numFmtId="43" fontId="4" fillId="0" borderId="0" xfId="78" applyFont="1" applyFill="1" applyBorder="1" applyAlignment="1">
      <alignment horizontal="right"/>
    </xf>
    <xf numFmtId="43" fontId="4" fillId="0" borderId="0" xfId="78" applyFont="1" applyFill="1" applyBorder="1"/>
    <xf numFmtId="0" fontId="4" fillId="0" borderId="17" xfId="226" quotePrefix="1" applyFont="1" applyBorder="1"/>
    <xf numFmtId="0" fontId="4" fillId="0" borderId="17" xfId="226" applyFont="1" applyBorder="1"/>
    <xf numFmtId="43" fontId="4" fillId="0" borderId="17" xfId="78" applyFont="1" applyFill="1" applyBorder="1" applyAlignment="1">
      <alignment horizontal="right"/>
    </xf>
    <xf numFmtId="0" fontId="4" fillId="0" borderId="17" xfId="226" applyFont="1" applyBorder="1" applyAlignment="1">
      <alignment horizontal="right"/>
    </xf>
    <xf numFmtId="43" fontId="4" fillId="0" borderId="17" xfId="78" applyFont="1" applyFill="1" applyBorder="1"/>
    <xf numFmtId="170" fontId="4" fillId="0" borderId="17" xfId="226" applyNumberFormat="1" applyFont="1" applyBorder="1"/>
    <xf numFmtId="0" fontId="4" fillId="0" borderId="17" xfId="283" applyFont="1" applyBorder="1"/>
    <xf numFmtId="43" fontId="4" fillId="0" borderId="2" xfId="92" applyFont="1" applyBorder="1"/>
    <xf numFmtId="43" fontId="5" fillId="0" borderId="33" xfId="78" applyFont="1" applyBorder="1"/>
    <xf numFmtId="43" fontId="5" fillId="0" borderId="0" xfId="78" applyFont="1" applyBorder="1"/>
    <xf numFmtId="43" fontId="4" fillId="0" borderId="0" xfId="226" applyNumberFormat="1" applyFont="1"/>
    <xf numFmtId="43" fontId="4" fillId="0" borderId="5" xfId="226" applyNumberFormat="1" applyFont="1" applyBorder="1"/>
    <xf numFmtId="0" fontId="5" fillId="0" borderId="0" xfId="226" applyFont="1"/>
    <xf numFmtId="44" fontId="5" fillId="0" borderId="26" xfId="226" applyNumberFormat="1" applyFont="1" applyBorder="1"/>
    <xf numFmtId="175" fontId="156" fillId="0" borderId="0" xfId="78" applyNumberFormat="1" applyFont="1" applyBorder="1" applyAlignment="1">
      <alignment vertical="center" wrapText="1"/>
    </xf>
    <xf numFmtId="2" fontId="4" fillId="0" borderId="0" xfId="283" applyNumberFormat="1" applyFont="1"/>
    <xf numFmtId="0" fontId="4" fillId="0" borderId="0" xfId="195" applyFont="1"/>
    <xf numFmtId="0" fontId="4" fillId="0" borderId="0" xfId="195" applyFont="1" applyAlignment="1">
      <alignment horizontal="left" vertical="center" wrapText="1"/>
    </xf>
    <xf numFmtId="0" fontId="4" fillId="0" borderId="0" xfId="195" applyFont="1" applyAlignment="1">
      <alignment horizontal="center"/>
    </xf>
    <xf numFmtId="2" fontId="4" fillId="0" borderId="0" xfId="195" applyNumberFormat="1" applyFont="1"/>
    <xf numFmtId="0" fontId="5" fillId="0" borderId="0" xfId="195" applyFont="1" applyAlignment="1">
      <alignment horizontal="center"/>
    </xf>
    <xf numFmtId="0" fontId="4" fillId="0" borderId="5" xfId="195" applyFont="1" applyBorder="1" applyAlignment="1">
      <alignment horizontal="center"/>
    </xf>
    <xf numFmtId="0" fontId="12" fillId="0" borderId="0" xfId="195" applyFont="1" applyAlignment="1">
      <alignment horizontal="center"/>
    </xf>
    <xf numFmtId="0" fontId="5" fillId="0" borderId="0" xfId="195" applyFont="1" applyAlignment="1">
      <alignment horizontal="center" vertical="center"/>
    </xf>
    <xf numFmtId="0" fontId="12" fillId="0" borderId="5" xfId="195" applyFont="1" applyBorder="1" applyAlignment="1">
      <alignment horizontal="center"/>
    </xf>
    <xf numFmtId="0" fontId="4" fillId="0" borderId="0" xfId="195" applyFont="1" applyAlignment="1">
      <alignment horizontal="right"/>
    </xf>
    <xf numFmtId="43" fontId="4" fillId="0" borderId="2" xfId="78" applyFont="1" applyFill="1" applyBorder="1"/>
    <xf numFmtId="175" fontId="4" fillId="0" borderId="0" xfId="195" applyNumberFormat="1" applyFont="1"/>
    <xf numFmtId="43" fontId="4" fillId="0" borderId="0" xfId="78" applyFont="1" applyFill="1" applyAlignment="1">
      <alignment horizontal="center"/>
    </xf>
    <xf numFmtId="0" fontId="4" fillId="0" borderId="5" xfId="195" applyFont="1" applyBorder="1" applyAlignment="1">
      <alignment horizontal="right"/>
    </xf>
    <xf numFmtId="43" fontId="4" fillId="0" borderId="5" xfId="78" applyFont="1" applyFill="1" applyBorder="1"/>
    <xf numFmtId="10" fontId="4" fillId="0" borderId="0" xfId="78" applyNumberFormat="1" applyFont="1" applyFill="1"/>
    <xf numFmtId="0" fontId="5" fillId="0" borderId="0" xfId="195" applyFont="1"/>
    <xf numFmtId="43" fontId="12" fillId="0" borderId="5" xfId="78" applyFont="1" applyFill="1" applyBorder="1" applyAlignment="1">
      <alignment horizontal="center"/>
    </xf>
    <xf numFmtId="0" fontId="158" fillId="0" borderId="0" xfId="195" applyFont="1"/>
    <xf numFmtId="182" fontId="4" fillId="0" borderId="0" xfId="195" applyNumberFormat="1" applyFont="1" applyAlignment="1">
      <alignment horizontal="left"/>
    </xf>
    <xf numFmtId="43" fontId="4" fillId="0" borderId="0" xfId="101" applyFont="1"/>
    <xf numFmtId="10" fontId="4" fillId="0" borderId="0" xfId="325" applyNumberFormat="1" applyFont="1" applyBorder="1"/>
    <xf numFmtId="0" fontId="4" fillId="0" borderId="0" xfId="308" applyFont="1" applyAlignment="1">
      <alignment horizontal="left"/>
    </xf>
    <xf numFmtId="1" fontId="5" fillId="0" borderId="0" xfId="195" applyNumberFormat="1" applyFont="1"/>
    <xf numFmtId="175" fontId="5" fillId="0" borderId="0" xfId="101" applyNumberFormat="1" applyFont="1" applyFill="1" applyBorder="1"/>
    <xf numFmtId="43" fontId="4" fillId="0" borderId="2" xfId="195" applyNumberFormat="1" applyFont="1" applyBorder="1"/>
    <xf numFmtId="43" fontId="4" fillId="0" borderId="0" xfId="101" applyFont="1" applyBorder="1"/>
    <xf numFmtId="14" fontId="4" fillId="0" borderId="0" xfId="195" applyNumberFormat="1" applyFont="1"/>
    <xf numFmtId="168" fontId="4" fillId="0" borderId="0" xfId="195" applyNumberFormat="1" applyFont="1"/>
    <xf numFmtId="43" fontId="4" fillId="0" borderId="2" xfId="101" applyFont="1" applyBorder="1"/>
    <xf numFmtId="10" fontId="3" fillId="0" borderId="0" xfId="344" applyNumberFormat="1" applyFont="1" applyAlignment="1"/>
    <xf numFmtId="10" fontId="3" fillId="0" borderId="0" xfId="325" applyNumberFormat="1" applyFont="1"/>
    <xf numFmtId="37" fontId="0" fillId="0" borderId="5" xfId="0" applyBorder="1"/>
    <xf numFmtId="37" fontId="2" fillId="0" borderId="0" xfId="0" applyFont="1" applyAlignment="1">
      <alignment horizontal="center"/>
    </xf>
    <xf numFmtId="169" fontId="4" fillId="0" borderId="0" xfId="308" quotePrefix="1" applyNumberFormat="1" applyFont="1" applyAlignment="1">
      <alignment horizontal="left"/>
    </xf>
    <xf numFmtId="0" fontId="4" fillId="0" borderId="0" xfId="308" applyFont="1" applyAlignment="1">
      <alignment horizontal="center" vertical="center"/>
    </xf>
    <xf numFmtId="43" fontId="4" fillId="0" borderId="0" xfId="308" applyNumberFormat="1" applyFont="1"/>
    <xf numFmtId="44" fontId="4" fillId="0" borderId="0" xfId="308" applyNumberFormat="1" applyFont="1"/>
    <xf numFmtId="43" fontId="112" fillId="0" borderId="0" xfId="308" applyNumberFormat="1" applyFont="1"/>
    <xf numFmtId="0" fontId="4" fillId="0" borderId="0" xfId="308" applyFont="1" applyAlignment="1">
      <alignment horizontal="center"/>
    </xf>
    <xf numFmtId="0" fontId="112" fillId="0" borderId="0" xfId="308" applyFont="1"/>
    <xf numFmtId="0" fontId="5" fillId="0" borderId="0" xfId="308" applyFont="1" applyAlignment="1">
      <alignment horizontal="left"/>
    </xf>
    <xf numFmtId="0" fontId="4" fillId="0" borderId="23" xfId="308" applyFont="1" applyBorder="1" applyAlignment="1">
      <alignment horizontal="center"/>
    </xf>
    <xf numFmtId="14" fontId="4" fillId="0" borderId="23" xfId="308" quotePrefix="1" applyNumberFormat="1" applyFont="1" applyBorder="1" applyAlignment="1">
      <alignment horizontal="center"/>
    </xf>
    <xf numFmtId="14" fontId="4" fillId="0" borderId="23" xfId="308" applyNumberFormat="1" applyFont="1" applyBorder="1" applyAlignment="1">
      <alignment horizontal="center"/>
    </xf>
    <xf numFmtId="0" fontId="4" fillId="0" borderId="0" xfId="308" applyFont="1" applyAlignment="1">
      <alignment horizontal="fill"/>
    </xf>
    <xf numFmtId="9" fontId="4" fillId="0" borderId="0" xfId="308" applyNumberFormat="1" applyFont="1"/>
    <xf numFmtId="10" fontId="4" fillId="0" borderId="0" xfId="308" applyNumberFormat="1" applyFont="1"/>
    <xf numFmtId="39" fontId="4" fillId="0" borderId="0" xfId="308" applyNumberFormat="1" applyFont="1"/>
    <xf numFmtId="43" fontId="4" fillId="0" borderId="5" xfId="308" applyNumberFormat="1" applyFont="1" applyBorder="1"/>
    <xf numFmtId="0" fontId="60" fillId="0" borderId="0" xfId="308" applyFont="1"/>
    <xf numFmtId="0" fontId="155" fillId="0" borderId="0" xfId="308" applyFont="1"/>
    <xf numFmtId="9" fontId="112" fillId="0" borderId="0" xfId="308" applyNumberFormat="1" applyFont="1"/>
    <xf numFmtId="0" fontId="112" fillId="0" borderId="0" xfId="308" applyFont="1" applyAlignment="1">
      <alignment horizontal="center"/>
    </xf>
    <xf numFmtId="10" fontId="112" fillId="0" borderId="0" xfId="308" applyNumberFormat="1" applyFont="1"/>
    <xf numFmtId="43" fontId="4" fillId="0" borderId="25" xfId="308" applyNumberFormat="1" applyFont="1" applyBorder="1"/>
    <xf numFmtId="43" fontId="60" fillId="0" borderId="0" xfId="308" applyNumberFormat="1" applyFont="1"/>
    <xf numFmtId="0" fontId="60" fillId="0" borderId="0" xfId="308" applyFont="1" applyAlignment="1">
      <alignment horizontal="right"/>
    </xf>
    <xf numFmtId="43" fontId="155" fillId="0" borderId="0" xfId="308" applyNumberFormat="1" applyFont="1"/>
    <xf numFmtId="39" fontId="112" fillId="0" borderId="0" xfId="308" applyNumberFormat="1" applyFont="1"/>
    <xf numFmtId="43" fontId="112" fillId="0" borderId="5" xfId="308" applyNumberFormat="1" applyFont="1" applyBorder="1"/>
    <xf numFmtId="0" fontId="5" fillId="0" borderId="0" xfId="308" applyFont="1" applyAlignment="1">
      <alignment horizontal="center"/>
    </xf>
    <xf numFmtId="0" fontId="4" fillId="0" borderId="0" xfId="308" applyFont="1" applyAlignment="1">
      <alignment horizontal="right"/>
    </xf>
    <xf numFmtId="10" fontId="4" fillId="0" borderId="5" xfId="308" applyNumberFormat="1" applyFont="1" applyBorder="1"/>
    <xf numFmtId="39" fontId="4" fillId="0" borderId="33" xfId="308" applyNumberFormat="1" applyFont="1" applyBorder="1"/>
    <xf numFmtId="44" fontId="4" fillId="0" borderId="33" xfId="308" applyNumberFormat="1" applyFont="1" applyBorder="1"/>
    <xf numFmtId="37" fontId="15" fillId="0" borderId="0" xfId="0" applyFont="1" applyAlignment="1">
      <alignment horizontal="center"/>
    </xf>
    <xf numFmtId="37" fontId="5" fillId="0" borderId="0" xfId="0" applyFont="1" applyAlignment="1">
      <alignment horizontal="center"/>
    </xf>
    <xf numFmtId="37" fontId="4" fillId="0" borderId="0" xfId="0" applyFont="1" applyAlignment="1">
      <alignment horizontal="justify" vertical="top" wrapText="1"/>
    </xf>
    <xf numFmtId="37" fontId="5" fillId="0" borderId="0" xfId="0" applyFont="1" applyAlignment="1">
      <alignment horizontal="left" vertical="center" wrapText="1"/>
    </xf>
    <xf numFmtId="37" fontId="4" fillId="0" borderId="0" xfId="0" applyFont="1" applyAlignment="1">
      <alignment horizontal="left" vertical="center" wrapText="1"/>
    </xf>
    <xf numFmtId="174" fontId="4" fillId="0" borderId="0" xfId="0" applyNumberFormat="1" applyFont="1" applyAlignment="1">
      <alignment horizontal="left" vertical="center" wrapText="1"/>
    </xf>
    <xf numFmtId="37" fontId="5" fillId="0" borderId="0" xfId="0" applyFont="1" applyAlignment="1">
      <alignment horizontal="center" vertical="center"/>
    </xf>
    <xf numFmtId="37" fontId="5" fillId="0" borderId="0" xfId="0" applyFont="1" applyAlignment="1">
      <alignment horizontal="left" vertical="center"/>
    </xf>
    <xf numFmtId="0" fontId="20" fillId="22" borderId="43" xfId="426" applyBorder="1" applyAlignment="1">
      <alignment horizontal="center"/>
    </xf>
    <xf numFmtId="0" fontId="20" fillId="22" borderId="6" xfId="426" applyBorder="1" applyAlignment="1">
      <alignment horizontal="center"/>
    </xf>
    <xf numFmtId="0" fontId="20" fillId="22" borderId="44" xfId="426" applyBorder="1" applyAlignment="1">
      <alignment horizontal="center"/>
    </xf>
    <xf numFmtId="0" fontId="130" fillId="43" borderId="0" xfId="426" applyFont="1" applyFill="1" applyAlignment="1">
      <alignment horizontal="center"/>
    </xf>
    <xf numFmtId="0" fontId="4" fillId="43" borderId="62" xfId="426" applyFont="1" applyFill="1" applyBorder="1" applyAlignment="1">
      <alignment horizontal="center"/>
    </xf>
    <xf numFmtId="0" fontId="4" fillId="43" borderId="0" xfId="426" applyFont="1" applyFill="1" applyAlignment="1">
      <alignment horizontal="center"/>
    </xf>
    <xf numFmtId="0" fontId="4" fillId="43" borderId="64" xfId="426" applyFont="1" applyFill="1" applyBorder="1" applyAlignment="1">
      <alignment horizontal="center"/>
    </xf>
    <xf numFmtId="37" fontId="14" fillId="0" borderId="0" xfId="0" applyFont="1" applyAlignment="1">
      <alignment horizontal="justify" vertical="top" wrapText="1"/>
    </xf>
    <xf numFmtId="37" fontId="5" fillId="0" borderId="0" xfId="320" applyNumberFormat="1" applyFont="1" applyAlignment="1">
      <alignment horizontal="center" vertical="top"/>
    </xf>
    <xf numFmtId="49" fontId="14" fillId="0" borderId="0" xfId="0" applyNumberFormat="1" applyFont="1" applyAlignment="1">
      <alignment horizontal="left" vertical="top" wrapText="1"/>
    </xf>
    <xf numFmtId="37" fontId="15" fillId="0" borderId="0" xfId="320" applyNumberFormat="1" applyFont="1" applyAlignment="1">
      <alignment horizontal="center" vertical="top"/>
    </xf>
    <xf numFmtId="0" fontId="15" fillId="0" borderId="0" xfId="320" applyFont="1" applyAlignment="1">
      <alignment horizontal="center" vertical="top"/>
    </xf>
    <xf numFmtId="0" fontId="14" fillId="0" borderId="0" xfId="320" applyFont="1" applyAlignment="1">
      <alignment horizontal="left" vertical="top" wrapText="1"/>
    </xf>
    <xf numFmtId="37" fontId="96" fillId="0" borderId="0" xfId="0" applyFont="1" applyAlignment="1">
      <alignment horizontal="left"/>
    </xf>
    <xf numFmtId="0" fontId="153" fillId="0" borderId="0" xfId="320" applyFont="1" applyAlignment="1">
      <alignment horizontal="left" vertical="top"/>
    </xf>
    <xf numFmtId="0" fontId="4" fillId="0" borderId="0" xfId="320" applyFont="1" applyAlignment="1">
      <alignment horizontal="left"/>
    </xf>
    <xf numFmtId="0" fontId="14" fillId="0" borderId="0" xfId="320" applyFont="1" applyAlignment="1">
      <alignment horizontal="left"/>
    </xf>
    <xf numFmtId="0" fontId="14" fillId="0" borderId="0" xfId="320" applyFont="1" applyAlignment="1">
      <alignment horizontal="left" vertical="top"/>
    </xf>
    <xf numFmtId="0" fontId="153" fillId="0" borderId="0" xfId="320" applyFont="1" applyAlignment="1">
      <alignment horizontal="left"/>
    </xf>
    <xf numFmtId="37" fontId="100" fillId="0" borderId="0" xfId="0" applyFont="1" applyAlignment="1">
      <alignment horizontal="center"/>
    </xf>
    <xf numFmtId="37" fontId="95" fillId="0" borderId="0" xfId="0" applyFont="1" applyAlignment="1">
      <alignment horizontal="center"/>
    </xf>
    <xf numFmtId="37" fontId="100" fillId="0" borderId="0" xfId="320" applyNumberFormat="1" applyFont="1" applyAlignment="1">
      <alignment horizontal="center" vertical="top"/>
    </xf>
    <xf numFmtId="0" fontId="100" fillId="0" borderId="0" xfId="320" applyFont="1" applyAlignment="1">
      <alignment horizontal="center" vertical="top"/>
    </xf>
    <xf numFmtId="0" fontId="96" fillId="0" borderId="0" xfId="320" applyFont="1" applyAlignment="1">
      <alignment horizontal="justify" vertical="top"/>
    </xf>
    <xf numFmtId="0" fontId="110" fillId="0" borderId="0" xfId="320" applyFont="1" applyAlignment="1">
      <alignment horizontal="left" vertical="top" wrapText="1"/>
    </xf>
    <xf numFmtId="0" fontId="98" fillId="0" borderId="0" xfId="320" applyFont="1" applyAlignment="1">
      <alignment horizontal="center"/>
    </xf>
    <xf numFmtId="0" fontId="98" fillId="0" borderId="0" xfId="320" applyFont="1" applyAlignment="1">
      <alignment horizontal="center" wrapText="1"/>
    </xf>
    <xf numFmtId="0" fontId="96" fillId="0" borderId="0" xfId="320" applyFont="1" applyAlignment="1">
      <alignment horizontal="left" vertical="top" wrapText="1"/>
    </xf>
    <xf numFmtId="0" fontId="96" fillId="0" borderId="0" xfId="320" applyFont="1" applyAlignment="1">
      <alignment horizontal="left" vertical="top"/>
    </xf>
    <xf numFmtId="0" fontId="98" fillId="0" borderId="0" xfId="320" applyFont="1" applyAlignment="1">
      <alignment horizontal="center" vertical="top"/>
    </xf>
    <xf numFmtId="0" fontId="98" fillId="0" borderId="0" xfId="320" applyFont="1" applyAlignment="1">
      <alignment horizontal="center" vertical="top" wrapText="1"/>
    </xf>
    <xf numFmtId="37" fontId="14" fillId="0" borderId="0" xfId="0" applyFont="1" applyAlignment="1">
      <alignment horizontal="left"/>
    </xf>
    <xf numFmtId="37" fontId="24" fillId="0" borderId="0" xfId="0" applyFont="1" applyAlignment="1">
      <alignment horizontal="center"/>
    </xf>
    <xf numFmtId="37" fontId="5" fillId="0" borderId="0" xfId="222" applyNumberFormat="1" applyFont="1" applyAlignment="1">
      <alignment horizontal="center"/>
    </xf>
    <xf numFmtId="0" fontId="5" fillId="0" borderId="0" xfId="222" applyFont="1" applyAlignment="1">
      <alignment horizontal="center"/>
    </xf>
    <xf numFmtId="37" fontId="95" fillId="0" borderId="0" xfId="242" applyNumberFormat="1" applyFont="1" applyAlignment="1">
      <alignment horizontal="center"/>
    </xf>
    <xf numFmtId="37" fontId="15" fillId="0" borderId="0" xfId="308" applyNumberFormat="1" applyFont="1" applyAlignment="1">
      <alignment horizontal="center"/>
    </xf>
    <xf numFmtId="37" fontId="95" fillId="0" borderId="0" xfId="308" applyNumberFormat="1" applyFont="1" applyAlignment="1">
      <alignment horizontal="center"/>
    </xf>
    <xf numFmtId="37" fontId="5" fillId="0" borderId="0" xfId="308" applyNumberFormat="1" applyFont="1" applyAlignment="1">
      <alignment horizontal="center"/>
    </xf>
    <xf numFmtId="37" fontId="15" fillId="0" borderId="0" xfId="241" applyNumberFormat="1" applyFont="1" applyAlignment="1">
      <alignment horizontal="center"/>
    </xf>
    <xf numFmtId="0" fontId="15" fillId="0" borderId="0" xfId="241" applyFont="1" applyAlignment="1">
      <alignment horizontal="center"/>
    </xf>
    <xf numFmtId="37" fontId="95" fillId="0" borderId="0" xfId="241" applyNumberFormat="1" applyFont="1" applyAlignment="1">
      <alignment horizontal="center"/>
    </xf>
    <xf numFmtId="0" fontId="5" fillId="0" borderId="0" xfId="241" applyFont="1" applyAlignment="1">
      <alignment horizontal="center"/>
    </xf>
    <xf numFmtId="37" fontId="5" fillId="0" borderId="0" xfId="241" applyNumberFormat="1" applyFont="1" applyAlignment="1">
      <alignment horizontal="center"/>
    </xf>
    <xf numFmtId="37" fontId="96" fillId="0" borderId="0" xfId="0" applyFont="1" applyAlignment="1">
      <alignment horizontal="left" vertical="top" wrapText="1"/>
    </xf>
    <xf numFmtId="37" fontId="96" fillId="0" borderId="0" xfId="0" applyFont="1" applyAlignment="1">
      <alignment vertical="top" wrapText="1"/>
    </xf>
    <xf numFmtId="37" fontId="0" fillId="0" borderId="0" xfId="0" applyAlignment="1">
      <alignment vertical="top" wrapText="1"/>
    </xf>
    <xf numFmtId="0" fontId="95" fillId="0" borderId="0" xfId="241" applyFont="1" applyAlignment="1">
      <alignment horizontal="center"/>
    </xf>
    <xf numFmtId="49" fontId="102" fillId="0" borderId="0" xfId="283" applyNumberFormat="1" applyFont="1" applyAlignment="1">
      <alignment horizontal="left" vertical="top" wrapText="1"/>
    </xf>
    <xf numFmtId="0" fontId="17" fillId="0" borderId="0" xfId="226" applyFont="1" applyAlignment="1">
      <alignment horizontal="center"/>
    </xf>
    <xf numFmtId="0" fontId="18" fillId="0" borderId="0" xfId="226" applyFont="1" applyAlignment="1">
      <alignment horizontal="center"/>
    </xf>
    <xf numFmtId="37" fontId="95" fillId="0" borderId="0" xfId="222" applyNumberFormat="1" applyFont="1" applyAlignment="1">
      <alignment horizontal="center"/>
    </xf>
    <xf numFmtId="0" fontId="95" fillId="0" borderId="0" xfId="222" applyFont="1" applyAlignment="1">
      <alignment horizontal="center"/>
    </xf>
    <xf numFmtId="0" fontId="5" fillId="0" borderId="0" xfId="195" applyFont="1" applyAlignment="1">
      <alignment horizontal="center"/>
    </xf>
    <xf numFmtId="0" fontId="5" fillId="0" borderId="0" xfId="195" applyFont="1" applyAlignment="1">
      <alignment horizontal="center" vertical="center"/>
    </xf>
    <xf numFmtId="0" fontId="5" fillId="0" borderId="5" xfId="195" applyFont="1" applyBorder="1" applyAlignment="1">
      <alignment horizontal="center" vertical="center"/>
    </xf>
    <xf numFmtId="43" fontId="5" fillId="0" borderId="0" xfId="78" applyFont="1" applyFill="1" applyBorder="1" applyAlignment="1">
      <alignment horizontal="center"/>
    </xf>
    <xf numFmtId="43" fontId="157" fillId="0" borderId="0" xfId="78" applyFont="1" applyFill="1" applyAlignment="1">
      <alignment horizontal="center"/>
    </xf>
    <xf numFmtId="37" fontId="15" fillId="0" borderId="0" xfId="222" applyNumberFormat="1" applyFont="1" applyAlignment="1">
      <alignment horizontal="center"/>
    </xf>
    <xf numFmtId="0" fontId="15" fillId="0" borderId="0" xfId="222" applyFont="1" applyAlignment="1">
      <alignment horizontal="center"/>
    </xf>
    <xf numFmtId="0" fontId="4" fillId="0" borderId="0" xfId="195" applyFont="1" applyAlignment="1">
      <alignment horizontal="center"/>
    </xf>
    <xf numFmtId="43" fontId="12" fillId="0" borderId="0" xfId="78" applyFont="1" applyFill="1" applyBorder="1" applyAlignment="1">
      <alignment horizontal="center"/>
    </xf>
    <xf numFmtId="37" fontId="128" fillId="39" borderId="43" xfId="0" applyFont="1" applyFill="1" applyBorder="1" applyAlignment="1">
      <alignment horizontal="center"/>
    </xf>
    <xf numFmtId="37" fontId="128" fillId="39" borderId="6" xfId="0" applyFont="1" applyFill="1" applyBorder="1" applyAlignment="1">
      <alignment horizontal="center"/>
    </xf>
    <xf numFmtId="37" fontId="128" fillId="39" borderId="44" xfId="0" applyFont="1" applyFill="1" applyBorder="1" applyAlignment="1">
      <alignment horizontal="center"/>
    </xf>
    <xf numFmtId="37" fontId="0" fillId="0" borderId="0" xfId="0" applyAlignment="1">
      <alignment horizontal="left" vertical="top" wrapText="1"/>
    </xf>
    <xf numFmtId="37" fontId="122" fillId="0" borderId="41" xfId="0" applyFont="1" applyBorder="1" applyAlignment="1">
      <alignment horizontal="center" vertical="center" shrinkToFit="1" readingOrder="1"/>
    </xf>
    <xf numFmtId="37" fontId="123" fillId="39" borderId="43" xfId="0" applyFont="1" applyFill="1" applyBorder="1" applyAlignment="1">
      <alignment horizontal="center" vertical="center" shrinkToFit="1" readingOrder="1"/>
    </xf>
    <xf numFmtId="37" fontId="123" fillId="39" borderId="6" xfId="0" applyFont="1" applyFill="1" applyBorder="1" applyAlignment="1">
      <alignment horizontal="center" vertical="center" shrinkToFit="1" readingOrder="1"/>
    </xf>
    <xf numFmtId="37" fontId="123" fillId="39" borderId="44" xfId="0" applyFont="1" applyFill="1" applyBorder="1" applyAlignment="1">
      <alignment horizontal="center" vertical="center" shrinkToFit="1" readingOrder="1"/>
    </xf>
    <xf numFmtId="0" fontId="107" fillId="0" borderId="29" xfId="0" applyNumberFormat="1" applyFont="1" applyBorder="1" applyAlignment="1">
      <alignment horizontal="center"/>
    </xf>
    <xf numFmtId="0" fontId="107" fillId="0" borderId="46" xfId="0" applyNumberFormat="1" applyFont="1" applyBorder="1" applyAlignment="1">
      <alignment horizontal="center"/>
    </xf>
    <xf numFmtId="37" fontId="107" fillId="0" borderId="46" xfId="0" applyFont="1" applyBorder="1" applyAlignment="1">
      <alignment horizontal="center"/>
    </xf>
    <xf numFmtId="37" fontId="107" fillId="0" borderId="47" xfId="0" applyFont="1" applyBorder="1" applyAlignment="1">
      <alignment horizontal="center"/>
    </xf>
    <xf numFmtId="49" fontId="123" fillId="39" borderId="43" xfId="0" applyNumberFormat="1" applyFont="1" applyFill="1" applyBorder="1" applyAlignment="1">
      <alignment horizontal="center" vertical="center" shrinkToFit="1" readingOrder="1"/>
    </xf>
    <xf numFmtId="49" fontId="123" fillId="39" borderId="6" xfId="0" applyNumberFormat="1" applyFont="1" applyFill="1" applyBorder="1" applyAlignment="1">
      <alignment horizontal="center" vertical="center" shrinkToFit="1" readingOrder="1"/>
    </xf>
    <xf numFmtId="49" fontId="123" fillId="39" borderId="44" xfId="0" applyNumberFormat="1" applyFont="1" applyFill="1" applyBorder="1" applyAlignment="1">
      <alignment horizontal="center" vertical="center" shrinkToFit="1" readingOrder="1"/>
    </xf>
    <xf numFmtId="49" fontId="123" fillId="40" borderId="43" xfId="0" applyNumberFormat="1" applyFont="1" applyFill="1" applyBorder="1" applyAlignment="1">
      <alignment horizontal="center" vertical="center" shrinkToFit="1" readingOrder="1"/>
    </xf>
    <xf numFmtId="49" fontId="123" fillId="40" borderId="6" xfId="0" applyNumberFormat="1" applyFont="1" applyFill="1" applyBorder="1" applyAlignment="1">
      <alignment horizontal="center" vertical="center" shrinkToFit="1" readingOrder="1"/>
    </xf>
    <xf numFmtId="49" fontId="123" fillId="40" borderId="44" xfId="0" applyNumberFormat="1" applyFont="1" applyFill="1" applyBorder="1" applyAlignment="1">
      <alignment horizontal="center" vertical="center" shrinkToFit="1" readingOrder="1"/>
    </xf>
  </cellXfs>
  <cellStyles count="428">
    <cellStyle name="20% - Accent1 2" xfId="1" xr:uid="{00000000-0005-0000-0000-000000000000}"/>
    <cellStyle name="20% - Accent1 3"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4 3" xfId="6" xr:uid="{00000000-0005-0000-0000-000005000000}"/>
    <cellStyle name="20% - Accent5 2" xfId="7" xr:uid="{00000000-0005-0000-0000-000006000000}"/>
    <cellStyle name="20% - Accent6 2" xfId="8" xr:uid="{00000000-0005-0000-0000-000007000000}"/>
    <cellStyle name="40% - Accent1 2" xfId="9" xr:uid="{00000000-0005-0000-0000-000008000000}"/>
    <cellStyle name="40% - Accent1 3" xfId="10" xr:uid="{00000000-0005-0000-0000-000009000000}"/>
    <cellStyle name="40% - Accent2 2" xfId="11" xr:uid="{00000000-0005-0000-0000-00000A000000}"/>
    <cellStyle name="40% - Accent3 2" xfId="12" xr:uid="{00000000-0005-0000-0000-00000B000000}"/>
    <cellStyle name="40% - Accent4 2" xfId="13" xr:uid="{00000000-0005-0000-0000-00000C000000}"/>
    <cellStyle name="40% - Accent4 3" xfId="14" xr:uid="{00000000-0005-0000-0000-00000D000000}"/>
    <cellStyle name="40% - Accent5 2" xfId="15" xr:uid="{00000000-0005-0000-0000-00000E000000}"/>
    <cellStyle name="40% - Accent6 2" xfId="16" xr:uid="{00000000-0005-0000-0000-00000F000000}"/>
    <cellStyle name="40% - Accent6 3" xfId="17" xr:uid="{00000000-0005-0000-0000-000010000000}"/>
    <cellStyle name="60% - Accent1 2" xfId="18" xr:uid="{00000000-0005-0000-0000-000011000000}"/>
    <cellStyle name="60% - Accent1 3" xfId="19" xr:uid="{00000000-0005-0000-0000-000012000000}"/>
    <cellStyle name="60% - Accent2 2" xfId="20" xr:uid="{00000000-0005-0000-0000-000013000000}"/>
    <cellStyle name="60% - Accent3 2" xfId="21" xr:uid="{00000000-0005-0000-0000-000014000000}"/>
    <cellStyle name="60% - Accent3 3" xfId="22" xr:uid="{00000000-0005-0000-0000-000015000000}"/>
    <cellStyle name="60% - Accent4 2" xfId="23" xr:uid="{00000000-0005-0000-0000-000016000000}"/>
    <cellStyle name="60% - Accent4 3" xfId="24" xr:uid="{00000000-0005-0000-0000-000017000000}"/>
    <cellStyle name="60% - Accent5 2" xfId="25" xr:uid="{00000000-0005-0000-0000-000018000000}"/>
    <cellStyle name="60% - Accent6 2" xfId="26" xr:uid="{00000000-0005-0000-0000-000019000000}"/>
    <cellStyle name="Accent1 2" xfId="27" xr:uid="{00000000-0005-0000-0000-00001A000000}"/>
    <cellStyle name="Accent1 3" xfId="28" xr:uid="{00000000-0005-0000-0000-00001B000000}"/>
    <cellStyle name="Accent2 2" xfId="29" xr:uid="{00000000-0005-0000-0000-00001C000000}"/>
    <cellStyle name="Accent3 2" xfId="30" xr:uid="{00000000-0005-0000-0000-00001D000000}"/>
    <cellStyle name="Accent4 2" xfId="31" xr:uid="{00000000-0005-0000-0000-00001E000000}"/>
    <cellStyle name="Accent5" xfId="423" builtinId="45"/>
    <cellStyle name="Accent5 2" xfId="32" xr:uid="{00000000-0005-0000-0000-00001F000000}"/>
    <cellStyle name="Accent6 2" xfId="33" xr:uid="{00000000-0005-0000-0000-000020000000}"/>
    <cellStyle name="Accounting" xfId="34" xr:uid="{00000000-0005-0000-0000-000021000000}"/>
    <cellStyle name="Accounting 2" xfId="35" xr:uid="{00000000-0005-0000-0000-000022000000}"/>
    <cellStyle name="Accounting 3" xfId="36" xr:uid="{00000000-0005-0000-0000-000023000000}"/>
    <cellStyle name="Accounting_2011-11" xfId="37" xr:uid="{00000000-0005-0000-0000-000024000000}"/>
    <cellStyle name="Bad 2" xfId="38" xr:uid="{00000000-0005-0000-0000-000025000000}"/>
    <cellStyle name="Budget" xfId="39" xr:uid="{00000000-0005-0000-0000-000026000000}"/>
    <cellStyle name="Budget 2" xfId="40" xr:uid="{00000000-0005-0000-0000-000027000000}"/>
    <cellStyle name="Budget 3" xfId="41" xr:uid="{00000000-0005-0000-0000-000028000000}"/>
    <cellStyle name="Budget_2011-11" xfId="42" xr:uid="{00000000-0005-0000-0000-000029000000}"/>
    <cellStyle name="C00A" xfId="43" xr:uid="{00000000-0005-0000-0000-00002A000000}"/>
    <cellStyle name="C00B" xfId="44" xr:uid="{00000000-0005-0000-0000-00002B000000}"/>
    <cellStyle name="C00L" xfId="45" xr:uid="{00000000-0005-0000-0000-00002C000000}"/>
    <cellStyle name="C01A" xfId="46" xr:uid="{00000000-0005-0000-0000-00002D000000}"/>
    <cellStyle name="C01B" xfId="47" xr:uid="{00000000-0005-0000-0000-00002E000000}"/>
    <cellStyle name="C01H" xfId="48" xr:uid="{00000000-0005-0000-0000-00002F000000}"/>
    <cellStyle name="C01L" xfId="49" xr:uid="{00000000-0005-0000-0000-000030000000}"/>
    <cellStyle name="C02A" xfId="50" xr:uid="{00000000-0005-0000-0000-000031000000}"/>
    <cellStyle name="C02B" xfId="51" xr:uid="{00000000-0005-0000-0000-000032000000}"/>
    <cellStyle name="C02H" xfId="52" xr:uid="{00000000-0005-0000-0000-000033000000}"/>
    <cellStyle name="C02L" xfId="53" xr:uid="{00000000-0005-0000-0000-000034000000}"/>
    <cellStyle name="C03A" xfId="54" xr:uid="{00000000-0005-0000-0000-000035000000}"/>
    <cellStyle name="C03B" xfId="55" xr:uid="{00000000-0005-0000-0000-000036000000}"/>
    <cellStyle name="C03H" xfId="56" xr:uid="{00000000-0005-0000-0000-000037000000}"/>
    <cellStyle name="C03L" xfId="57" xr:uid="{00000000-0005-0000-0000-000038000000}"/>
    <cellStyle name="C04A" xfId="58" xr:uid="{00000000-0005-0000-0000-000039000000}"/>
    <cellStyle name="C04B" xfId="59" xr:uid="{00000000-0005-0000-0000-00003A000000}"/>
    <cellStyle name="C04H" xfId="60" xr:uid="{00000000-0005-0000-0000-00003B000000}"/>
    <cellStyle name="C04L" xfId="61" xr:uid="{00000000-0005-0000-0000-00003C000000}"/>
    <cellStyle name="C05A" xfId="62" xr:uid="{00000000-0005-0000-0000-00003D000000}"/>
    <cellStyle name="C05B" xfId="63" xr:uid="{00000000-0005-0000-0000-00003E000000}"/>
    <cellStyle name="C05H" xfId="64" xr:uid="{00000000-0005-0000-0000-00003F000000}"/>
    <cellStyle name="C05L" xfId="65" xr:uid="{00000000-0005-0000-0000-000040000000}"/>
    <cellStyle name="C06A" xfId="66" xr:uid="{00000000-0005-0000-0000-000041000000}"/>
    <cellStyle name="C06B" xfId="67" xr:uid="{00000000-0005-0000-0000-000042000000}"/>
    <cellStyle name="C06H" xfId="68" xr:uid="{00000000-0005-0000-0000-000043000000}"/>
    <cellStyle name="C06L" xfId="69" xr:uid="{00000000-0005-0000-0000-000044000000}"/>
    <cellStyle name="C07A" xfId="70" xr:uid="{00000000-0005-0000-0000-000045000000}"/>
    <cellStyle name="C07B" xfId="71" xr:uid="{00000000-0005-0000-0000-000046000000}"/>
    <cellStyle name="C07H" xfId="72" xr:uid="{00000000-0005-0000-0000-000047000000}"/>
    <cellStyle name="C07L" xfId="73" xr:uid="{00000000-0005-0000-0000-000048000000}"/>
    <cellStyle name="Calculation 2" xfId="74" xr:uid="{00000000-0005-0000-0000-000049000000}"/>
    <cellStyle name="Calculation 3" xfId="75" xr:uid="{00000000-0005-0000-0000-00004A000000}"/>
    <cellStyle name="Check Cell 2" xfId="76" xr:uid="{00000000-0005-0000-0000-00004B000000}"/>
    <cellStyle name="combo" xfId="77" xr:uid="{00000000-0005-0000-0000-00004C000000}"/>
    <cellStyle name="Comma" xfId="78" builtinId="3"/>
    <cellStyle name="Comma [0] 2" xfId="79" xr:uid="{00000000-0005-0000-0000-00004E000000}"/>
    <cellStyle name="Comma 10" xfId="80" xr:uid="{00000000-0005-0000-0000-00004F000000}"/>
    <cellStyle name="Comma 11" xfId="81" xr:uid="{00000000-0005-0000-0000-000050000000}"/>
    <cellStyle name="Comma 12" xfId="82" xr:uid="{00000000-0005-0000-0000-000051000000}"/>
    <cellStyle name="Comma 13" xfId="83" xr:uid="{00000000-0005-0000-0000-000052000000}"/>
    <cellStyle name="Comma 14" xfId="84" xr:uid="{00000000-0005-0000-0000-000053000000}"/>
    <cellStyle name="Comma 15" xfId="85" xr:uid="{00000000-0005-0000-0000-000054000000}"/>
    <cellStyle name="Comma 16" xfId="86" xr:uid="{00000000-0005-0000-0000-000055000000}"/>
    <cellStyle name="Comma 17" xfId="87" xr:uid="{00000000-0005-0000-0000-000056000000}"/>
    <cellStyle name="Comma 18" xfId="88" xr:uid="{00000000-0005-0000-0000-000057000000}"/>
    <cellStyle name="Comma 19" xfId="89" xr:uid="{00000000-0005-0000-0000-000058000000}"/>
    <cellStyle name="Comma 2" xfId="90" xr:uid="{00000000-0005-0000-0000-000059000000}"/>
    <cellStyle name="Comma 2 2" xfId="91" xr:uid="{00000000-0005-0000-0000-00005A000000}"/>
    <cellStyle name="Comma 2 2 2" xfId="92" xr:uid="{00000000-0005-0000-0000-00005B000000}"/>
    <cellStyle name="Comma 2 2 2 2" xfId="93" xr:uid="{00000000-0005-0000-0000-00005C000000}"/>
    <cellStyle name="Comma 2 2 3" xfId="94" xr:uid="{00000000-0005-0000-0000-00005D000000}"/>
    <cellStyle name="Comma 2 2 4" xfId="424" xr:uid="{8D398440-C94C-4372-A0CC-CD583C039B1B}"/>
    <cellStyle name="Comma 2 3" xfId="95" xr:uid="{00000000-0005-0000-0000-00005E000000}"/>
    <cellStyle name="Comma 2 3 2" xfId="96" xr:uid="{00000000-0005-0000-0000-00005F000000}"/>
    <cellStyle name="Comma 2 4" xfId="97" xr:uid="{00000000-0005-0000-0000-000060000000}"/>
    <cellStyle name="Comma 2 4 2" xfId="98" xr:uid="{00000000-0005-0000-0000-000061000000}"/>
    <cellStyle name="Comma 20" xfId="99" xr:uid="{00000000-0005-0000-0000-000062000000}"/>
    <cellStyle name="Comma 21" xfId="100" xr:uid="{00000000-0005-0000-0000-000063000000}"/>
    <cellStyle name="Comma 22" xfId="101" xr:uid="{00000000-0005-0000-0000-000064000000}"/>
    <cellStyle name="Comma 3" xfId="102" xr:uid="{00000000-0005-0000-0000-000065000000}"/>
    <cellStyle name="Comma 3 2" xfId="103" xr:uid="{00000000-0005-0000-0000-000066000000}"/>
    <cellStyle name="Comma 3 2 2" xfId="104" xr:uid="{00000000-0005-0000-0000-000067000000}"/>
    <cellStyle name="Comma 3 3" xfId="105" xr:uid="{00000000-0005-0000-0000-000068000000}"/>
    <cellStyle name="Comma 3 4" xfId="106" xr:uid="{00000000-0005-0000-0000-000069000000}"/>
    <cellStyle name="Comma 4" xfId="107" xr:uid="{00000000-0005-0000-0000-00006A000000}"/>
    <cellStyle name="Comma 4 2" xfId="108" xr:uid="{00000000-0005-0000-0000-00006B000000}"/>
    <cellStyle name="Comma 4 3" xfId="109" xr:uid="{00000000-0005-0000-0000-00006C000000}"/>
    <cellStyle name="Comma 4 4" xfId="110" xr:uid="{00000000-0005-0000-0000-00006D000000}"/>
    <cellStyle name="Comma 4 5" xfId="111" xr:uid="{00000000-0005-0000-0000-00006E000000}"/>
    <cellStyle name="Comma 4 6" xfId="112" xr:uid="{00000000-0005-0000-0000-00006F000000}"/>
    <cellStyle name="Comma 5" xfId="113" xr:uid="{00000000-0005-0000-0000-000070000000}"/>
    <cellStyle name="Comma 5 2" xfId="114" xr:uid="{00000000-0005-0000-0000-000071000000}"/>
    <cellStyle name="Comma 6" xfId="115" xr:uid="{00000000-0005-0000-0000-000072000000}"/>
    <cellStyle name="Comma 6 2" xfId="116" xr:uid="{00000000-0005-0000-0000-000073000000}"/>
    <cellStyle name="Comma 6 3" xfId="117" xr:uid="{00000000-0005-0000-0000-000074000000}"/>
    <cellStyle name="Comma 7" xfId="118" xr:uid="{00000000-0005-0000-0000-000075000000}"/>
    <cellStyle name="Comma 7 2" xfId="119" xr:uid="{00000000-0005-0000-0000-000076000000}"/>
    <cellStyle name="Comma 7 3" xfId="120" xr:uid="{00000000-0005-0000-0000-000077000000}"/>
    <cellStyle name="Comma 8" xfId="121" xr:uid="{00000000-0005-0000-0000-000078000000}"/>
    <cellStyle name="Comma 8 2" xfId="122" xr:uid="{00000000-0005-0000-0000-000079000000}"/>
    <cellStyle name="Comma 9" xfId="123" xr:uid="{00000000-0005-0000-0000-00007A000000}"/>
    <cellStyle name="Comma(2)" xfId="124" xr:uid="{00000000-0005-0000-0000-00007B000000}"/>
    <cellStyle name="Comma0" xfId="125" xr:uid="{00000000-0005-0000-0000-00007C000000}"/>
    <cellStyle name="Comma0 - Style2" xfId="126" xr:uid="{00000000-0005-0000-0000-00007D000000}"/>
    <cellStyle name="Comma1 - Style1" xfId="127" xr:uid="{00000000-0005-0000-0000-00007E000000}"/>
    <cellStyle name="Comments" xfId="128" xr:uid="{00000000-0005-0000-0000-00007F000000}"/>
    <cellStyle name="Currency" xfId="129" builtinId="4"/>
    <cellStyle name="Currency 10" xfId="130" xr:uid="{00000000-0005-0000-0000-000081000000}"/>
    <cellStyle name="Currency 2" xfId="131" xr:uid="{00000000-0005-0000-0000-000082000000}"/>
    <cellStyle name="Currency 2 2" xfId="132" xr:uid="{00000000-0005-0000-0000-000083000000}"/>
    <cellStyle name="Currency 2 2 2" xfId="133" xr:uid="{00000000-0005-0000-0000-000084000000}"/>
    <cellStyle name="Currency 2 3" xfId="134" xr:uid="{00000000-0005-0000-0000-000085000000}"/>
    <cellStyle name="Currency 2 3 2" xfId="135" xr:uid="{00000000-0005-0000-0000-000086000000}"/>
    <cellStyle name="Currency 2 3 3" xfId="136" xr:uid="{00000000-0005-0000-0000-000087000000}"/>
    <cellStyle name="Currency 2 4" xfId="137" xr:uid="{00000000-0005-0000-0000-000088000000}"/>
    <cellStyle name="Currency 2 4 2" xfId="138" xr:uid="{00000000-0005-0000-0000-000089000000}"/>
    <cellStyle name="Currency 2 5" xfId="139" xr:uid="{00000000-0005-0000-0000-00008A000000}"/>
    <cellStyle name="Currency 3" xfId="140" xr:uid="{00000000-0005-0000-0000-00008B000000}"/>
    <cellStyle name="Currency 3 2" xfId="141" xr:uid="{00000000-0005-0000-0000-00008C000000}"/>
    <cellStyle name="Currency 3 3" xfId="142" xr:uid="{00000000-0005-0000-0000-00008D000000}"/>
    <cellStyle name="Currency 4" xfId="143" xr:uid="{00000000-0005-0000-0000-00008E000000}"/>
    <cellStyle name="Currency 4 2" xfId="144" xr:uid="{00000000-0005-0000-0000-00008F000000}"/>
    <cellStyle name="Currency 5" xfId="145" xr:uid="{00000000-0005-0000-0000-000090000000}"/>
    <cellStyle name="Currency 5 2" xfId="146" xr:uid="{00000000-0005-0000-0000-000091000000}"/>
    <cellStyle name="Currency 5 3" xfId="147" xr:uid="{00000000-0005-0000-0000-000092000000}"/>
    <cellStyle name="Currency 6" xfId="148" xr:uid="{00000000-0005-0000-0000-000093000000}"/>
    <cellStyle name="Currency 6 2" xfId="149" xr:uid="{00000000-0005-0000-0000-000094000000}"/>
    <cellStyle name="Currency 7" xfId="150" xr:uid="{00000000-0005-0000-0000-000095000000}"/>
    <cellStyle name="Currency 7 2" xfId="151" xr:uid="{00000000-0005-0000-0000-000096000000}"/>
    <cellStyle name="Currency 8" xfId="152" xr:uid="{00000000-0005-0000-0000-000097000000}"/>
    <cellStyle name="Currency 8 2" xfId="153" xr:uid="{00000000-0005-0000-0000-000098000000}"/>
    <cellStyle name="Currency 9" xfId="154" xr:uid="{00000000-0005-0000-0000-000099000000}"/>
    <cellStyle name="Currency 9 2" xfId="155" xr:uid="{00000000-0005-0000-0000-00009A000000}"/>
    <cellStyle name="Currency0" xfId="156" xr:uid="{00000000-0005-0000-0000-00009B000000}"/>
    <cellStyle name="Data Enter" xfId="157" xr:uid="{00000000-0005-0000-0000-00009C000000}"/>
    <cellStyle name="Date" xfId="158" xr:uid="{00000000-0005-0000-0000-00009D000000}"/>
    <cellStyle name="date 2" xfId="159" xr:uid="{00000000-0005-0000-0000-00009E000000}"/>
    <cellStyle name="Explanatory Text 2" xfId="160" xr:uid="{00000000-0005-0000-0000-00009F000000}"/>
    <cellStyle name="FactSheet" xfId="161" xr:uid="{00000000-0005-0000-0000-0000A0000000}"/>
    <cellStyle name="fish" xfId="162" xr:uid="{00000000-0005-0000-0000-0000A1000000}"/>
    <cellStyle name="Fixed" xfId="163" xr:uid="{00000000-0005-0000-0000-0000A2000000}"/>
    <cellStyle name="Good 2" xfId="164" xr:uid="{00000000-0005-0000-0000-0000A3000000}"/>
    <cellStyle name="Grey" xfId="165" xr:uid="{00000000-0005-0000-0000-0000A4000000}"/>
    <cellStyle name="Header1" xfId="166" xr:uid="{00000000-0005-0000-0000-0000A5000000}"/>
    <cellStyle name="Header2" xfId="167" xr:uid="{00000000-0005-0000-0000-0000A6000000}"/>
    <cellStyle name="Heading 1 2" xfId="168" xr:uid="{00000000-0005-0000-0000-0000A7000000}"/>
    <cellStyle name="Heading 1 3" xfId="169" xr:uid="{00000000-0005-0000-0000-0000A8000000}"/>
    <cellStyle name="Heading 2 2" xfId="170" xr:uid="{00000000-0005-0000-0000-0000A9000000}"/>
    <cellStyle name="Heading 2 3" xfId="171" xr:uid="{00000000-0005-0000-0000-0000AA000000}"/>
    <cellStyle name="Heading 3 2" xfId="172" xr:uid="{00000000-0005-0000-0000-0000AB000000}"/>
    <cellStyle name="Heading 3 3" xfId="173" xr:uid="{00000000-0005-0000-0000-0000AC000000}"/>
    <cellStyle name="Heading 4 2" xfId="174" xr:uid="{00000000-0005-0000-0000-0000AD000000}"/>
    <cellStyle name="Hyperlink 2" xfId="175" xr:uid="{00000000-0005-0000-0000-0000AE000000}"/>
    <cellStyle name="Hyperlink 3" xfId="176" xr:uid="{00000000-0005-0000-0000-0000AF000000}"/>
    <cellStyle name="Hyperlink 4" xfId="177" xr:uid="{00000000-0005-0000-0000-0000B0000000}"/>
    <cellStyle name="Input [yellow]" xfId="178" xr:uid="{00000000-0005-0000-0000-0000B1000000}"/>
    <cellStyle name="Input 2" xfId="179" xr:uid="{00000000-0005-0000-0000-0000B2000000}"/>
    <cellStyle name="input(0)" xfId="180" xr:uid="{00000000-0005-0000-0000-0000B3000000}"/>
    <cellStyle name="Input(2)" xfId="181" xr:uid="{00000000-0005-0000-0000-0000B4000000}"/>
    <cellStyle name="Linked Cell 2" xfId="182" xr:uid="{00000000-0005-0000-0000-0000B5000000}"/>
    <cellStyle name="MW_STANDARD" xfId="183" xr:uid="{00000000-0005-0000-0000-0000B6000000}"/>
    <cellStyle name="Neutral 2" xfId="184" xr:uid="{00000000-0005-0000-0000-0000B7000000}"/>
    <cellStyle name="New_normal" xfId="185" xr:uid="{00000000-0005-0000-0000-0000B8000000}"/>
    <cellStyle name="Normal" xfId="0" builtinId="0"/>
    <cellStyle name="Normal - Style1" xfId="186" xr:uid="{00000000-0005-0000-0000-0000BA000000}"/>
    <cellStyle name="Normal - Style2" xfId="187" xr:uid="{00000000-0005-0000-0000-0000BB000000}"/>
    <cellStyle name="Normal - Style3" xfId="188" xr:uid="{00000000-0005-0000-0000-0000BC000000}"/>
    <cellStyle name="Normal - Style4" xfId="189" xr:uid="{00000000-0005-0000-0000-0000BD000000}"/>
    <cellStyle name="Normal - Style5" xfId="190" xr:uid="{00000000-0005-0000-0000-0000BE000000}"/>
    <cellStyle name="Normal - Style6" xfId="191" xr:uid="{00000000-0005-0000-0000-0000BF000000}"/>
    <cellStyle name="Normal - Style7" xfId="192" xr:uid="{00000000-0005-0000-0000-0000C0000000}"/>
    <cellStyle name="Normal - Style8" xfId="193" xr:uid="{00000000-0005-0000-0000-0000C1000000}"/>
    <cellStyle name="Normal 10" xfId="194" xr:uid="{00000000-0005-0000-0000-0000C2000000}"/>
    <cellStyle name="Normal 10 2" xfId="195" xr:uid="{00000000-0005-0000-0000-0000C3000000}"/>
    <cellStyle name="Normal 10 2 2" xfId="196" xr:uid="{00000000-0005-0000-0000-0000C4000000}"/>
    <cellStyle name="Normal 10 2 3" xfId="197" xr:uid="{00000000-0005-0000-0000-0000C5000000}"/>
    <cellStyle name="Normal 10 3" xfId="198" xr:uid="{00000000-0005-0000-0000-0000C6000000}"/>
    <cellStyle name="Normal 10_2112 DF Schedule" xfId="199" xr:uid="{00000000-0005-0000-0000-0000C7000000}"/>
    <cellStyle name="Normal 11" xfId="200" xr:uid="{00000000-0005-0000-0000-0000C8000000}"/>
    <cellStyle name="Normal 11 2" xfId="201" xr:uid="{00000000-0005-0000-0000-0000C9000000}"/>
    <cellStyle name="Normal 11 3" xfId="202" xr:uid="{00000000-0005-0000-0000-0000CA000000}"/>
    <cellStyle name="Normal 12" xfId="203" xr:uid="{00000000-0005-0000-0000-0000CB000000}"/>
    <cellStyle name="Normal 12 2" xfId="204" xr:uid="{00000000-0005-0000-0000-0000CC000000}"/>
    <cellStyle name="Normal 13" xfId="205" xr:uid="{00000000-0005-0000-0000-0000CD000000}"/>
    <cellStyle name="Normal 13 2" xfId="206" xr:uid="{00000000-0005-0000-0000-0000CE000000}"/>
    <cellStyle name="Normal 14" xfId="207" xr:uid="{00000000-0005-0000-0000-0000CF000000}"/>
    <cellStyle name="Normal 14 2" xfId="208" xr:uid="{00000000-0005-0000-0000-0000D0000000}"/>
    <cellStyle name="Normal 15" xfId="209" xr:uid="{00000000-0005-0000-0000-0000D1000000}"/>
    <cellStyle name="Normal 15 2" xfId="210" xr:uid="{00000000-0005-0000-0000-0000D2000000}"/>
    <cellStyle name="Normal 16" xfId="211" xr:uid="{00000000-0005-0000-0000-0000D3000000}"/>
    <cellStyle name="Normal 16 2" xfId="212" xr:uid="{00000000-0005-0000-0000-0000D4000000}"/>
    <cellStyle name="Normal 17" xfId="213" xr:uid="{00000000-0005-0000-0000-0000D5000000}"/>
    <cellStyle name="Normal 18" xfId="214" xr:uid="{00000000-0005-0000-0000-0000D6000000}"/>
    <cellStyle name="Normal 19" xfId="215" xr:uid="{00000000-0005-0000-0000-0000D7000000}"/>
    <cellStyle name="Normal 2" xfId="216" xr:uid="{00000000-0005-0000-0000-0000D8000000}"/>
    <cellStyle name="Normal 2 2" xfId="217" xr:uid="{00000000-0005-0000-0000-0000D9000000}"/>
    <cellStyle name="Normal 2 2 2" xfId="218" xr:uid="{00000000-0005-0000-0000-0000DA000000}"/>
    <cellStyle name="Normal 2 2 3" xfId="219" xr:uid="{00000000-0005-0000-0000-0000DB000000}"/>
    <cellStyle name="Normal 2 2 4" xfId="220" xr:uid="{00000000-0005-0000-0000-0000DC000000}"/>
    <cellStyle name="Normal 2 2_Actual_Fuel" xfId="221" xr:uid="{00000000-0005-0000-0000-0000DD000000}"/>
    <cellStyle name="Normal 2 3" xfId="222" xr:uid="{00000000-0005-0000-0000-0000DE000000}"/>
    <cellStyle name="Normal 2 3 2" xfId="223" xr:uid="{00000000-0005-0000-0000-0000DF000000}"/>
    <cellStyle name="Normal 2 3 3" xfId="224" xr:uid="{00000000-0005-0000-0000-0000E0000000}"/>
    <cellStyle name="Normal 2 3 4" xfId="225" xr:uid="{00000000-0005-0000-0000-0000E1000000}"/>
    <cellStyle name="Normal 2 4" xfId="226" xr:uid="{00000000-0005-0000-0000-0000E2000000}"/>
    <cellStyle name="Normal 2 4 2" xfId="227" xr:uid="{00000000-0005-0000-0000-0000E3000000}"/>
    <cellStyle name="Normal 2 5" xfId="228" xr:uid="{00000000-0005-0000-0000-0000E4000000}"/>
    <cellStyle name="Normal 2 6" xfId="229" xr:uid="{00000000-0005-0000-0000-0000E5000000}"/>
    <cellStyle name="Normal 2 7" xfId="427" xr:uid="{0DD73BAF-36A7-4E95-A576-202BE2608CC6}"/>
    <cellStyle name="Normal 2_2012-10" xfId="230" xr:uid="{00000000-0005-0000-0000-0000E6000000}"/>
    <cellStyle name="Normal 20" xfId="231" xr:uid="{00000000-0005-0000-0000-0000E7000000}"/>
    <cellStyle name="Normal 21" xfId="232" xr:uid="{00000000-0005-0000-0000-0000E8000000}"/>
    <cellStyle name="Normal 22" xfId="233" xr:uid="{00000000-0005-0000-0000-0000E9000000}"/>
    <cellStyle name="Normal 23" xfId="234" xr:uid="{00000000-0005-0000-0000-0000EA000000}"/>
    <cellStyle name="Normal 24" xfId="235" xr:uid="{00000000-0005-0000-0000-0000EB000000}"/>
    <cellStyle name="Normal 25" xfId="236" xr:uid="{00000000-0005-0000-0000-0000EC000000}"/>
    <cellStyle name="Normal 26" xfId="237" xr:uid="{00000000-0005-0000-0000-0000ED000000}"/>
    <cellStyle name="Normal 27" xfId="238" xr:uid="{00000000-0005-0000-0000-0000EE000000}"/>
    <cellStyle name="Normal 28" xfId="239" xr:uid="{00000000-0005-0000-0000-0000EF000000}"/>
    <cellStyle name="Normal 29" xfId="240" xr:uid="{00000000-0005-0000-0000-0000F0000000}"/>
    <cellStyle name="Normal 3" xfId="241" xr:uid="{00000000-0005-0000-0000-0000F1000000}"/>
    <cellStyle name="Normal 3 2" xfId="242" xr:uid="{00000000-0005-0000-0000-0000F2000000}"/>
    <cellStyle name="Normal 3 3" xfId="243" xr:uid="{00000000-0005-0000-0000-0000F3000000}"/>
    <cellStyle name="Normal 3 4" xfId="244" xr:uid="{00000000-0005-0000-0000-0000F4000000}"/>
    <cellStyle name="Normal 3_2012 PR" xfId="245" xr:uid="{00000000-0005-0000-0000-0000F5000000}"/>
    <cellStyle name="Normal 30" xfId="246" xr:uid="{00000000-0005-0000-0000-0000F6000000}"/>
    <cellStyle name="Normal 31" xfId="247" xr:uid="{00000000-0005-0000-0000-0000F7000000}"/>
    <cellStyle name="Normal 32" xfId="248" xr:uid="{00000000-0005-0000-0000-0000F8000000}"/>
    <cellStyle name="Normal 33" xfId="249" xr:uid="{00000000-0005-0000-0000-0000F9000000}"/>
    <cellStyle name="Normal 34" xfId="250" xr:uid="{00000000-0005-0000-0000-0000FA000000}"/>
    <cellStyle name="Normal 35" xfId="251" xr:uid="{00000000-0005-0000-0000-0000FB000000}"/>
    <cellStyle name="Normal 36" xfId="252" xr:uid="{00000000-0005-0000-0000-0000FC000000}"/>
    <cellStyle name="Normal 37" xfId="253" xr:uid="{00000000-0005-0000-0000-0000FD000000}"/>
    <cellStyle name="Normal 38" xfId="254" xr:uid="{00000000-0005-0000-0000-0000FE000000}"/>
    <cellStyle name="Normal 39" xfId="255" xr:uid="{00000000-0005-0000-0000-0000FF000000}"/>
    <cellStyle name="Normal 4" xfId="256" xr:uid="{00000000-0005-0000-0000-000000010000}"/>
    <cellStyle name="Normal 4 2" xfId="257" xr:uid="{00000000-0005-0000-0000-000001010000}"/>
    <cellStyle name="Normal 40" xfId="258" xr:uid="{00000000-0005-0000-0000-000002010000}"/>
    <cellStyle name="Normal 41" xfId="259" xr:uid="{00000000-0005-0000-0000-000003010000}"/>
    <cellStyle name="Normal 42" xfId="260" xr:uid="{00000000-0005-0000-0000-000004010000}"/>
    <cellStyle name="Normal 43" xfId="261" xr:uid="{00000000-0005-0000-0000-000005010000}"/>
    <cellStyle name="Normal 44" xfId="262" xr:uid="{00000000-0005-0000-0000-000006010000}"/>
    <cellStyle name="Normal 45" xfId="263" xr:uid="{00000000-0005-0000-0000-000007010000}"/>
    <cellStyle name="Normal 46" xfId="264" xr:uid="{00000000-0005-0000-0000-000008010000}"/>
    <cellStyle name="Normal 47" xfId="265" xr:uid="{00000000-0005-0000-0000-000009010000}"/>
    <cellStyle name="Normal 48" xfId="266" xr:uid="{00000000-0005-0000-0000-00000A010000}"/>
    <cellStyle name="Normal 49" xfId="267" xr:uid="{00000000-0005-0000-0000-00000B010000}"/>
    <cellStyle name="Normal 5" xfId="268" xr:uid="{00000000-0005-0000-0000-00000C010000}"/>
    <cellStyle name="Normal 5 2" xfId="269" xr:uid="{00000000-0005-0000-0000-00000D010000}"/>
    <cellStyle name="Normal 5 2 2" xfId="270" xr:uid="{00000000-0005-0000-0000-00000E010000}"/>
    <cellStyle name="Normal 5 3" xfId="271" xr:uid="{00000000-0005-0000-0000-00000F010000}"/>
    <cellStyle name="Normal 5_2112 DF Schedule" xfId="272" xr:uid="{00000000-0005-0000-0000-000010010000}"/>
    <cellStyle name="Normal 50" xfId="273" xr:uid="{00000000-0005-0000-0000-000011010000}"/>
    <cellStyle name="Normal 51" xfId="274" xr:uid="{00000000-0005-0000-0000-000012010000}"/>
    <cellStyle name="Normal 52" xfId="275" xr:uid="{00000000-0005-0000-0000-000013010000}"/>
    <cellStyle name="Normal 53" xfId="276" xr:uid="{00000000-0005-0000-0000-000014010000}"/>
    <cellStyle name="Normal 54" xfId="277" xr:uid="{00000000-0005-0000-0000-000015010000}"/>
    <cellStyle name="Normal 55" xfId="278" xr:uid="{00000000-0005-0000-0000-000016010000}"/>
    <cellStyle name="Normal 56" xfId="279" xr:uid="{00000000-0005-0000-0000-000017010000}"/>
    <cellStyle name="Normal 57" xfId="280" xr:uid="{00000000-0005-0000-0000-000018010000}"/>
    <cellStyle name="Normal 58" xfId="281" xr:uid="{00000000-0005-0000-0000-000019010000}"/>
    <cellStyle name="Normal 59" xfId="282" xr:uid="{00000000-0005-0000-0000-00001A010000}"/>
    <cellStyle name="Normal 6" xfId="283" xr:uid="{00000000-0005-0000-0000-00001B010000}"/>
    <cellStyle name="Normal 6 2" xfId="284" xr:uid="{00000000-0005-0000-0000-00001C010000}"/>
    <cellStyle name="Normal 6 3" xfId="285" xr:uid="{00000000-0005-0000-0000-00001D010000}"/>
    <cellStyle name="Normal 60" xfId="286" xr:uid="{00000000-0005-0000-0000-00001E010000}"/>
    <cellStyle name="Normal 61" xfId="287" xr:uid="{00000000-0005-0000-0000-00001F010000}"/>
    <cellStyle name="Normal 62" xfId="288" xr:uid="{00000000-0005-0000-0000-000020010000}"/>
    <cellStyle name="Normal 63" xfId="289" xr:uid="{00000000-0005-0000-0000-000021010000}"/>
    <cellStyle name="Normal 64" xfId="290" xr:uid="{00000000-0005-0000-0000-000022010000}"/>
    <cellStyle name="Normal 65" xfId="291" xr:uid="{00000000-0005-0000-0000-000023010000}"/>
    <cellStyle name="Normal 66" xfId="292" xr:uid="{00000000-0005-0000-0000-000024010000}"/>
    <cellStyle name="Normal 67" xfId="293" xr:uid="{00000000-0005-0000-0000-000025010000}"/>
    <cellStyle name="Normal 68" xfId="294" xr:uid="{00000000-0005-0000-0000-000026010000}"/>
    <cellStyle name="Normal 69" xfId="295" xr:uid="{00000000-0005-0000-0000-000027010000}"/>
    <cellStyle name="Normal 7" xfId="296" xr:uid="{00000000-0005-0000-0000-000028010000}"/>
    <cellStyle name="Normal 7 2" xfId="297" xr:uid="{00000000-0005-0000-0000-000029010000}"/>
    <cellStyle name="Normal 70" xfId="298" xr:uid="{00000000-0005-0000-0000-00002A010000}"/>
    <cellStyle name="Normal 71" xfId="299" xr:uid="{00000000-0005-0000-0000-00002B010000}"/>
    <cellStyle name="Normal 72" xfId="300" xr:uid="{00000000-0005-0000-0000-00002C010000}"/>
    <cellStyle name="Normal 73" xfId="301" xr:uid="{00000000-0005-0000-0000-00002D010000}"/>
    <cellStyle name="Normal 74" xfId="302" xr:uid="{00000000-0005-0000-0000-00002E010000}"/>
    <cellStyle name="Normal 75" xfId="303" xr:uid="{00000000-0005-0000-0000-00002F010000}"/>
    <cellStyle name="Normal 76" xfId="304" xr:uid="{00000000-0005-0000-0000-000030010000}"/>
    <cellStyle name="Normal 77" xfId="305" xr:uid="{00000000-0005-0000-0000-000031010000}"/>
    <cellStyle name="Normal 78" xfId="306" xr:uid="{00000000-0005-0000-0000-000032010000}"/>
    <cellStyle name="Normal 79" xfId="307" xr:uid="{00000000-0005-0000-0000-000033010000}"/>
    <cellStyle name="Normal 8" xfId="308" xr:uid="{00000000-0005-0000-0000-000034010000}"/>
    <cellStyle name="Normal 8 2" xfId="309" xr:uid="{00000000-0005-0000-0000-000035010000}"/>
    <cellStyle name="Normal 80" xfId="310" xr:uid="{00000000-0005-0000-0000-000036010000}"/>
    <cellStyle name="Normal 81" xfId="311" xr:uid="{00000000-0005-0000-0000-000037010000}"/>
    <cellStyle name="Normal 82" xfId="312" xr:uid="{00000000-0005-0000-0000-000038010000}"/>
    <cellStyle name="Normal 83" xfId="313" xr:uid="{00000000-0005-0000-0000-000039010000}"/>
    <cellStyle name="Normal 84" xfId="314" xr:uid="{00000000-0005-0000-0000-00003A010000}"/>
    <cellStyle name="Normal 85" xfId="315" xr:uid="{00000000-0005-0000-0000-00003B010000}"/>
    <cellStyle name="Normal 86" xfId="316" xr:uid="{00000000-0005-0000-0000-00003C010000}"/>
    <cellStyle name="Normal 87" xfId="426" xr:uid="{488E52F7-5DFE-4613-B36A-37E0E7EC13BB}"/>
    <cellStyle name="Normal 9" xfId="317" xr:uid="{00000000-0005-0000-0000-00003D010000}"/>
    <cellStyle name="Normal 9 2" xfId="318" xr:uid="{00000000-0005-0000-0000-00003E010000}"/>
    <cellStyle name="Normal 9 3" xfId="319" xr:uid="{00000000-0005-0000-0000-00003F010000}"/>
    <cellStyle name="Normal_Book1" xfId="320" xr:uid="{00000000-0005-0000-0000-000040010000}"/>
    <cellStyle name="Note 2" xfId="321" xr:uid="{00000000-0005-0000-0000-000041010000}"/>
    <cellStyle name="Note 3" xfId="322" xr:uid="{00000000-0005-0000-0000-000042010000}"/>
    <cellStyle name="Notes" xfId="323" xr:uid="{00000000-0005-0000-0000-000043010000}"/>
    <cellStyle name="Output 2" xfId="324" xr:uid="{00000000-0005-0000-0000-000044010000}"/>
    <cellStyle name="Percent" xfId="325" builtinId="5"/>
    <cellStyle name="Percent [2]" xfId="326" xr:uid="{00000000-0005-0000-0000-000046010000}"/>
    <cellStyle name="Percent 10" xfId="327" xr:uid="{00000000-0005-0000-0000-000047010000}"/>
    <cellStyle name="Percent 11" xfId="328" xr:uid="{00000000-0005-0000-0000-000048010000}"/>
    <cellStyle name="Percent 12" xfId="329" xr:uid="{00000000-0005-0000-0000-000049010000}"/>
    <cellStyle name="Percent 2" xfId="330" xr:uid="{00000000-0005-0000-0000-00004A010000}"/>
    <cellStyle name="Percent 2 2" xfId="331" xr:uid="{00000000-0005-0000-0000-00004B010000}"/>
    <cellStyle name="Percent 2 2 2" xfId="332" xr:uid="{00000000-0005-0000-0000-00004C010000}"/>
    <cellStyle name="Percent 2 2 2 2" xfId="333" xr:uid="{00000000-0005-0000-0000-00004D010000}"/>
    <cellStyle name="Percent 2 2 3" xfId="334" xr:uid="{00000000-0005-0000-0000-00004E010000}"/>
    <cellStyle name="Percent 2 2 4" xfId="335" xr:uid="{00000000-0005-0000-0000-00004F010000}"/>
    <cellStyle name="Percent 2 3" xfId="336" xr:uid="{00000000-0005-0000-0000-000050010000}"/>
    <cellStyle name="Percent 2 3 2" xfId="337" xr:uid="{00000000-0005-0000-0000-000051010000}"/>
    <cellStyle name="Percent 2 4" xfId="338" xr:uid="{00000000-0005-0000-0000-000052010000}"/>
    <cellStyle name="Percent 2 4 2" xfId="339" xr:uid="{00000000-0005-0000-0000-000053010000}"/>
    <cellStyle name="Percent 2 5" xfId="340" xr:uid="{00000000-0005-0000-0000-000054010000}"/>
    <cellStyle name="Percent 2 6" xfId="341" xr:uid="{00000000-0005-0000-0000-000055010000}"/>
    <cellStyle name="Percent 3" xfId="342" xr:uid="{00000000-0005-0000-0000-000056010000}"/>
    <cellStyle name="Percent 3 2" xfId="343" xr:uid="{00000000-0005-0000-0000-000057010000}"/>
    <cellStyle name="Percent 3 2 2" xfId="344" xr:uid="{00000000-0005-0000-0000-000058010000}"/>
    <cellStyle name="Percent 3 3" xfId="345" xr:uid="{00000000-0005-0000-0000-000059010000}"/>
    <cellStyle name="Percent 3 3 2" xfId="346" xr:uid="{00000000-0005-0000-0000-00005A010000}"/>
    <cellStyle name="Percent 3 4" xfId="347" xr:uid="{00000000-0005-0000-0000-00005B010000}"/>
    <cellStyle name="Percent 3 5" xfId="348" xr:uid="{00000000-0005-0000-0000-00005C010000}"/>
    <cellStyle name="Percent 3 6" xfId="425" xr:uid="{9D5BBBAB-2F7D-40A0-B86A-C0E6A0783E17}"/>
    <cellStyle name="Percent 4" xfId="349" xr:uid="{00000000-0005-0000-0000-00005D010000}"/>
    <cellStyle name="Percent 4 2" xfId="350" xr:uid="{00000000-0005-0000-0000-00005E010000}"/>
    <cellStyle name="Percent 4 3" xfId="351" xr:uid="{00000000-0005-0000-0000-00005F010000}"/>
    <cellStyle name="Percent 5" xfId="352" xr:uid="{00000000-0005-0000-0000-000060010000}"/>
    <cellStyle name="Percent 6" xfId="353" xr:uid="{00000000-0005-0000-0000-000061010000}"/>
    <cellStyle name="Percent 7" xfId="354" xr:uid="{00000000-0005-0000-0000-000062010000}"/>
    <cellStyle name="Percent 7 2" xfId="355" xr:uid="{00000000-0005-0000-0000-000063010000}"/>
    <cellStyle name="Percent 8" xfId="356" xr:uid="{00000000-0005-0000-0000-000064010000}"/>
    <cellStyle name="Percent 9" xfId="357" xr:uid="{00000000-0005-0000-0000-000065010000}"/>
    <cellStyle name="Percent(1)" xfId="358" xr:uid="{00000000-0005-0000-0000-000066010000}"/>
    <cellStyle name="Percent(2)" xfId="359" xr:uid="{00000000-0005-0000-0000-000067010000}"/>
    <cellStyle name="PRM" xfId="360" xr:uid="{00000000-0005-0000-0000-000068010000}"/>
    <cellStyle name="PRM 2" xfId="361" xr:uid="{00000000-0005-0000-0000-000069010000}"/>
    <cellStyle name="PRM 3" xfId="362" xr:uid="{00000000-0005-0000-0000-00006A010000}"/>
    <cellStyle name="PRM_2011-11" xfId="363" xr:uid="{00000000-0005-0000-0000-00006B010000}"/>
    <cellStyle name="PS_Comma" xfId="364" xr:uid="{00000000-0005-0000-0000-00006C010000}"/>
    <cellStyle name="PSChar" xfId="365" xr:uid="{00000000-0005-0000-0000-00006D010000}"/>
    <cellStyle name="PSDate" xfId="366" xr:uid="{00000000-0005-0000-0000-00006E010000}"/>
    <cellStyle name="PSDec" xfId="367" xr:uid="{00000000-0005-0000-0000-00006F010000}"/>
    <cellStyle name="PSHeading" xfId="368" xr:uid="{00000000-0005-0000-0000-000070010000}"/>
    <cellStyle name="PSHeading 2" xfId="369" xr:uid="{00000000-0005-0000-0000-000071010000}"/>
    <cellStyle name="PSInt" xfId="370" xr:uid="{00000000-0005-0000-0000-000072010000}"/>
    <cellStyle name="PSSpacer" xfId="371" xr:uid="{00000000-0005-0000-0000-000073010000}"/>
    <cellStyle name="R00A" xfId="372" xr:uid="{00000000-0005-0000-0000-000074010000}"/>
    <cellStyle name="R00B" xfId="373" xr:uid="{00000000-0005-0000-0000-000075010000}"/>
    <cellStyle name="R00L" xfId="374" xr:uid="{00000000-0005-0000-0000-000076010000}"/>
    <cellStyle name="R01A" xfId="375" xr:uid="{00000000-0005-0000-0000-000077010000}"/>
    <cellStyle name="R01B" xfId="376" xr:uid="{00000000-0005-0000-0000-000078010000}"/>
    <cellStyle name="R01H" xfId="377" xr:uid="{00000000-0005-0000-0000-000079010000}"/>
    <cellStyle name="R01L" xfId="378" xr:uid="{00000000-0005-0000-0000-00007A010000}"/>
    <cellStyle name="R02A" xfId="379" xr:uid="{00000000-0005-0000-0000-00007B010000}"/>
    <cellStyle name="R02B" xfId="380" xr:uid="{00000000-0005-0000-0000-00007C010000}"/>
    <cellStyle name="R02H" xfId="381" xr:uid="{00000000-0005-0000-0000-00007D010000}"/>
    <cellStyle name="R02L" xfId="382" xr:uid="{00000000-0005-0000-0000-00007E010000}"/>
    <cellStyle name="R03A" xfId="383" xr:uid="{00000000-0005-0000-0000-00007F010000}"/>
    <cellStyle name="R03B" xfId="384" xr:uid="{00000000-0005-0000-0000-000080010000}"/>
    <cellStyle name="R03H" xfId="385" xr:uid="{00000000-0005-0000-0000-000081010000}"/>
    <cellStyle name="R03L" xfId="386" xr:uid="{00000000-0005-0000-0000-000082010000}"/>
    <cellStyle name="R04A" xfId="387" xr:uid="{00000000-0005-0000-0000-000083010000}"/>
    <cellStyle name="R04B" xfId="388" xr:uid="{00000000-0005-0000-0000-000084010000}"/>
    <cellStyle name="R04H" xfId="389" xr:uid="{00000000-0005-0000-0000-000085010000}"/>
    <cellStyle name="R04L" xfId="390" xr:uid="{00000000-0005-0000-0000-000086010000}"/>
    <cellStyle name="R05A" xfId="391" xr:uid="{00000000-0005-0000-0000-000087010000}"/>
    <cellStyle name="R05B" xfId="392" xr:uid="{00000000-0005-0000-0000-000088010000}"/>
    <cellStyle name="R05H" xfId="393" xr:uid="{00000000-0005-0000-0000-000089010000}"/>
    <cellStyle name="R05L" xfId="394" xr:uid="{00000000-0005-0000-0000-00008A010000}"/>
    <cellStyle name="R06A" xfId="395" xr:uid="{00000000-0005-0000-0000-00008B010000}"/>
    <cellStyle name="R06B" xfId="396" xr:uid="{00000000-0005-0000-0000-00008C010000}"/>
    <cellStyle name="R06H" xfId="397" xr:uid="{00000000-0005-0000-0000-00008D010000}"/>
    <cellStyle name="R06L" xfId="398" xr:uid="{00000000-0005-0000-0000-00008E010000}"/>
    <cellStyle name="R07A" xfId="399" xr:uid="{00000000-0005-0000-0000-00008F010000}"/>
    <cellStyle name="R07B" xfId="400" xr:uid="{00000000-0005-0000-0000-000090010000}"/>
    <cellStyle name="R07H" xfId="401" xr:uid="{00000000-0005-0000-0000-000091010000}"/>
    <cellStyle name="R07L" xfId="402" xr:uid="{00000000-0005-0000-0000-000092010000}"/>
    <cellStyle name="STYL0 - Style1" xfId="403" xr:uid="{00000000-0005-0000-0000-000093010000}"/>
    <cellStyle name="STYL1 - Style2" xfId="404" xr:uid="{00000000-0005-0000-0000-000094010000}"/>
    <cellStyle name="STYL2 - Style3" xfId="405" xr:uid="{00000000-0005-0000-0000-000095010000}"/>
    <cellStyle name="STYL3 - Style4" xfId="406" xr:uid="{00000000-0005-0000-0000-000096010000}"/>
    <cellStyle name="STYL4 - Style5" xfId="407" xr:uid="{00000000-0005-0000-0000-000097010000}"/>
    <cellStyle name="STYL5 - Style6" xfId="408" xr:uid="{00000000-0005-0000-0000-000098010000}"/>
    <cellStyle name="STYL6 - Style7" xfId="409" xr:uid="{00000000-0005-0000-0000-000099010000}"/>
    <cellStyle name="STYL7 - Style8" xfId="410" xr:uid="{00000000-0005-0000-0000-00009A010000}"/>
    <cellStyle name="Style 1" xfId="411" xr:uid="{00000000-0005-0000-0000-00009B010000}"/>
    <cellStyle name="Style 1 2" xfId="412" xr:uid="{00000000-0005-0000-0000-00009C010000}"/>
    <cellStyle name="STYLE1" xfId="413" xr:uid="{00000000-0005-0000-0000-00009D010000}"/>
    <cellStyle name="STYLE1 2" xfId="414" xr:uid="{00000000-0005-0000-0000-00009E010000}"/>
    <cellStyle name="sub heading" xfId="415" xr:uid="{00000000-0005-0000-0000-00009F010000}"/>
    <cellStyle name="test" xfId="416" xr:uid="{00000000-0005-0000-0000-0000A0010000}"/>
    <cellStyle name="Title 2" xfId="417" xr:uid="{00000000-0005-0000-0000-0000A1010000}"/>
    <cellStyle name="Total 2" xfId="418" xr:uid="{00000000-0005-0000-0000-0000A2010000}"/>
    <cellStyle name="Total 3" xfId="419" xr:uid="{00000000-0005-0000-0000-0000A3010000}"/>
    <cellStyle name="Warning Text 2" xfId="420" xr:uid="{00000000-0005-0000-0000-0000A4010000}"/>
    <cellStyle name="WM_STANDARD" xfId="421" xr:uid="{00000000-0005-0000-0000-0000A5010000}"/>
    <cellStyle name="WMI_Default" xfId="422" xr:uid="{00000000-0005-0000-0000-0000A6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0.xml"/><Relationship Id="rId21" Type="http://schemas.openxmlformats.org/officeDocument/2006/relationships/worksheet" Target="worksheets/sheet21.xml"/><Relationship Id="rId34" Type="http://schemas.openxmlformats.org/officeDocument/2006/relationships/externalLink" Target="externalLinks/externalLink5.xml"/><Relationship Id="rId42" Type="http://schemas.openxmlformats.org/officeDocument/2006/relationships/externalLink" Target="externalLinks/externalLink13.xml"/><Relationship Id="rId47" Type="http://schemas.openxmlformats.org/officeDocument/2006/relationships/customXml" Target="../customXml/item1.xml"/><Relationship Id="rId50"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externalLink" Target="externalLinks/externalLink11.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externalLink" Target="externalLinks/externalLink9.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281940</xdr:colOff>
      <xdr:row>5</xdr:row>
      <xdr:rowOff>876300</xdr:rowOff>
    </xdr:to>
    <xdr:pic>
      <xdr:nvPicPr>
        <xdr:cNvPr id="99692" name="Picture 3" descr="GLB-JGD Logo Address BW">
          <a:extLst>
            <a:ext uri="{FF2B5EF4-FFF2-40B4-BE49-F238E27FC236}">
              <a16:creationId xmlns:a16="http://schemas.microsoft.com/office/drawing/2014/main" id="{00000000-0008-0000-0100-00006C850100}"/>
            </a:ext>
          </a:extLst>
        </xdr:cNvPr>
        <xdr:cNvPicPr preferRelativeResize="0">
          <a:picLocks noChangeAspect="1" noChangeArrowheads="1"/>
        </xdr:cNvPicPr>
      </xdr:nvPicPr>
      <xdr:blipFill>
        <a:blip xmlns:r="http://schemas.openxmlformats.org/officeDocument/2006/relationships" r:embed="rId1" cstate="print">
          <a:lum contrast="18000"/>
          <a:extLst>
            <a:ext uri="{28A0092B-C50C-407E-A947-70E740481C1C}">
              <a14:useLocalDpi xmlns:a14="http://schemas.microsoft.com/office/drawing/2010/main" val="0"/>
            </a:ext>
          </a:extLst>
        </a:blip>
        <a:srcRect b="23334"/>
        <a:stretch>
          <a:fillRect/>
        </a:stretch>
      </xdr:blipFill>
      <xdr:spPr bwMode="auto">
        <a:xfrm>
          <a:off x="0" y="0"/>
          <a:ext cx="748284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14</xdr:row>
          <xdr:rowOff>180975</xdr:rowOff>
        </xdr:from>
        <xdr:to>
          <xdr:col>2</xdr:col>
          <xdr:colOff>504825</xdr:colOff>
          <xdr:row>16</xdr:row>
          <xdr:rowOff>161925</xdr:rowOff>
        </xdr:to>
        <xdr:sp macro="" textlink="">
          <xdr:nvSpPr>
            <xdr:cNvPr id="73729" name="CheckBox1" hidden="1">
              <a:extLst>
                <a:ext uri="{63B3BB69-23CF-44E3-9099-C40C66FF867C}">
                  <a14:compatExt spid="_x0000_s73729"/>
                </a:ext>
                <a:ext uri="{FF2B5EF4-FFF2-40B4-BE49-F238E27FC236}">
                  <a16:creationId xmlns:a16="http://schemas.microsoft.com/office/drawing/2014/main" id="{00000000-0008-0000-0200-0000012001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L_WASTE\SYS\ACCOUNT\CV2000\022000\2000_FEBRUARY_%20GL%20RECO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o111\share\frsx\D0536y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_TO_Z/WASTE%20COMPANY%20GROUP/WAC0252%20-%20Waste%20Control,%20Inc-1633/Rate%20Cases/2013%20Rate%20Case/Dave%20Wiley/Post%20Suspension/Files%20for%20conf%20call%20032114/sent%20to%20utc/staff%20WCI%20Pro%20forma%2010-11-2013%20cos%20from%20meliss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TIL/TRANS/Chris%20M/Solid%20Waste/San%20Juan%20Sanitation%20Co/Year%202010/Staff/W_COMP/Rosario/2007%20rate%20case/Worksheets/070944%20Loan%20Recalculatio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budget.wm.com/plan07/F2_24_Month_Condensed_Ops_PnL_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odisnap\accounting\MODEST~1\2032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cons-2674%20Ken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TIL/TRANS/Waste%20Management%20-%20Filings/Ellensburg/Year%202009/TG-091472%20(GRC)/Staff/TG-091472%20WM%20of%20Ellensburg%20(Workpaper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TIL/TRANS/Chris%20M/Solid%20Waste/Waste%20Management/Sno-King/Year%202009/TG-091933/Staff/TG-091933%20WM%20of%20SnoKing%20GRC%20(Workpaper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2004%20Planning%20Requirements\5-20%20Submission\6%20Report%20Requirements\Reports%20Master%20List%20and%20Mockups%20V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ssignments/Solid%20Waste/Waste%20Connections/Year%202008/American%20Disposal%20Company,%20Inc/Yr%202009/TG-090098%20(General%20Case)/Staff/TG-090097%20&amp;%20TG-090098%20Proforma%20(Staff%20-%20Route%20Hr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cmickels/Desktop/Example%20of%20WM%20of%20SnoKing.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TIL/TRANS/Chris%20M/Solid%20Waste/San%20Juan%20Sanitation%20Co/Year%202010/Staff/San%20Juan%20Sanitation/WUTC/SJS%20Income%20State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ttyCash-10110"/>
      <sheetName val="10200"/>
      <sheetName val="10210"/>
      <sheetName val="10250_RECON"/>
      <sheetName val="10250_MVPSS"/>
      <sheetName val="10250_Recy Chkg"/>
      <sheetName val="10250_Reimb Accts"/>
      <sheetName val="10250_Rollfwd"/>
      <sheetName val="10410_Rollfwd"/>
      <sheetName val="10410_Recon"/>
      <sheetName val="10410_Trade"/>
      <sheetName val="10410_Lodi"/>
      <sheetName val="10410_Sac Co"/>
      <sheetName val="10410_Brokered"/>
      <sheetName val="10420_Rollfwd"/>
      <sheetName val="10420 RECON"/>
      <sheetName val="Rollfwd_10550"/>
      <sheetName val="Recon_10550"/>
      <sheetName val="Recon_10555"/>
      <sheetName val="Recon_10610"/>
      <sheetName val="A170XX-October"/>
      <sheetName val="Recon_10760"/>
      <sheetName val="Rollfwd_10820"/>
      <sheetName val="PPXXC_10830"/>
      <sheetName val="Schedule_10830"/>
      <sheetName val="Recon_10830"/>
      <sheetName val="Rollfwd_10850"/>
      <sheetName val="Recon_10850"/>
      <sheetName val="ReconSumm_10890"/>
      <sheetName val="ASSETS 11XXX"/>
      <sheetName val="ACC DEP 12XXX"/>
      <sheetName val="GOODWILL_15120"/>
      <sheetName val="Rollfwd_15450"/>
      <sheetName val="15450_92 bond"/>
      <sheetName val="15450_94 Bond "/>
      <sheetName val="Recon_15450"/>
      <sheetName val="Rollfwd_15320_15500"/>
      <sheetName val="16100_Rollfwd"/>
      <sheetName val="A180543"/>
      <sheetName val="A20110"/>
      <sheetName val="Rollfwd_20120"/>
      <sheetName val="Recon_20120"/>
      <sheetName val="Recon_20130"/>
      <sheetName val="Recon_20133"/>
      <sheetName val="Recon_20135"/>
      <sheetName val="Recon_20137"/>
      <sheetName val="A20140"/>
      <sheetName val="SALES TAX RETURN_20140"/>
      <sheetName val="Rollfwd_20170"/>
      <sheetName val="Recon_20170"/>
      <sheetName val="Recon_20175"/>
      <sheetName val="Recon_20177"/>
      <sheetName val="Detail_20320"/>
      <sheetName val="Rollfwd_20325"/>
      <sheetName val="Recon_20325"/>
      <sheetName val="A20330"/>
      <sheetName val="RECON 20335"/>
      <sheetName val="RECON_20340"/>
      <sheetName val="DETAILED 20360"/>
      <sheetName val="recon 20365"/>
      <sheetName val="recon 20375"/>
      <sheetName val="A21100 &amp; A21250"/>
      <sheetName val="21250_92 Bond"/>
      <sheetName val="21250_94 Bond"/>
      <sheetName val="21250_R. Vaccarezza"/>
      <sheetName val="21250_BOND DIS AMORT"/>
      <sheetName val="A21390"/>
      <sheetName val="Recon 22104"/>
      <sheetName val="Recon 22105"/>
      <sheetName val="Recon 22109"/>
      <sheetName val="Recon 22205 "/>
      <sheetName val="Recon 22206"/>
      <sheetName val="Recon_30XXXX"/>
      <sheetName val="Recon 150543 Revised"/>
      <sheetName val="170001 DL 121999"/>
      <sheetName val="Rollfwd_170001"/>
      <sheetName val="A170001"/>
      <sheetName val="Rollfwd_170050"/>
      <sheetName val="A170050"/>
      <sheetName val="Rollfwd_171170"/>
      <sheetName val="A171170"/>
      <sheetName val="Rollfwd_171500"/>
      <sheetName val="A171500"/>
      <sheetName val="A171504"/>
      <sheetName val="A171531"/>
      <sheetName val="A172216"/>
      <sheetName val="A172220"/>
      <sheetName val="A172355"/>
      <sheetName val="Dec_99 DL_RAW"/>
      <sheetName val="Dec_99 DL_"/>
      <sheetName val="DEC_98 DL RAW"/>
      <sheetName val="DEC_98 DL "/>
      <sheetName val="Sheet4"/>
      <sheetName val="Sheet4 (2)"/>
      <sheetName val="XXXXXX"/>
      <sheetName val="BU NAMES"/>
      <sheetName val="PS BS ACCOUNTS"/>
      <sheetName val="Sch 4 C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row r="1">
          <cell r="A1" t="str">
            <v>Fixed Assets Reconciliations - Lodi - 0543</v>
          </cell>
        </row>
        <row r="2">
          <cell r="A2" t="str">
            <v>February</v>
          </cell>
        </row>
        <row r="3">
          <cell r="B3" t="str">
            <v>Trucks</v>
          </cell>
          <cell r="C3" t="str">
            <v>Landfill PE</v>
          </cell>
          <cell r="D3" t="str">
            <v>Support Trucks</v>
          </cell>
          <cell r="E3" t="str">
            <v xml:space="preserve">Containers </v>
          </cell>
          <cell r="F3" t="str">
            <v>M&amp;E</v>
          </cell>
          <cell r="G3" t="str">
            <v>OfficeEquip</v>
          </cell>
          <cell r="H3" t="str">
            <v>Building</v>
          </cell>
          <cell r="I3" t="str">
            <v>Leashold Improv</v>
          </cell>
          <cell r="J3" t="str">
            <v>Autos</v>
          </cell>
          <cell r="K3" t="str">
            <v>Land</v>
          </cell>
          <cell r="L3" t="str">
            <v>Total Assets</v>
          </cell>
        </row>
        <row r="4">
          <cell r="A4" t="str">
            <v>Description/A/C</v>
          </cell>
          <cell r="B4" t="str">
            <v>11110 &amp;120</v>
          </cell>
          <cell r="C4">
            <v>11210</v>
          </cell>
          <cell r="D4">
            <v>11310</v>
          </cell>
          <cell r="E4" t="str">
            <v>11410 &amp; 20</v>
          </cell>
          <cell r="F4" t="str">
            <v>11510 &amp; 20</v>
          </cell>
          <cell r="G4" t="str">
            <v>11610 &amp; 20</v>
          </cell>
          <cell r="H4" t="str">
            <v>11710 &amp; 20</v>
          </cell>
          <cell r="I4">
            <v>11810</v>
          </cell>
          <cell r="J4">
            <v>11910</v>
          </cell>
          <cell r="K4">
            <v>13110</v>
          </cell>
        </row>
        <row r="6">
          <cell r="A6" t="str">
            <v>GL Beginning Bal</v>
          </cell>
          <cell r="B6">
            <v>6370279.0000000009</v>
          </cell>
          <cell r="C6">
            <v>1152675.96</v>
          </cell>
          <cell r="D6">
            <v>230167.72999999998</v>
          </cell>
          <cell r="E6">
            <v>9808085.1799999997</v>
          </cell>
          <cell r="F6">
            <v>3002548.89</v>
          </cell>
          <cell r="G6">
            <v>1058753.53</v>
          </cell>
          <cell r="H6">
            <v>5945538.0099999998</v>
          </cell>
          <cell r="I6">
            <v>2233939.7999999998</v>
          </cell>
          <cell r="J6">
            <v>47342.04</v>
          </cell>
          <cell r="K6">
            <v>987725.13</v>
          </cell>
          <cell r="L6">
            <v>30837055.270000003</v>
          </cell>
        </row>
        <row r="8">
          <cell r="A8" t="str">
            <v>Additions:</v>
          </cell>
          <cell r="B8">
            <v>0</v>
          </cell>
          <cell r="E8">
            <v>0</v>
          </cell>
          <cell r="F8">
            <v>0</v>
          </cell>
          <cell r="G8">
            <v>0</v>
          </cell>
        </row>
        <row r="11">
          <cell r="A11" t="str">
            <v>Accruals:</v>
          </cell>
        </row>
        <row r="13">
          <cell r="A13" t="str">
            <v>Deletions:</v>
          </cell>
        </row>
        <row r="15">
          <cell r="A15" t="str">
            <v>Adjusted GL Bal:</v>
          </cell>
          <cell r="B15">
            <v>6370279.0000000009</v>
          </cell>
          <cell r="C15">
            <v>1152675.96</v>
          </cell>
          <cell r="D15">
            <v>230167.72999999998</v>
          </cell>
          <cell r="E15">
            <v>9808085.1799999997</v>
          </cell>
          <cell r="F15">
            <v>3002548.89</v>
          </cell>
          <cell r="G15">
            <v>1058753.53</v>
          </cell>
          <cell r="H15">
            <v>5945538.0099999998</v>
          </cell>
          <cell r="I15">
            <v>2233939.7999999998</v>
          </cell>
          <cell r="J15">
            <v>47342.04</v>
          </cell>
          <cell r="K15">
            <v>987725.13</v>
          </cell>
          <cell r="L15">
            <v>30837055.270000003</v>
          </cell>
        </row>
        <row r="17">
          <cell r="A17" t="str">
            <v>GBA Balances</v>
          </cell>
          <cell r="B17">
            <v>6486957.9000000004</v>
          </cell>
          <cell r="C17">
            <v>1191195.51</v>
          </cell>
          <cell r="D17">
            <v>230167.73</v>
          </cell>
          <cell r="E17">
            <v>9808085.1799999997</v>
          </cell>
          <cell r="F17">
            <v>2783580.08</v>
          </cell>
          <cell r="G17">
            <v>1058752.1299999999</v>
          </cell>
          <cell r="H17">
            <v>5945538.0099999998</v>
          </cell>
          <cell r="I17">
            <v>2233939.7999999998</v>
          </cell>
          <cell r="J17">
            <v>47342.04</v>
          </cell>
          <cell r="K17">
            <v>988191.66</v>
          </cell>
          <cell r="L17">
            <v>30773750.039999999</v>
          </cell>
        </row>
        <row r="19">
          <cell r="A19" t="str">
            <v>Variance</v>
          </cell>
          <cell r="B19">
            <v>-116678.89999999944</v>
          </cell>
          <cell r="C19">
            <v>-38519.550000000047</v>
          </cell>
          <cell r="D19">
            <v>0</v>
          </cell>
          <cell r="E19">
            <v>0</v>
          </cell>
          <cell r="F19">
            <v>218968.81000000006</v>
          </cell>
          <cell r="G19">
            <v>1.4000000001396984</v>
          </cell>
          <cell r="H19">
            <v>0</v>
          </cell>
          <cell r="I19">
            <v>0</v>
          </cell>
          <cell r="J19">
            <v>0</v>
          </cell>
          <cell r="K19">
            <v>-466.53000000002794</v>
          </cell>
          <cell r="L19">
            <v>63305.230000004172</v>
          </cell>
        </row>
      </sheetData>
      <sheetData sheetId="30" refreshError="1">
        <row r="4">
          <cell r="A4" t="str">
            <v>Accumulated Depreciation:</v>
          </cell>
          <cell r="D4">
            <v>65920</v>
          </cell>
          <cell r="F4">
            <v>60925</v>
          </cell>
          <cell r="G4">
            <v>70905</v>
          </cell>
          <cell r="H4">
            <v>90910</v>
          </cell>
        </row>
        <row r="5">
          <cell r="A5" t="str">
            <v>February</v>
          </cell>
          <cell r="B5">
            <v>52930</v>
          </cell>
          <cell r="C5">
            <v>52935</v>
          </cell>
          <cell r="D5">
            <v>60920</v>
          </cell>
          <cell r="E5">
            <v>54935</v>
          </cell>
          <cell r="F5">
            <v>54925</v>
          </cell>
          <cell r="G5">
            <v>60905</v>
          </cell>
          <cell r="H5">
            <v>65910</v>
          </cell>
          <cell r="I5">
            <v>90915</v>
          </cell>
          <cell r="J5">
            <v>90900</v>
          </cell>
        </row>
        <row r="6">
          <cell r="B6" t="str">
            <v>Trucks</v>
          </cell>
          <cell r="C6" t="str">
            <v>Landfill PE</v>
          </cell>
          <cell r="D6" t="str">
            <v>Support Trucks</v>
          </cell>
          <cell r="E6" t="str">
            <v xml:space="preserve">Containers </v>
          </cell>
          <cell r="F6" t="str">
            <v>M&amp;E</v>
          </cell>
          <cell r="G6" t="str">
            <v>OfficeEquip</v>
          </cell>
          <cell r="H6" t="str">
            <v>Building</v>
          </cell>
          <cell r="I6" t="str">
            <v>Leashold Improv</v>
          </cell>
          <cell r="J6" t="str">
            <v>Autos</v>
          </cell>
          <cell r="K6" t="str">
            <v>Land</v>
          </cell>
          <cell r="L6" t="str">
            <v>Total Accumulated</v>
          </cell>
        </row>
        <row r="7">
          <cell r="A7" t="str">
            <v>Description/A/C</v>
          </cell>
          <cell r="B7" t="str">
            <v>121XX</v>
          </cell>
          <cell r="C7" t="str">
            <v>122XX</v>
          </cell>
          <cell r="D7" t="str">
            <v>123XX</v>
          </cell>
          <cell r="E7" t="str">
            <v>124XX</v>
          </cell>
          <cell r="F7" t="str">
            <v>125XX</v>
          </cell>
          <cell r="G7" t="str">
            <v>126XX</v>
          </cell>
          <cell r="H7" t="str">
            <v>127XX</v>
          </cell>
          <cell r="I7" t="str">
            <v>128XX</v>
          </cell>
          <cell r="J7" t="str">
            <v>129XX</v>
          </cell>
          <cell r="K7">
            <v>13250</v>
          </cell>
          <cell r="L7" t="str">
            <v>Depreciation</v>
          </cell>
        </row>
        <row r="9">
          <cell r="A9" t="str">
            <v>GL Beginning Bal</v>
          </cell>
          <cell r="B9">
            <v>-4345139.9400000004</v>
          </cell>
          <cell r="C9">
            <v>-631095.49999999988</v>
          </cell>
          <cell r="D9">
            <v>-197525.75999999998</v>
          </cell>
          <cell r="E9">
            <v>-6570378.0800000001</v>
          </cell>
          <cell r="F9">
            <v>-2358947.5299999998</v>
          </cell>
          <cell r="G9">
            <v>-645903.84000000008</v>
          </cell>
          <cell r="H9">
            <v>-2171023.04</v>
          </cell>
          <cell r="I9">
            <v>-726384.56</v>
          </cell>
          <cell r="J9">
            <v>-36395.379999999997</v>
          </cell>
          <cell r="K9">
            <v>-466.76</v>
          </cell>
          <cell r="L9">
            <v>-17683260.390000001</v>
          </cell>
        </row>
        <row r="11">
          <cell r="A11" t="str">
            <v>Additions:</v>
          </cell>
          <cell r="B11">
            <v>-65915.709999999992</v>
          </cell>
          <cell r="C11">
            <v>-22490.11</v>
          </cell>
          <cell r="D11">
            <v>-2297.98</v>
          </cell>
          <cell r="E11">
            <v>-89579.91</v>
          </cell>
          <cell r="F11">
            <v>-55942.879999999997</v>
          </cell>
          <cell r="G11">
            <v>-29722.478000000003</v>
          </cell>
          <cell r="H11">
            <v>-41958.92</v>
          </cell>
          <cell r="I11">
            <v>-20345.439999999999</v>
          </cell>
          <cell r="J11">
            <v>-729.78</v>
          </cell>
          <cell r="L11">
            <v>-328983.20799999998</v>
          </cell>
        </row>
        <row r="13">
          <cell r="B13">
            <v>5502.79</v>
          </cell>
          <cell r="C13">
            <v>-5502.79</v>
          </cell>
        </row>
        <row r="14">
          <cell r="A14" t="str">
            <v>Accruals:</v>
          </cell>
        </row>
        <row r="16">
          <cell r="A16" t="str">
            <v>Deletions:</v>
          </cell>
        </row>
        <row r="18">
          <cell r="A18" t="str">
            <v>Adjusted GL Bal:</v>
          </cell>
          <cell r="B18">
            <v>-4405552.8600000003</v>
          </cell>
          <cell r="C18">
            <v>-659088.39999999991</v>
          </cell>
          <cell r="D18">
            <v>-199823.74</v>
          </cell>
          <cell r="E18">
            <v>-6659957.9900000002</v>
          </cell>
          <cell r="F18">
            <v>-2414890.4099999997</v>
          </cell>
          <cell r="G18">
            <v>-675626.31800000009</v>
          </cell>
          <cell r="H18">
            <v>-2212981.96</v>
          </cell>
          <cell r="I18">
            <v>-746730</v>
          </cell>
          <cell r="J18">
            <v>-37125.159999999996</v>
          </cell>
          <cell r="K18">
            <v>0</v>
          </cell>
          <cell r="L18">
            <v>-18011776.838</v>
          </cell>
        </row>
        <row r="20">
          <cell r="A20" t="str">
            <v>GBA Balances</v>
          </cell>
          <cell r="B20">
            <v>-4438805.79</v>
          </cell>
          <cell r="C20">
            <v>-659088.4</v>
          </cell>
          <cell r="D20">
            <v>-199823.74</v>
          </cell>
          <cell r="E20">
            <v>-6659957.9900000002</v>
          </cell>
          <cell r="F20">
            <v>-2243545.98</v>
          </cell>
          <cell r="G20">
            <v>-675626.34</v>
          </cell>
          <cell r="H20">
            <v>-2212981.96</v>
          </cell>
          <cell r="I20">
            <v>-746730</v>
          </cell>
          <cell r="J20">
            <v>-37125.160000000003</v>
          </cell>
          <cell r="K20">
            <v>-466.76</v>
          </cell>
          <cell r="L20">
            <v>-17874152.120000005</v>
          </cell>
        </row>
        <row r="22">
          <cell r="A22" t="str">
            <v>Variance</v>
          </cell>
          <cell r="B22">
            <v>33252.929999999702</v>
          </cell>
          <cell r="C22">
            <v>0</v>
          </cell>
          <cell r="D22">
            <v>0</v>
          </cell>
          <cell r="E22">
            <v>0</v>
          </cell>
          <cell r="F22">
            <v>-171344.4299999997</v>
          </cell>
          <cell r="G22">
            <v>2.199999988079071E-2</v>
          </cell>
          <cell r="H22">
            <v>0</v>
          </cell>
          <cell r="I22">
            <v>0</v>
          </cell>
          <cell r="J22">
            <v>0</v>
          </cell>
          <cell r="K22">
            <v>466.76</v>
          </cell>
          <cell r="L22">
            <v>-137624.71799999475</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row r="1">
          <cell r="A1" t="str">
            <v>CWRS</v>
          </cell>
        </row>
        <row r="2">
          <cell r="A2" t="str">
            <v>COPMPST AND OTHER SALES</v>
          </cell>
        </row>
        <row r="3">
          <cell r="A3" t="str">
            <v>SALES &amp; USE TAX</v>
          </cell>
        </row>
        <row r="5">
          <cell r="C5" t="str">
            <v>TAXABLE</v>
          </cell>
          <cell r="D5" t="str">
            <v>NONTAXABLE</v>
          </cell>
          <cell r="E5" t="str">
            <v>TOTAL</v>
          </cell>
        </row>
        <row r="7">
          <cell r="A7" t="str">
            <v>OCT 1999:</v>
          </cell>
        </row>
        <row r="8">
          <cell r="A8" t="str">
            <v>T/S SALES</v>
          </cell>
          <cell r="C8">
            <v>0</v>
          </cell>
          <cell r="D8">
            <v>0</v>
          </cell>
          <cell r="E8">
            <v>0</v>
          </cell>
        </row>
        <row r="9">
          <cell r="A9" t="str">
            <v>CASH SALES</v>
          </cell>
          <cell r="E9">
            <v>0</v>
          </cell>
        </row>
        <row r="10">
          <cell r="A10" t="str">
            <v>CHARGE SALES</v>
          </cell>
          <cell r="E10">
            <v>0</v>
          </cell>
        </row>
        <row r="11">
          <cell r="A11" t="str">
            <v>RECYCLING SALES</v>
          </cell>
          <cell r="E11">
            <v>0</v>
          </cell>
        </row>
        <row r="12">
          <cell r="A12" t="str">
            <v>OTHER SALES:</v>
          </cell>
        </row>
        <row r="13">
          <cell r="A13" t="str">
            <v xml:space="preserve"> WASTE CARTS</v>
          </cell>
          <cell r="C13">
            <v>645</v>
          </cell>
          <cell r="E13">
            <v>645</v>
          </cell>
        </row>
        <row r="14">
          <cell r="A14" t="str">
            <v xml:space="preserve"> MISC T/S</v>
          </cell>
          <cell r="C14">
            <v>0</v>
          </cell>
          <cell r="E14">
            <v>0</v>
          </cell>
        </row>
        <row r="16">
          <cell r="B16" t="str">
            <v>TOTAL</v>
          </cell>
          <cell r="C16">
            <v>645</v>
          </cell>
          <cell r="D16">
            <v>0</v>
          </cell>
          <cell r="E16">
            <v>645</v>
          </cell>
        </row>
        <row r="18">
          <cell r="A18" t="str">
            <v>NOV 1999:</v>
          </cell>
        </row>
        <row r="19">
          <cell r="A19" t="str">
            <v>T/S SALES</v>
          </cell>
          <cell r="E19">
            <v>0</v>
          </cell>
        </row>
        <row r="20">
          <cell r="A20" t="str">
            <v>CASH SALES</v>
          </cell>
          <cell r="E20">
            <v>0</v>
          </cell>
        </row>
        <row r="21">
          <cell r="A21" t="str">
            <v>CHARGE SALES</v>
          </cell>
          <cell r="E21">
            <v>0</v>
          </cell>
        </row>
        <row r="22">
          <cell r="A22" t="str">
            <v>RECYCLING SALES</v>
          </cell>
          <cell r="E22">
            <v>0</v>
          </cell>
        </row>
        <row r="23">
          <cell r="A23" t="str">
            <v>OTHER SALES:</v>
          </cell>
        </row>
        <row r="24">
          <cell r="A24" t="str">
            <v xml:space="preserve"> WASTE CARTS</v>
          </cell>
          <cell r="C24">
            <v>0</v>
          </cell>
          <cell r="E24">
            <v>0</v>
          </cell>
        </row>
        <row r="25">
          <cell r="A25" t="str">
            <v xml:space="preserve"> MISC T/S</v>
          </cell>
          <cell r="C25">
            <v>0</v>
          </cell>
          <cell r="E25">
            <v>0</v>
          </cell>
        </row>
        <row r="27">
          <cell r="B27" t="str">
            <v>TOTAL</v>
          </cell>
          <cell r="C27">
            <v>0</v>
          </cell>
          <cell r="D27">
            <v>0</v>
          </cell>
          <cell r="E27">
            <v>0</v>
          </cell>
        </row>
        <row r="29">
          <cell r="A29" t="str">
            <v>DEC 1999:</v>
          </cell>
        </row>
        <row r="30">
          <cell r="A30" t="str">
            <v>T/S SALES</v>
          </cell>
          <cell r="E30">
            <v>0</v>
          </cell>
        </row>
        <row r="31">
          <cell r="A31" t="str">
            <v>CASH SALES</v>
          </cell>
          <cell r="E31">
            <v>0</v>
          </cell>
        </row>
        <row r="32">
          <cell r="A32" t="str">
            <v>CHARGE SALES</v>
          </cell>
          <cell r="E32">
            <v>0</v>
          </cell>
        </row>
        <row r="33">
          <cell r="A33" t="str">
            <v>RECYCLING SALES</v>
          </cell>
          <cell r="E33">
            <v>0</v>
          </cell>
        </row>
        <row r="34">
          <cell r="A34" t="str">
            <v>OTHER SALES:</v>
          </cell>
        </row>
        <row r="35">
          <cell r="A35" t="str">
            <v xml:space="preserve"> WASTE CARTS</v>
          </cell>
          <cell r="C35">
            <v>0</v>
          </cell>
          <cell r="D35">
            <v>0</v>
          </cell>
          <cell r="E35">
            <v>0</v>
          </cell>
        </row>
        <row r="36">
          <cell r="A36" t="str">
            <v xml:space="preserve"> MISC T/S</v>
          </cell>
          <cell r="C36">
            <v>0</v>
          </cell>
          <cell r="D36">
            <v>0</v>
          </cell>
          <cell r="E36">
            <v>0</v>
          </cell>
        </row>
        <row r="38">
          <cell r="B38" t="str">
            <v>TOTAL</v>
          </cell>
          <cell r="C38">
            <v>0</v>
          </cell>
          <cell r="D38">
            <v>0</v>
          </cell>
          <cell r="E38">
            <v>0</v>
          </cell>
        </row>
        <row r="40">
          <cell r="A40" t="str">
            <v>QUARTER TOTAL - 12/31/99:</v>
          </cell>
        </row>
        <row r="41">
          <cell r="A41" t="str">
            <v>T/S SALES</v>
          </cell>
          <cell r="C41">
            <v>0</v>
          </cell>
          <cell r="D41">
            <v>0</v>
          </cell>
          <cell r="E41">
            <v>0</v>
          </cell>
        </row>
        <row r="42">
          <cell r="A42" t="str">
            <v>CASH SALES</v>
          </cell>
          <cell r="C42">
            <v>0</v>
          </cell>
          <cell r="D42">
            <v>0</v>
          </cell>
          <cell r="E42">
            <v>0</v>
          </cell>
        </row>
        <row r="43">
          <cell r="A43" t="str">
            <v>CHARGE SALES</v>
          </cell>
          <cell r="C43">
            <v>0</v>
          </cell>
          <cell r="D43">
            <v>0</v>
          </cell>
          <cell r="E43">
            <v>0</v>
          </cell>
        </row>
        <row r="44">
          <cell r="A44" t="str">
            <v>RECYCLING SALES</v>
          </cell>
          <cell r="C44">
            <v>0</v>
          </cell>
          <cell r="D44">
            <v>0</v>
          </cell>
          <cell r="E44">
            <v>0</v>
          </cell>
        </row>
        <row r="45">
          <cell r="A45" t="str">
            <v>OTHER SALES:</v>
          </cell>
          <cell r="C45">
            <v>0</v>
          </cell>
          <cell r="D45">
            <v>0</v>
          </cell>
        </row>
        <row r="46">
          <cell r="A46" t="str">
            <v xml:space="preserve"> WASTE CARTS</v>
          </cell>
          <cell r="C46">
            <v>645</v>
          </cell>
          <cell r="D46">
            <v>0</v>
          </cell>
          <cell r="E46">
            <v>645</v>
          </cell>
        </row>
        <row r="47">
          <cell r="A47" t="str">
            <v xml:space="preserve"> MISC T/S</v>
          </cell>
          <cell r="C47">
            <v>0</v>
          </cell>
          <cell r="D47">
            <v>0</v>
          </cell>
          <cell r="E47">
            <v>0</v>
          </cell>
        </row>
        <row r="49">
          <cell r="B49" t="str">
            <v>TOTAL</v>
          </cell>
          <cell r="C49">
            <v>645</v>
          </cell>
          <cell r="D49">
            <v>0</v>
          </cell>
          <cell r="E49">
            <v>645</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RS"/>
      <sheetName val="Budget"/>
      <sheetName val="Forecast"/>
      <sheetName val="Internal Rev Growth"/>
      <sheetName val="Rev Roll"/>
      <sheetName val="Intern of Wste"/>
      <sheetName val="Tonnage"/>
      <sheetName val="AR Analysis"/>
      <sheetName val="Cap X"/>
      <sheetName val="Goodwill"/>
      <sheetName val="Other Intangibles"/>
      <sheetName val="Debt Roll"/>
      <sheetName val="Env Liability"/>
      <sheetName val="Census"/>
      <sheetName val="Census Budget"/>
      <sheetName val="Jan"/>
      <sheetName val="Feb"/>
      <sheetName val="Mar"/>
      <sheetName val="Apr"/>
      <sheetName val="May"/>
      <sheetName val="Jun"/>
      <sheetName val="Jul"/>
      <sheetName val="Aug"/>
      <sheetName val="Sep"/>
      <sheetName val="Oct"/>
      <sheetName val="Nov"/>
      <sheetName val="Dec"/>
    </sheetNames>
    <sheetDataSet>
      <sheetData sheetId="0">
        <row r="5">
          <cell r="B5">
            <v>536</v>
          </cell>
        </row>
        <row r="7">
          <cell r="B7" t="str">
            <v>WM Grass Valley/Nevada City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f Rate Sheet"/>
      <sheetName val="ROE"/>
      <sheetName val="CostStudy"/>
      <sheetName val="Pro Forma"/>
      <sheetName val="LURITXPF AVG"/>
      <sheetName val="Price Out"/>
      <sheetName val="Summary Price Out"/>
      <sheetName val="Fly Sheet"/>
      <sheetName val="Comp Report"/>
      <sheetName val="Operations"/>
      <sheetName val="Assumptions"/>
      <sheetName val="Sch 1 - Restate Exp"/>
      <sheetName val="Sch 1, pg 2 - Restated"/>
      <sheetName val="Sch 2 - Forecast Exp"/>
      <sheetName val="Sch 2, pg 2 - Forecast"/>
      <sheetName val="Sch 3 - Reclass Exp"/>
      <sheetName val="Sch 3, pg 2 - Reclass"/>
      <sheetName val="Sch 4 - 12months"/>
      <sheetName val="WorkPapers"/>
      <sheetName val="WP-1 Exp Summary"/>
      <sheetName val="WP-1, pg 2 -  Expense Mat"/>
      <sheetName val="COS"/>
      <sheetName val="Annual Test Year Revenue"/>
      <sheetName val="WP-2 - Summary Depn"/>
      <sheetName val="WP-2. pg 2 -  Depn"/>
      <sheetName val="WP-3 - Labor Analysis"/>
      <sheetName val="WP-3, pg 2 -  Labor Increase"/>
      <sheetName val="WP-3, pg 3 -  Benefits Analysis"/>
      <sheetName val="WP-4 - Vehicle License"/>
      <sheetName val="WP-5 - Dues &amp; Sub"/>
      <sheetName val="WP-6 - CapitalStructure"/>
      <sheetName val="WP-7 - Affiliated "/>
      <sheetName val="WP-8 - Cust Counts (x per wk)"/>
      <sheetName val="WP-9 - Fuel"/>
      <sheetName val="IS-PBC"/>
      <sheetName val="Stud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0">
          <cell r="C10" t="str">
            <v>July</v>
          </cell>
          <cell r="D10" t="str">
            <v>August</v>
          </cell>
          <cell r="E10" t="str">
            <v>September</v>
          </cell>
          <cell r="F10" t="str">
            <v>October</v>
          </cell>
          <cell r="G10" t="str">
            <v>November</v>
          </cell>
          <cell r="H10" t="str">
            <v>December</v>
          </cell>
          <cell r="I10" t="str">
            <v>January</v>
          </cell>
          <cell r="J10" t="str">
            <v>February</v>
          </cell>
          <cell r="K10" t="str">
            <v>March</v>
          </cell>
          <cell r="L10" t="str">
            <v>April</v>
          </cell>
          <cell r="M10" t="str">
            <v>May</v>
          </cell>
          <cell r="N10" t="str">
            <v>June</v>
          </cell>
          <cell r="O10" t="str">
            <v>BOOKS</v>
          </cell>
        </row>
        <row r="11">
          <cell r="B11" t="str">
            <v>REVENUES</v>
          </cell>
        </row>
        <row r="12">
          <cell r="B12" t="str">
            <v>Residential</v>
          </cell>
          <cell r="C12">
            <v>174180.93</v>
          </cell>
          <cell r="D12">
            <v>173280.81</v>
          </cell>
          <cell r="E12">
            <v>173720.66</v>
          </cell>
          <cell r="F12">
            <v>174251.51999999999</v>
          </cell>
          <cell r="G12">
            <v>172742.2</v>
          </cell>
          <cell r="H12">
            <v>178132.76</v>
          </cell>
          <cell r="I12">
            <v>171317.32</v>
          </cell>
          <cell r="J12">
            <v>170743.6</v>
          </cell>
          <cell r="K12">
            <v>175193.55</v>
          </cell>
          <cell r="L12">
            <v>169715.71000000002</v>
          </cell>
          <cell r="M12">
            <v>171741.57</v>
          </cell>
          <cell r="N12">
            <v>172744.06</v>
          </cell>
          <cell r="O12">
            <v>2077764.6900000004</v>
          </cell>
        </row>
        <row r="13">
          <cell r="B13" t="str">
            <v>Commercial</v>
          </cell>
          <cell r="C13">
            <v>47309.79</v>
          </cell>
          <cell r="D13">
            <v>49650.83</v>
          </cell>
          <cell r="E13">
            <v>49046.720000000001</v>
          </cell>
          <cell r="F13">
            <v>51952.58</v>
          </cell>
          <cell r="G13">
            <v>50878.630000000005</v>
          </cell>
          <cell r="H13">
            <v>51199.67</v>
          </cell>
          <cell r="I13">
            <v>50673.659999999996</v>
          </cell>
          <cell r="J13">
            <v>50446.21</v>
          </cell>
          <cell r="K13">
            <v>50125.05</v>
          </cell>
          <cell r="L13">
            <v>50311.41</v>
          </cell>
          <cell r="M13">
            <v>49825.22</v>
          </cell>
          <cell r="N13">
            <v>48109.53</v>
          </cell>
          <cell r="O13">
            <v>599529.29999999993</v>
          </cell>
        </row>
        <row r="14">
          <cell r="B14" t="str">
            <v>Drop Box</v>
          </cell>
          <cell r="C14">
            <v>94770.37</v>
          </cell>
          <cell r="D14">
            <v>83414.399999999994</v>
          </cell>
          <cell r="E14">
            <v>70757</v>
          </cell>
          <cell r="F14">
            <v>93470.47</v>
          </cell>
          <cell r="G14">
            <v>77609.36</v>
          </cell>
          <cell r="H14">
            <v>78412.759999999995</v>
          </cell>
          <cell r="I14">
            <v>84127.209999999992</v>
          </cell>
          <cell r="J14">
            <v>73158.41</v>
          </cell>
          <cell r="K14">
            <v>67670.3</v>
          </cell>
          <cell r="L14">
            <v>146420.00999999998</v>
          </cell>
          <cell r="M14">
            <v>110569.68000000001</v>
          </cell>
          <cell r="N14">
            <v>117378.07</v>
          </cell>
          <cell r="O14">
            <v>1097758.04</v>
          </cell>
        </row>
        <row r="15">
          <cell r="B15" t="str">
            <v>Fuel Surcharge</v>
          </cell>
          <cell r="C15">
            <v>7080.29</v>
          </cell>
          <cell r="D15">
            <v>5415.91</v>
          </cell>
          <cell r="E15">
            <v>3962.36</v>
          </cell>
          <cell r="F15">
            <v>3711.91</v>
          </cell>
          <cell r="G15">
            <v>5004.82</v>
          </cell>
          <cell r="H15">
            <v>6228</v>
          </cell>
          <cell r="I15">
            <v>6504.57</v>
          </cell>
          <cell r="J15">
            <v>5362.94</v>
          </cell>
          <cell r="K15">
            <v>2299.0500000000002</v>
          </cell>
          <cell r="L15">
            <v>0</v>
          </cell>
          <cell r="M15">
            <v>0</v>
          </cell>
          <cell r="N15">
            <v>0</v>
          </cell>
          <cell r="O15">
            <v>45569.850000000006</v>
          </cell>
        </row>
        <row r="16">
          <cell r="B16" t="str">
            <v>Contract Hauling</v>
          </cell>
          <cell r="C16">
            <v>0</v>
          </cell>
          <cell r="D16">
            <v>0</v>
          </cell>
          <cell r="E16">
            <v>0</v>
          </cell>
          <cell r="F16">
            <v>0</v>
          </cell>
          <cell r="G16">
            <v>0</v>
          </cell>
          <cell r="H16">
            <v>0</v>
          </cell>
          <cell r="I16">
            <v>0</v>
          </cell>
          <cell r="J16">
            <v>0</v>
          </cell>
          <cell r="K16">
            <v>0</v>
          </cell>
          <cell r="L16">
            <v>0</v>
          </cell>
          <cell r="M16">
            <v>0</v>
          </cell>
          <cell r="N16">
            <v>0</v>
          </cell>
          <cell r="O16">
            <v>0</v>
          </cell>
        </row>
        <row r="17">
          <cell r="B17" t="str">
            <v>Pass Thru</v>
          </cell>
          <cell r="C17">
            <v>0</v>
          </cell>
          <cell r="D17">
            <v>0</v>
          </cell>
          <cell r="E17">
            <v>0</v>
          </cell>
          <cell r="F17">
            <v>0</v>
          </cell>
          <cell r="G17">
            <v>0</v>
          </cell>
          <cell r="H17">
            <v>0</v>
          </cell>
          <cell r="I17">
            <v>0</v>
          </cell>
          <cell r="J17">
            <v>0</v>
          </cell>
          <cell r="K17">
            <v>0</v>
          </cell>
          <cell r="L17">
            <v>0</v>
          </cell>
          <cell r="M17">
            <v>0</v>
          </cell>
          <cell r="N17">
            <v>0</v>
          </cell>
          <cell r="O17">
            <v>0</v>
          </cell>
        </row>
        <row r="18">
          <cell r="B18" t="str">
            <v>Kalama</v>
          </cell>
          <cell r="C18">
            <v>11685.96</v>
          </cell>
          <cell r="D18">
            <v>27113.64</v>
          </cell>
          <cell r="E18">
            <v>10043.36</v>
          </cell>
          <cell r="F18">
            <v>26012.52</v>
          </cell>
          <cell r="G18">
            <v>10203.26</v>
          </cell>
          <cell r="H18">
            <v>26231.71</v>
          </cell>
          <cell r="I18">
            <v>11775.31</v>
          </cell>
          <cell r="J18">
            <v>25567.59</v>
          </cell>
          <cell r="K18">
            <v>11624</v>
          </cell>
          <cell r="L18">
            <v>24865.22</v>
          </cell>
          <cell r="M18">
            <v>10928.64</v>
          </cell>
          <cell r="N18">
            <v>26085.200000000001</v>
          </cell>
          <cell r="O18">
            <v>222136.40999999997</v>
          </cell>
        </row>
        <row r="19">
          <cell r="B19" t="str">
            <v>Refunds</v>
          </cell>
          <cell r="C19">
            <v>0</v>
          </cell>
          <cell r="D19">
            <v>-293.45</v>
          </cell>
          <cell r="E19">
            <v>-1045.5</v>
          </cell>
          <cell r="F19">
            <v>-1708.6799999999998</v>
          </cell>
          <cell r="G19">
            <v>-1493.08</v>
          </cell>
          <cell r="H19">
            <v>-666.96</v>
          </cell>
          <cell r="I19">
            <v>-645.04</v>
          </cell>
          <cell r="J19">
            <v>0</v>
          </cell>
          <cell r="K19">
            <v>-1047.19</v>
          </cell>
          <cell r="L19">
            <v>-1848.9</v>
          </cell>
          <cell r="M19">
            <v>-900.50000000000011</v>
          </cell>
          <cell r="N19">
            <v>-93.44</v>
          </cell>
          <cell r="O19">
            <v>-9742.74</v>
          </cell>
        </row>
        <row r="20">
          <cell r="C20">
            <v>335027.33999999997</v>
          </cell>
          <cell r="D20">
            <v>338582.14</v>
          </cell>
          <cell r="E20">
            <v>306484.59999999998</v>
          </cell>
          <cell r="F20">
            <v>347690.31999999995</v>
          </cell>
          <cell r="G20">
            <v>314945.19</v>
          </cell>
          <cell r="H20">
            <v>339537.94</v>
          </cell>
          <cell r="I20">
            <v>323753.03000000003</v>
          </cell>
          <cell r="J20">
            <v>325278.75</v>
          </cell>
          <cell r="K20">
            <v>305864.75999999995</v>
          </cell>
          <cell r="L20">
            <v>389463.44999999995</v>
          </cell>
          <cell r="M20">
            <v>342164.61000000004</v>
          </cell>
          <cell r="N20">
            <v>364223.42000000004</v>
          </cell>
          <cell r="O20">
            <v>4033015.5500000003</v>
          </cell>
        </row>
        <row r="22">
          <cell r="B22" t="str">
            <v>OPERATING EXPENSES</v>
          </cell>
        </row>
        <row r="23">
          <cell r="B23" t="str">
            <v>Wages Drivers</v>
          </cell>
          <cell r="C23">
            <v>25914.53</v>
          </cell>
          <cell r="D23">
            <v>25612.28</v>
          </cell>
          <cell r="E23">
            <v>26860.720000000001</v>
          </cell>
          <cell r="F23">
            <v>22905.47</v>
          </cell>
          <cell r="G23">
            <v>24624.27</v>
          </cell>
          <cell r="H23">
            <v>34114.94</v>
          </cell>
          <cell r="I23">
            <v>27945.73</v>
          </cell>
          <cell r="J23">
            <v>27919.93</v>
          </cell>
          <cell r="K23">
            <v>31246.15</v>
          </cell>
          <cell r="L23">
            <v>28708.51</v>
          </cell>
          <cell r="M23">
            <v>30610.31</v>
          </cell>
          <cell r="N23">
            <v>32955.53</v>
          </cell>
          <cell r="O23">
            <v>339418.37</v>
          </cell>
        </row>
        <row r="24">
          <cell r="B24" t="str">
            <v>Wages Drop Box Drivers</v>
          </cell>
          <cell r="C24">
            <v>0</v>
          </cell>
          <cell r="D24">
            <v>0</v>
          </cell>
          <cell r="E24">
            <v>0</v>
          </cell>
          <cell r="F24">
            <v>0</v>
          </cell>
          <cell r="G24">
            <v>0</v>
          </cell>
          <cell r="H24">
            <v>0</v>
          </cell>
          <cell r="I24">
            <v>0</v>
          </cell>
          <cell r="J24">
            <v>0</v>
          </cell>
          <cell r="K24">
            <v>0</v>
          </cell>
          <cell r="L24">
            <v>0</v>
          </cell>
          <cell r="M24">
            <v>0</v>
          </cell>
          <cell r="N24">
            <v>0</v>
          </cell>
          <cell r="O24">
            <v>0</v>
          </cell>
        </row>
        <row r="25">
          <cell r="B25" t="str">
            <v>Wages Mechanics</v>
          </cell>
          <cell r="C25">
            <v>12823.84</v>
          </cell>
          <cell r="D25">
            <v>16758.509999999998</v>
          </cell>
          <cell r="E25">
            <v>16738.03</v>
          </cell>
          <cell r="F25">
            <v>15679.32</v>
          </cell>
          <cell r="G25">
            <v>19706.93</v>
          </cell>
          <cell r="H25">
            <v>19005.95</v>
          </cell>
          <cell r="I25">
            <v>19410.27</v>
          </cell>
          <cell r="J25">
            <v>17054.080000000002</v>
          </cell>
          <cell r="K25">
            <v>20579.61</v>
          </cell>
          <cell r="L25">
            <v>21031.96</v>
          </cell>
          <cell r="M25">
            <v>23542.17</v>
          </cell>
          <cell r="N25">
            <v>21356.76</v>
          </cell>
          <cell r="O25">
            <v>223687.43</v>
          </cell>
        </row>
        <row r="26">
          <cell r="B26" t="str">
            <v>Wages Supervisor</v>
          </cell>
          <cell r="C26">
            <v>0</v>
          </cell>
          <cell r="D26">
            <v>0</v>
          </cell>
          <cell r="E26">
            <v>0</v>
          </cell>
          <cell r="F26">
            <v>0</v>
          </cell>
          <cell r="G26">
            <v>0</v>
          </cell>
          <cell r="H26">
            <v>0</v>
          </cell>
          <cell r="I26">
            <v>0</v>
          </cell>
          <cell r="J26">
            <v>0</v>
          </cell>
          <cell r="K26">
            <v>0</v>
          </cell>
          <cell r="L26">
            <v>0</v>
          </cell>
          <cell r="M26">
            <v>0</v>
          </cell>
          <cell r="N26">
            <v>0</v>
          </cell>
          <cell r="O26">
            <v>0</v>
          </cell>
        </row>
        <row r="27">
          <cell r="B27" t="str">
            <v>Wages Extra Labor</v>
          </cell>
          <cell r="C27">
            <v>6623.09</v>
          </cell>
          <cell r="D27">
            <v>6114.4</v>
          </cell>
          <cell r="E27">
            <v>4761.58</v>
          </cell>
          <cell r="F27">
            <v>1667.53</v>
          </cell>
          <cell r="G27">
            <v>2320.4</v>
          </cell>
          <cell r="H27">
            <v>2540.62</v>
          </cell>
          <cell r="I27">
            <v>218.14</v>
          </cell>
          <cell r="J27">
            <v>248.16</v>
          </cell>
          <cell r="K27">
            <v>326.97000000000003</v>
          </cell>
          <cell r="L27">
            <v>-326.97000000000003</v>
          </cell>
          <cell r="M27">
            <v>0</v>
          </cell>
          <cell r="N27">
            <v>3574.45</v>
          </cell>
          <cell r="O27">
            <v>28068.37</v>
          </cell>
        </row>
        <row r="28">
          <cell r="B28" t="str">
            <v>Fringe Benefits</v>
          </cell>
          <cell r="C28">
            <v>0</v>
          </cell>
          <cell r="D28">
            <v>0</v>
          </cell>
          <cell r="E28">
            <v>0</v>
          </cell>
          <cell r="F28">
            <v>0</v>
          </cell>
          <cell r="G28">
            <v>0</v>
          </cell>
          <cell r="H28">
            <v>0</v>
          </cell>
          <cell r="I28">
            <v>0</v>
          </cell>
          <cell r="J28">
            <v>0</v>
          </cell>
          <cell r="K28">
            <v>0</v>
          </cell>
          <cell r="L28">
            <v>0</v>
          </cell>
          <cell r="M28">
            <v>0</v>
          </cell>
          <cell r="N28">
            <v>0</v>
          </cell>
          <cell r="O28">
            <v>0</v>
          </cell>
        </row>
        <row r="29">
          <cell r="B29" t="str">
            <v>Contract Labor</v>
          </cell>
          <cell r="C29">
            <v>312.95999999999998</v>
          </cell>
          <cell r="D29">
            <v>309</v>
          </cell>
          <cell r="E29">
            <v>0</v>
          </cell>
          <cell r="F29">
            <v>550.20000000000005</v>
          </cell>
          <cell r="G29">
            <v>0</v>
          </cell>
          <cell r="H29">
            <v>0</v>
          </cell>
          <cell r="I29">
            <v>0</v>
          </cell>
          <cell r="J29">
            <v>0</v>
          </cell>
          <cell r="K29">
            <v>0</v>
          </cell>
          <cell r="L29">
            <v>0</v>
          </cell>
          <cell r="M29">
            <v>0</v>
          </cell>
          <cell r="N29">
            <v>0</v>
          </cell>
          <cell r="O29">
            <v>1172.1600000000001</v>
          </cell>
        </row>
        <row r="30">
          <cell r="B30" t="str">
            <v>Maintenance</v>
          </cell>
          <cell r="C30">
            <v>7239.82</v>
          </cell>
          <cell r="D30">
            <v>10680.2</v>
          </cell>
          <cell r="E30">
            <v>7082.9800000000005</v>
          </cell>
          <cell r="F30">
            <v>17263.809999999998</v>
          </cell>
          <cell r="G30">
            <v>6765.65</v>
          </cell>
          <cell r="H30">
            <v>12578.570000000002</v>
          </cell>
          <cell r="I30">
            <v>8705</v>
          </cell>
          <cell r="J30">
            <v>8629.4699999999993</v>
          </cell>
          <cell r="K30">
            <v>12846.37</v>
          </cell>
          <cell r="L30">
            <v>9522.98</v>
          </cell>
          <cell r="M30">
            <v>6152.06</v>
          </cell>
          <cell r="N30">
            <v>12420.72</v>
          </cell>
          <cell r="O30">
            <v>119887.62999999999</v>
          </cell>
        </row>
        <row r="31">
          <cell r="B31" t="str">
            <v>Maintenance/ Cont./Dr Bx</v>
          </cell>
          <cell r="C31">
            <v>0</v>
          </cell>
          <cell r="D31">
            <v>0</v>
          </cell>
          <cell r="E31">
            <v>0</v>
          </cell>
          <cell r="F31">
            <v>410.72</v>
          </cell>
          <cell r="G31">
            <v>1250</v>
          </cell>
          <cell r="H31">
            <v>491.77</v>
          </cell>
          <cell r="I31">
            <v>341.34</v>
          </cell>
          <cell r="J31">
            <v>118.86</v>
          </cell>
          <cell r="K31">
            <v>0</v>
          </cell>
          <cell r="L31">
            <v>1620</v>
          </cell>
          <cell r="M31">
            <v>4860</v>
          </cell>
          <cell r="N31">
            <v>0</v>
          </cell>
          <cell r="O31">
            <v>9092.69</v>
          </cell>
        </row>
        <row r="32">
          <cell r="B32" t="str">
            <v>Truck Rental</v>
          </cell>
          <cell r="C32">
            <v>3000</v>
          </cell>
          <cell r="D32">
            <v>3000</v>
          </cell>
          <cell r="E32">
            <v>3000</v>
          </cell>
          <cell r="F32">
            <v>3000</v>
          </cell>
          <cell r="G32">
            <v>3000</v>
          </cell>
          <cell r="H32">
            <v>3000</v>
          </cell>
          <cell r="I32">
            <v>3000</v>
          </cell>
          <cell r="J32">
            <v>3000</v>
          </cell>
          <cell r="K32">
            <v>3000</v>
          </cell>
          <cell r="L32">
            <v>3000</v>
          </cell>
          <cell r="M32">
            <v>3000</v>
          </cell>
          <cell r="N32">
            <v>3000</v>
          </cell>
          <cell r="O32">
            <v>36000</v>
          </cell>
        </row>
        <row r="33">
          <cell r="B33" t="str">
            <v>Equipment Rent</v>
          </cell>
          <cell r="C33">
            <v>0</v>
          </cell>
          <cell r="D33">
            <v>0</v>
          </cell>
          <cell r="E33">
            <v>0</v>
          </cell>
          <cell r="F33">
            <v>0</v>
          </cell>
          <cell r="G33">
            <v>0</v>
          </cell>
          <cell r="H33">
            <v>0</v>
          </cell>
          <cell r="I33">
            <v>0</v>
          </cell>
          <cell r="J33">
            <v>0</v>
          </cell>
          <cell r="K33">
            <v>0</v>
          </cell>
          <cell r="L33">
            <v>0</v>
          </cell>
          <cell r="M33">
            <v>0</v>
          </cell>
          <cell r="N33">
            <v>0</v>
          </cell>
          <cell r="O33">
            <v>0</v>
          </cell>
        </row>
        <row r="34">
          <cell r="B34" t="str">
            <v>Tires</v>
          </cell>
          <cell r="C34">
            <v>6067.27</v>
          </cell>
          <cell r="D34">
            <v>7800.67</v>
          </cell>
          <cell r="E34">
            <v>6023.77</v>
          </cell>
          <cell r="F34">
            <v>7511.52</v>
          </cell>
          <cell r="G34">
            <v>6007.28</v>
          </cell>
          <cell r="H34">
            <v>10259.75</v>
          </cell>
          <cell r="I34">
            <v>6118.4</v>
          </cell>
          <cell r="J34">
            <v>7359.39</v>
          </cell>
          <cell r="K34">
            <v>10000.81</v>
          </cell>
          <cell r="L34">
            <v>8372.99</v>
          </cell>
          <cell r="M34">
            <v>8042.56</v>
          </cell>
          <cell r="N34">
            <v>7165.97</v>
          </cell>
          <cell r="O34">
            <v>90730.38</v>
          </cell>
        </row>
        <row r="35">
          <cell r="B35" t="str">
            <v>Fuel</v>
          </cell>
          <cell r="C35">
            <v>26792.65</v>
          </cell>
          <cell r="D35">
            <v>28921.18</v>
          </cell>
          <cell r="E35">
            <v>24422.75</v>
          </cell>
          <cell r="F35">
            <v>28974.639999999999</v>
          </cell>
          <cell r="G35">
            <v>29501.34</v>
          </cell>
          <cell r="H35">
            <v>23414.98</v>
          </cell>
          <cell r="I35">
            <v>26385.67</v>
          </cell>
          <cell r="J35">
            <v>25155.59</v>
          </cell>
          <cell r="K35">
            <v>23578.45</v>
          </cell>
          <cell r="L35">
            <v>22344.26</v>
          </cell>
          <cell r="M35">
            <v>27773.759999999998</v>
          </cell>
          <cell r="N35">
            <v>24252.16</v>
          </cell>
          <cell r="O35">
            <v>311517.43</v>
          </cell>
        </row>
        <row r="36">
          <cell r="B36" t="str">
            <v>Contract Hauling</v>
          </cell>
          <cell r="C36">
            <v>0</v>
          </cell>
          <cell r="D36">
            <v>0</v>
          </cell>
          <cell r="E36">
            <v>0</v>
          </cell>
          <cell r="F36">
            <v>0</v>
          </cell>
          <cell r="G36">
            <v>0</v>
          </cell>
          <cell r="H36">
            <v>50197.35</v>
          </cell>
          <cell r="I36">
            <v>0</v>
          </cell>
          <cell r="J36">
            <v>0</v>
          </cell>
          <cell r="K36">
            <v>0</v>
          </cell>
          <cell r="L36">
            <v>59542.7</v>
          </cell>
          <cell r="M36">
            <v>0</v>
          </cell>
          <cell r="N36">
            <v>44344.66</v>
          </cell>
          <cell r="O36">
            <v>154084.71</v>
          </cell>
        </row>
        <row r="37">
          <cell r="B37" t="str">
            <v>Disposal Fees - Cowlitz County</v>
          </cell>
          <cell r="C37">
            <v>44780.83</v>
          </cell>
          <cell r="D37">
            <v>44188.160000000003</v>
          </cell>
          <cell r="E37">
            <v>39947.22</v>
          </cell>
          <cell r="F37">
            <v>46320.47</v>
          </cell>
          <cell r="G37">
            <v>45874.43</v>
          </cell>
          <cell r="H37">
            <v>41319.96</v>
          </cell>
          <cell r="I37">
            <v>42529.11</v>
          </cell>
          <cell r="J37">
            <v>36778.39</v>
          </cell>
          <cell r="K37">
            <v>39433.089999999997</v>
          </cell>
          <cell r="L37">
            <v>44657.21</v>
          </cell>
          <cell r="M37">
            <v>47362.61</v>
          </cell>
          <cell r="N37">
            <v>43503.02</v>
          </cell>
          <cell r="O37">
            <v>516694.50000000006</v>
          </cell>
        </row>
        <row r="38">
          <cell r="B38" t="str">
            <v>Disposal Fees - G-49 Packers</v>
          </cell>
          <cell r="C38">
            <v>5714.76</v>
          </cell>
          <cell r="D38">
            <v>6421.61</v>
          </cell>
          <cell r="E38">
            <v>4966.8900000000003</v>
          </cell>
          <cell r="F38">
            <v>4960.78</v>
          </cell>
          <cell r="G38">
            <v>5678.92</v>
          </cell>
          <cell r="H38">
            <v>4505.8500000000004</v>
          </cell>
          <cell r="I38">
            <v>4919.96</v>
          </cell>
          <cell r="J38">
            <v>1591.94</v>
          </cell>
          <cell r="K38">
            <v>4801.6400000000003</v>
          </cell>
          <cell r="L38">
            <v>4888.91</v>
          </cell>
          <cell r="M38">
            <v>5858.33</v>
          </cell>
          <cell r="N38">
            <v>5663.28</v>
          </cell>
          <cell r="O38">
            <v>59972.869999999995</v>
          </cell>
        </row>
        <row r="39">
          <cell r="B39" t="str">
            <v xml:space="preserve">Disposal Fees - G-49 </v>
          </cell>
          <cell r="C39">
            <v>2077.61</v>
          </cell>
          <cell r="D39">
            <v>1437.55</v>
          </cell>
          <cell r="E39">
            <v>1615.08</v>
          </cell>
          <cell r="F39">
            <v>2195.63</v>
          </cell>
          <cell r="G39">
            <v>2273.08</v>
          </cell>
          <cell r="H39">
            <v>665.8</v>
          </cell>
          <cell r="I39">
            <v>1985.48</v>
          </cell>
          <cell r="J39">
            <v>4490.55</v>
          </cell>
          <cell r="K39">
            <v>1440.9</v>
          </cell>
          <cell r="L39">
            <v>1575.56</v>
          </cell>
          <cell r="M39">
            <v>2304.38</v>
          </cell>
          <cell r="N39">
            <v>2752.72</v>
          </cell>
          <cell r="O39">
            <v>24814.340000000004</v>
          </cell>
        </row>
        <row r="40">
          <cell r="B40" t="str">
            <v>Disposal Fees Pass Thru</v>
          </cell>
          <cell r="C40">
            <v>42374.07</v>
          </cell>
          <cell r="D40">
            <v>34971.360000000001</v>
          </cell>
          <cell r="E40">
            <v>27081.54</v>
          </cell>
          <cell r="F40">
            <v>38805.300000000003</v>
          </cell>
          <cell r="G40">
            <v>31798.17</v>
          </cell>
          <cell r="H40">
            <v>34705.86</v>
          </cell>
          <cell r="I40">
            <v>35911.43</v>
          </cell>
          <cell r="J40">
            <v>31325.59</v>
          </cell>
          <cell r="K40">
            <v>32623.84</v>
          </cell>
          <cell r="L40">
            <v>35705.51</v>
          </cell>
          <cell r="M40">
            <v>35867.86</v>
          </cell>
          <cell r="N40">
            <v>35870.61</v>
          </cell>
          <cell r="O40">
            <v>417041.14</v>
          </cell>
        </row>
        <row r="41">
          <cell r="B41" t="str">
            <v>Stormwater management</v>
          </cell>
          <cell r="C41">
            <v>1000</v>
          </cell>
          <cell r="D41">
            <v>1000</v>
          </cell>
          <cell r="E41">
            <v>1000</v>
          </cell>
          <cell r="F41">
            <v>1000</v>
          </cell>
          <cell r="G41">
            <v>1000</v>
          </cell>
          <cell r="H41">
            <v>1000</v>
          </cell>
          <cell r="I41">
            <v>1000</v>
          </cell>
          <cell r="J41">
            <v>1000</v>
          </cell>
          <cell r="K41">
            <v>1000</v>
          </cell>
          <cell r="L41">
            <v>1000</v>
          </cell>
          <cell r="M41">
            <v>1000</v>
          </cell>
          <cell r="N41">
            <v>1000</v>
          </cell>
          <cell r="O41">
            <v>12000</v>
          </cell>
        </row>
        <row r="42">
          <cell r="B42" t="str">
            <v>Liability Insurance</v>
          </cell>
          <cell r="C42">
            <v>2451.96</v>
          </cell>
          <cell r="D42">
            <v>2451.96</v>
          </cell>
          <cell r="E42">
            <v>2451.96</v>
          </cell>
          <cell r="F42">
            <v>2337.96</v>
          </cell>
          <cell r="G42">
            <v>2451.96</v>
          </cell>
          <cell r="H42">
            <v>2451.96</v>
          </cell>
          <cell r="I42">
            <v>2261.9499999999998</v>
          </cell>
          <cell r="J42">
            <v>2261.9499999999998</v>
          </cell>
          <cell r="K42">
            <v>2261.9499999999998</v>
          </cell>
          <cell r="L42">
            <v>2261.9499999999998</v>
          </cell>
          <cell r="M42">
            <v>2261.9499999999998</v>
          </cell>
          <cell r="N42">
            <v>2261.96</v>
          </cell>
          <cell r="O42">
            <v>28169.47</v>
          </cell>
        </row>
        <row r="43">
          <cell r="B43" t="str">
            <v>Officer Salaries</v>
          </cell>
          <cell r="C43">
            <v>0</v>
          </cell>
          <cell r="D43">
            <v>0</v>
          </cell>
          <cell r="E43">
            <v>0</v>
          </cell>
          <cell r="F43">
            <v>0</v>
          </cell>
          <cell r="G43">
            <v>0</v>
          </cell>
          <cell r="H43">
            <v>0</v>
          </cell>
          <cell r="I43">
            <v>0</v>
          </cell>
          <cell r="J43">
            <v>0</v>
          </cell>
          <cell r="K43">
            <v>0</v>
          </cell>
          <cell r="L43">
            <v>0</v>
          </cell>
          <cell r="M43">
            <v>0</v>
          </cell>
          <cell r="N43">
            <v>0</v>
          </cell>
          <cell r="O43">
            <v>0</v>
          </cell>
        </row>
        <row r="44">
          <cell r="B44" t="str">
            <v>Office Salaries</v>
          </cell>
          <cell r="C44">
            <v>14703.57</v>
          </cell>
          <cell r="D44">
            <v>16008.8</v>
          </cell>
          <cell r="E44">
            <v>18022.36</v>
          </cell>
          <cell r="F44">
            <v>16033.94</v>
          </cell>
          <cell r="G44">
            <v>16714.990000000002</v>
          </cell>
          <cell r="H44">
            <v>18842.7</v>
          </cell>
          <cell r="I44">
            <v>16418.29</v>
          </cell>
          <cell r="J44">
            <v>15327.01</v>
          </cell>
          <cell r="K44">
            <v>17203.59</v>
          </cell>
          <cell r="L44">
            <v>15963.53</v>
          </cell>
          <cell r="M44">
            <v>17123.25</v>
          </cell>
          <cell r="N44">
            <v>18468.03</v>
          </cell>
          <cell r="O44">
            <v>200830.06</v>
          </cell>
        </row>
        <row r="45">
          <cell r="B45" t="str">
            <v>Management Fees</v>
          </cell>
          <cell r="C45">
            <v>15000</v>
          </cell>
          <cell r="D45">
            <v>15000</v>
          </cell>
          <cell r="E45">
            <v>15000</v>
          </cell>
          <cell r="F45">
            <v>15000</v>
          </cell>
          <cell r="G45">
            <v>15000</v>
          </cell>
          <cell r="H45">
            <v>15000</v>
          </cell>
          <cell r="I45">
            <v>15000</v>
          </cell>
          <cell r="J45">
            <v>15000</v>
          </cell>
          <cell r="K45">
            <v>15000</v>
          </cell>
          <cell r="L45">
            <v>15000</v>
          </cell>
          <cell r="M45">
            <v>15000</v>
          </cell>
          <cell r="N45">
            <v>15000</v>
          </cell>
          <cell r="O45">
            <v>180000</v>
          </cell>
        </row>
        <row r="46">
          <cell r="B46" t="str">
            <v>Bad Debt Expense</v>
          </cell>
          <cell r="C46">
            <v>1492.98</v>
          </cell>
          <cell r="D46">
            <v>3927.6699999999992</v>
          </cell>
          <cell r="E46">
            <v>2901.04</v>
          </cell>
          <cell r="F46">
            <v>1615.34</v>
          </cell>
          <cell r="G46">
            <v>3780.5699999999997</v>
          </cell>
          <cell r="H46">
            <v>15379.85</v>
          </cell>
          <cell r="I46">
            <v>8831.99</v>
          </cell>
          <cell r="J46">
            <v>4601.5</v>
          </cell>
          <cell r="K46">
            <v>3034.8</v>
          </cell>
          <cell r="L46">
            <v>-939.91</v>
          </cell>
          <cell r="M46">
            <v>1362.4299999999998</v>
          </cell>
          <cell r="N46">
            <v>4179.01</v>
          </cell>
          <cell r="O46">
            <v>50167.27</v>
          </cell>
        </row>
        <row r="47">
          <cell r="B47" t="str">
            <v>Office Supply</v>
          </cell>
          <cell r="C47">
            <v>4318.51</v>
          </cell>
          <cell r="D47">
            <v>4748.49</v>
          </cell>
          <cell r="E47">
            <v>5046.9399999999996</v>
          </cell>
          <cell r="F47">
            <v>4715.07</v>
          </cell>
          <cell r="G47">
            <v>5303.17</v>
          </cell>
          <cell r="H47">
            <v>6065.01</v>
          </cell>
          <cell r="I47">
            <v>3913.67</v>
          </cell>
          <cell r="J47">
            <v>3599.26</v>
          </cell>
          <cell r="K47">
            <v>3683.92</v>
          </cell>
          <cell r="L47">
            <v>4149.17</v>
          </cell>
          <cell r="M47">
            <v>3015.0299999999997</v>
          </cell>
          <cell r="N47">
            <v>4175.4799999999996</v>
          </cell>
          <cell r="O47">
            <v>52733.72</v>
          </cell>
        </row>
        <row r="48">
          <cell r="B48" t="str">
            <v>Postage</v>
          </cell>
          <cell r="C48">
            <v>350</v>
          </cell>
          <cell r="D48">
            <v>0</v>
          </cell>
          <cell r="E48">
            <v>0</v>
          </cell>
          <cell r="F48">
            <v>350</v>
          </cell>
          <cell r="G48">
            <v>0</v>
          </cell>
          <cell r="H48">
            <v>200</v>
          </cell>
          <cell r="I48">
            <v>0</v>
          </cell>
          <cell r="J48">
            <v>90.47</v>
          </cell>
          <cell r="K48">
            <v>0</v>
          </cell>
          <cell r="L48">
            <v>300</v>
          </cell>
          <cell r="M48">
            <v>94.19</v>
          </cell>
          <cell r="N48">
            <v>300</v>
          </cell>
          <cell r="O48">
            <v>1684.66</v>
          </cell>
        </row>
        <row r="49">
          <cell r="B49" t="str">
            <v>Bank Charges</v>
          </cell>
          <cell r="C49">
            <v>447.54</v>
          </cell>
          <cell r="D49">
            <v>262.07</v>
          </cell>
          <cell r="E49">
            <v>362.1</v>
          </cell>
          <cell r="F49">
            <v>376.24</v>
          </cell>
          <cell r="G49">
            <v>460.67</v>
          </cell>
          <cell r="H49">
            <v>317.61</v>
          </cell>
          <cell r="I49">
            <v>395.2</v>
          </cell>
          <cell r="J49">
            <v>347.85</v>
          </cell>
          <cell r="K49">
            <v>523.35</v>
          </cell>
          <cell r="L49">
            <v>385.77</v>
          </cell>
          <cell r="M49">
            <v>436.54</v>
          </cell>
          <cell r="N49">
            <v>314.5</v>
          </cell>
          <cell r="O49">
            <v>4629.4399999999996</v>
          </cell>
        </row>
        <row r="50">
          <cell r="B50" t="str">
            <v>Maintenance</v>
          </cell>
          <cell r="C50">
            <v>141.12</v>
          </cell>
          <cell r="D50">
            <v>825.32999999999993</v>
          </cell>
          <cell r="E50">
            <v>634.54</v>
          </cell>
          <cell r="F50">
            <v>1633.31</v>
          </cell>
          <cell r="G50">
            <v>499.07</v>
          </cell>
          <cell r="H50">
            <v>221.97</v>
          </cell>
          <cell r="I50">
            <v>857.36</v>
          </cell>
          <cell r="J50">
            <v>0</v>
          </cell>
          <cell r="K50">
            <v>15.95</v>
          </cell>
          <cell r="L50">
            <v>361.08</v>
          </cell>
          <cell r="M50">
            <v>1058.49</v>
          </cell>
          <cell r="N50">
            <v>2850.03</v>
          </cell>
          <cell r="O50">
            <v>9098.25</v>
          </cell>
        </row>
        <row r="51">
          <cell r="B51" t="str">
            <v>Rate Case Expense</v>
          </cell>
          <cell r="C51">
            <v>0</v>
          </cell>
          <cell r="D51">
            <v>0</v>
          </cell>
          <cell r="E51">
            <v>0</v>
          </cell>
          <cell r="F51">
            <v>0</v>
          </cell>
          <cell r="G51">
            <v>0</v>
          </cell>
          <cell r="H51">
            <v>0</v>
          </cell>
          <cell r="I51">
            <v>0</v>
          </cell>
          <cell r="J51">
            <v>0</v>
          </cell>
          <cell r="K51">
            <v>0</v>
          </cell>
          <cell r="L51">
            <v>0</v>
          </cell>
          <cell r="M51">
            <v>0</v>
          </cell>
          <cell r="N51">
            <v>0</v>
          </cell>
          <cell r="O51">
            <v>0</v>
          </cell>
        </row>
        <row r="52">
          <cell r="B52" t="str">
            <v>Accounting</v>
          </cell>
          <cell r="C52">
            <v>377.3</v>
          </cell>
          <cell r="D52">
            <v>2382.6</v>
          </cell>
          <cell r="E52">
            <v>0</v>
          </cell>
          <cell r="F52">
            <v>1852.4</v>
          </cell>
          <cell r="G52">
            <v>271.60000000000002</v>
          </cell>
          <cell r="H52">
            <v>889.4</v>
          </cell>
          <cell r="I52">
            <v>264</v>
          </cell>
          <cell r="J52">
            <v>253</v>
          </cell>
          <cell r="K52">
            <v>0</v>
          </cell>
          <cell r="L52">
            <v>3905.8</v>
          </cell>
          <cell r="M52">
            <v>6436.05</v>
          </cell>
          <cell r="N52">
            <v>1026</v>
          </cell>
          <cell r="O52">
            <v>17658.150000000001</v>
          </cell>
        </row>
        <row r="53">
          <cell r="B53" t="str">
            <v>Legal</v>
          </cell>
          <cell r="C53">
            <v>0</v>
          </cell>
          <cell r="D53">
            <v>277.39999999999998</v>
          </cell>
          <cell r="E53">
            <v>79.2</v>
          </cell>
          <cell r="F53">
            <v>0</v>
          </cell>
          <cell r="G53">
            <v>2725</v>
          </cell>
          <cell r="H53">
            <v>0</v>
          </cell>
          <cell r="I53">
            <v>1100</v>
          </cell>
          <cell r="J53">
            <v>0</v>
          </cell>
          <cell r="K53">
            <v>1125</v>
          </cell>
          <cell r="L53">
            <v>0</v>
          </cell>
          <cell r="M53">
            <v>0</v>
          </cell>
          <cell r="N53">
            <v>1458.33</v>
          </cell>
          <cell r="O53">
            <v>6764.93</v>
          </cell>
        </row>
        <row r="54">
          <cell r="B54" t="str">
            <v>WUTC Fee</v>
          </cell>
          <cell r="C54">
            <v>0</v>
          </cell>
          <cell r="D54">
            <v>0</v>
          </cell>
          <cell r="E54">
            <v>0</v>
          </cell>
          <cell r="F54">
            <v>0</v>
          </cell>
          <cell r="G54">
            <v>0</v>
          </cell>
          <cell r="H54">
            <v>0</v>
          </cell>
          <cell r="I54">
            <v>0</v>
          </cell>
          <cell r="J54">
            <v>0</v>
          </cell>
          <cell r="K54">
            <v>0</v>
          </cell>
          <cell r="L54">
            <v>16778.560000000001</v>
          </cell>
          <cell r="M54">
            <v>30.65</v>
          </cell>
          <cell r="N54">
            <v>0</v>
          </cell>
          <cell r="O54">
            <v>16809.210000000003</v>
          </cell>
        </row>
        <row r="55">
          <cell r="B55" t="str">
            <v>Franchise</v>
          </cell>
          <cell r="C55">
            <v>761.15</v>
          </cell>
          <cell r="D55">
            <v>588.66</v>
          </cell>
          <cell r="E55">
            <v>485.63</v>
          </cell>
          <cell r="F55">
            <v>716.57</v>
          </cell>
          <cell r="G55">
            <v>665.06</v>
          </cell>
          <cell r="H55">
            <v>624.52</v>
          </cell>
          <cell r="I55">
            <v>668.46</v>
          </cell>
          <cell r="J55">
            <v>736.87</v>
          </cell>
          <cell r="K55">
            <v>640.67999999999995</v>
          </cell>
          <cell r="L55">
            <v>572.41</v>
          </cell>
          <cell r="M55">
            <v>686.89</v>
          </cell>
          <cell r="N55">
            <v>564</v>
          </cell>
          <cell r="O55">
            <v>7710.9000000000005</v>
          </cell>
        </row>
        <row r="56">
          <cell r="B56" t="str">
            <v>Communications</v>
          </cell>
          <cell r="C56">
            <v>1485.08</v>
          </cell>
          <cell r="D56">
            <v>1681.71</v>
          </cell>
          <cell r="E56">
            <v>1611.77</v>
          </cell>
          <cell r="F56">
            <v>1923.83</v>
          </cell>
          <cell r="G56">
            <v>1462.07</v>
          </cell>
          <cell r="H56">
            <v>3733.84</v>
          </cell>
          <cell r="I56">
            <v>1723.96</v>
          </cell>
          <cell r="J56">
            <v>442.29</v>
          </cell>
          <cell r="K56">
            <v>1595.51</v>
          </cell>
          <cell r="L56">
            <v>1087.24</v>
          </cell>
          <cell r="M56">
            <v>1114.52</v>
          </cell>
          <cell r="N56">
            <v>1295.8</v>
          </cell>
          <cell r="O56">
            <v>19157.62</v>
          </cell>
        </row>
        <row r="57">
          <cell r="B57" t="str">
            <v>Utilities</v>
          </cell>
          <cell r="C57">
            <v>3540.79</v>
          </cell>
          <cell r="D57">
            <v>4687.87</v>
          </cell>
          <cell r="E57">
            <v>5805.68</v>
          </cell>
          <cell r="F57">
            <v>6407.79</v>
          </cell>
          <cell r="G57">
            <v>6200.55</v>
          </cell>
          <cell r="H57">
            <v>3914.38</v>
          </cell>
          <cell r="I57">
            <v>5517.2</v>
          </cell>
          <cell r="J57">
            <v>5876.54</v>
          </cell>
          <cell r="K57">
            <v>2912.57</v>
          </cell>
          <cell r="L57">
            <v>4981.25</v>
          </cell>
          <cell r="M57">
            <v>5160.37</v>
          </cell>
          <cell r="N57">
            <v>4818.08</v>
          </cell>
          <cell r="O57">
            <v>59823.070000000007</v>
          </cell>
        </row>
        <row r="58">
          <cell r="B58" t="str">
            <v>Laundry/Uniforms</v>
          </cell>
          <cell r="C58">
            <v>1759.71</v>
          </cell>
          <cell r="D58">
            <v>2344.33</v>
          </cell>
          <cell r="E58">
            <v>2202.5700000000002</v>
          </cell>
          <cell r="F58">
            <v>2348.59</v>
          </cell>
          <cell r="G58">
            <v>2092.77</v>
          </cell>
          <cell r="H58">
            <v>2451.9899999999998</v>
          </cell>
          <cell r="I58">
            <v>2760.65</v>
          </cell>
          <cell r="J58">
            <v>1809.44</v>
          </cell>
          <cell r="K58">
            <v>0</v>
          </cell>
          <cell r="L58">
            <v>872.81</v>
          </cell>
          <cell r="M58">
            <v>540.57000000000005</v>
          </cell>
          <cell r="N58">
            <v>0</v>
          </cell>
          <cell r="O58">
            <v>19183.43</v>
          </cell>
        </row>
        <row r="59">
          <cell r="B59" t="str">
            <v>Miscellaneous</v>
          </cell>
          <cell r="C59">
            <v>0</v>
          </cell>
          <cell r="D59">
            <v>0</v>
          </cell>
          <cell r="E59">
            <v>0</v>
          </cell>
          <cell r="F59">
            <v>0</v>
          </cell>
          <cell r="G59">
            <v>0</v>
          </cell>
          <cell r="H59">
            <v>0</v>
          </cell>
          <cell r="I59">
            <v>0</v>
          </cell>
          <cell r="J59">
            <v>0</v>
          </cell>
          <cell r="K59">
            <v>0</v>
          </cell>
          <cell r="L59">
            <v>0</v>
          </cell>
          <cell r="M59">
            <v>0</v>
          </cell>
          <cell r="N59">
            <v>0</v>
          </cell>
          <cell r="O59">
            <v>0</v>
          </cell>
        </row>
        <row r="60">
          <cell r="B60" t="str">
            <v>Dues and Subscriptions</v>
          </cell>
          <cell r="C60">
            <v>1300</v>
          </cell>
          <cell r="D60">
            <v>1300</v>
          </cell>
          <cell r="E60">
            <v>1300</v>
          </cell>
          <cell r="F60">
            <v>1727.23</v>
          </cell>
          <cell r="G60">
            <v>1726.48</v>
          </cell>
          <cell r="H60">
            <v>1446.29</v>
          </cell>
          <cell r="I60">
            <v>1300</v>
          </cell>
          <cell r="J60">
            <v>1300</v>
          </cell>
          <cell r="K60">
            <v>1300</v>
          </cell>
          <cell r="L60">
            <v>1300</v>
          </cell>
          <cell r="M60">
            <v>1300</v>
          </cell>
          <cell r="N60">
            <v>1300</v>
          </cell>
          <cell r="O60">
            <v>16600</v>
          </cell>
        </row>
        <row r="61">
          <cell r="B61" t="str">
            <v>Dues Non-deductible</v>
          </cell>
          <cell r="C61">
            <v>0</v>
          </cell>
          <cell r="D61">
            <v>0</v>
          </cell>
          <cell r="E61">
            <v>1100</v>
          </cell>
          <cell r="F61">
            <v>0</v>
          </cell>
          <cell r="G61">
            <v>600</v>
          </cell>
          <cell r="H61">
            <v>172.16</v>
          </cell>
          <cell r="I61">
            <v>441.62</v>
          </cell>
          <cell r="J61">
            <v>0</v>
          </cell>
          <cell r="K61">
            <v>0</v>
          </cell>
          <cell r="L61">
            <v>428.63</v>
          </cell>
          <cell r="M61">
            <v>441.38</v>
          </cell>
          <cell r="N61">
            <v>498.28</v>
          </cell>
          <cell r="O61">
            <v>3682.0700000000006</v>
          </cell>
        </row>
        <row r="62">
          <cell r="B62" t="str">
            <v>Travel</v>
          </cell>
          <cell r="C62">
            <v>0</v>
          </cell>
          <cell r="D62">
            <v>0</v>
          </cell>
          <cell r="E62">
            <v>0</v>
          </cell>
          <cell r="F62">
            <v>0</v>
          </cell>
          <cell r="G62">
            <v>0</v>
          </cell>
          <cell r="H62">
            <v>0</v>
          </cell>
          <cell r="I62">
            <v>717.44</v>
          </cell>
          <cell r="J62">
            <v>0</v>
          </cell>
          <cell r="K62">
            <v>0</v>
          </cell>
          <cell r="L62">
            <v>0</v>
          </cell>
          <cell r="M62">
            <v>0</v>
          </cell>
          <cell r="N62">
            <v>0</v>
          </cell>
          <cell r="O62">
            <v>717.44</v>
          </cell>
        </row>
        <row r="63">
          <cell r="B63" t="str">
            <v>Seminars</v>
          </cell>
          <cell r="C63">
            <v>0</v>
          </cell>
          <cell r="D63">
            <v>0</v>
          </cell>
          <cell r="E63">
            <v>0</v>
          </cell>
          <cell r="F63">
            <v>1315</v>
          </cell>
          <cell r="G63">
            <v>1325</v>
          </cell>
          <cell r="H63">
            <v>0</v>
          </cell>
          <cell r="I63">
            <v>0</v>
          </cell>
          <cell r="J63">
            <v>0</v>
          </cell>
          <cell r="K63">
            <v>0</v>
          </cell>
          <cell r="L63">
            <v>0</v>
          </cell>
          <cell r="M63">
            <v>750</v>
          </cell>
          <cell r="N63">
            <v>2580</v>
          </cell>
          <cell r="O63">
            <v>5970</v>
          </cell>
        </row>
        <row r="64">
          <cell r="B64" t="str">
            <v>Meals and Entertainment</v>
          </cell>
          <cell r="C64">
            <v>0</v>
          </cell>
          <cell r="D64">
            <v>0</v>
          </cell>
          <cell r="E64">
            <v>28.48</v>
          </cell>
          <cell r="F64">
            <v>0</v>
          </cell>
          <cell r="G64">
            <v>0</v>
          </cell>
          <cell r="H64">
            <v>0</v>
          </cell>
          <cell r="I64">
            <v>120</v>
          </cell>
          <cell r="J64">
            <v>0</v>
          </cell>
          <cell r="K64">
            <v>0</v>
          </cell>
          <cell r="L64">
            <v>0</v>
          </cell>
          <cell r="M64">
            <v>0</v>
          </cell>
          <cell r="N64">
            <v>0</v>
          </cell>
          <cell r="O64">
            <v>148.47999999999999</v>
          </cell>
        </row>
        <row r="65">
          <cell r="B65" t="str">
            <v>Advertising</v>
          </cell>
          <cell r="C65">
            <v>118.55</v>
          </cell>
          <cell r="D65">
            <v>212.95</v>
          </cell>
          <cell r="E65">
            <v>118.55</v>
          </cell>
          <cell r="F65">
            <v>118.55</v>
          </cell>
          <cell r="G65">
            <v>118.55</v>
          </cell>
          <cell r="H65">
            <v>158.43</v>
          </cell>
          <cell r="I65">
            <v>245.39</v>
          </cell>
          <cell r="J65">
            <v>118.55</v>
          </cell>
          <cell r="K65">
            <v>118.55</v>
          </cell>
          <cell r="L65">
            <v>118.55</v>
          </cell>
          <cell r="M65">
            <v>410.83</v>
          </cell>
          <cell r="N65">
            <v>124.7</v>
          </cell>
          <cell r="O65">
            <v>1982.1499999999996</v>
          </cell>
        </row>
        <row r="66">
          <cell r="B66" t="str">
            <v>Truck License</v>
          </cell>
          <cell r="C66">
            <v>92.75</v>
          </cell>
          <cell r="D66">
            <v>0</v>
          </cell>
          <cell r="E66">
            <v>1548</v>
          </cell>
          <cell r="F66">
            <v>735</v>
          </cell>
          <cell r="G66">
            <v>1599</v>
          </cell>
          <cell r="H66">
            <v>0</v>
          </cell>
          <cell r="I66">
            <v>798</v>
          </cell>
          <cell r="J66">
            <v>126</v>
          </cell>
          <cell r="K66">
            <v>1416</v>
          </cell>
          <cell r="L66">
            <v>718</v>
          </cell>
          <cell r="M66">
            <v>0</v>
          </cell>
          <cell r="N66">
            <v>80.75</v>
          </cell>
          <cell r="O66">
            <v>7113.5</v>
          </cell>
        </row>
        <row r="67">
          <cell r="B67" t="str">
            <v>Taxes and licensing</v>
          </cell>
          <cell r="C67">
            <v>0</v>
          </cell>
          <cell r="D67">
            <v>0</v>
          </cell>
          <cell r="E67">
            <v>0</v>
          </cell>
          <cell r="F67">
            <v>0</v>
          </cell>
          <cell r="G67">
            <v>0</v>
          </cell>
          <cell r="H67">
            <v>0</v>
          </cell>
          <cell r="I67">
            <v>0</v>
          </cell>
          <cell r="J67">
            <v>0</v>
          </cell>
          <cell r="K67">
            <v>0</v>
          </cell>
          <cell r="L67">
            <v>0</v>
          </cell>
          <cell r="M67">
            <v>0</v>
          </cell>
          <cell r="N67">
            <v>0</v>
          </cell>
          <cell r="O67">
            <v>0</v>
          </cell>
        </row>
        <row r="68">
          <cell r="B68" t="str">
            <v>Permits</v>
          </cell>
          <cell r="C68">
            <v>45</v>
          </cell>
          <cell r="D68">
            <v>69</v>
          </cell>
          <cell r="E68">
            <v>0</v>
          </cell>
          <cell r="F68">
            <v>0</v>
          </cell>
          <cell r="G68">
            <v>0</v>
          </cell>
          <cell r="H68">
            <v>113.92</v>
          </cell>
          <cell r="I68">
            <v>0</v>
          </cell>
          <cell r="J68">
            <v>0</v>
          </cell>
          <cell r="K68">
            <v>0</v>
          </cell>
          <cell r="L68">
            <v>0</v>
          </cell>
          <cell r="M68">
            <v>48</v>
          </cell>
          <cell r="N68">
            <v>0</v>
          </cell>
          <cell r="O68">
            <v>275.92</v>
          </cell>
        </row>
        <row r="69">
          <cell r="B69" t="str">
            <v>Contributions</v>
          </cell>
          <cell r="C69">
            <v>0</v>
          </cell>
          <cell r="D69">
            <v>0</v>
          </cell>
          <cell r="E69">
            <v>0</v>
          </cell>
          <cell r="F69">
            <v>0</v>
          </cell>
          <cell r="G69">
            <v>0</v>
          </cell>
          <cell r="H69">
            <v>0</v>
          </cell>
          <cell r="I69">
            <v>0</v>
          </cell>
          <cell r="J69">
            <v>100</v>
          </cell>
          <cell r="K69">
            <v>0</v>
          </cell>
          <cell r="L69">
            <v>750</v>
          </cell>
          <cell r="M69">
            <v>0</v>
          </cell>
          <cell r="N69">
            <v>300</v>
          </cell>
          <cell r="O69">
            <v>1150</v>
          </cell>
        </row>
        <row r="70">
          <cell r="B70" t="str">
            <v>B &amp; O Tax</v>
          </cell>
          <cell r="C70">
            <v>4485.3100000000004</v>
          </cell>
          <cell r="D70">
            <v>4316.3200000000006</v>
          </cell>
          <cell r="E70">
            <v>4219.34</v>
          </cell>
          <cell r="F70">
            <v>4511.91</v>
          </cell>
          <cell r="G70">
            <v>4344.54</v>
          </cell>
          <cell r="H70">
            <v>9459.91</v>
          </cell>
          <cell r="I70">
            <v>4372.21</v>
          </cell>
          <cell r="J70">
            <v>5016.0600000000004</v>
          </cell>
          <cell r="K70">
            <v>4073.7200000000003</v>
          </cell>
          <cell r="L70">
            <v>7179.7800000000007</v>
          </cell>
          <cell r="M70">
            <v>12349.94</v>
          </cell>
          <cell r="N70">
            <v>6934.43</v>
          </cell>
          <cell r="O70">
            <v>71263.47</v>
          </cell>
        </row>
        <row r="71">
          <cell r="B71" t="str">
            <v>Land Rent</v>
          </cell>
          <cell r="C71">
            <v>11500</v>
          </cell>
          <cell r="D71">
            <v>11500</v>
          </cell>
          <cell r="E71">
            <v>11500</v>
          </cell>
          <cell r="F71">
            <v>11500</v>
          </cell>
          <cell r="G71">
            <v>11500</v>
          </cell>
          <cell r="H71">
            <v>11500</v>
          </cell>
          <cell r="I71">
            <v>11500</v>
          </cell>
          <cell r="J71">
            <v>11500</v>
          </cell>
          <cell r="K71">
            <v>11500</v>
          </cell>
          <cell r="L71">
            <v>11500</v>
          </cell>
          <cell r="M71">
            <v>11500</v>
          </cell>
          <cell r="N71">
            <v>11500</v>
          </cell>
          <cell r="O71">
            <v>138000</v>
          </cell>
        </row>
        <row r="72">
          <cell r="B72" t="str">
            <v>Computer Expense</v>
          </cell>
          <cell r="C72">
            <v>0</v>
          </cell>
          <cell r="D72">
            <v>698.39</v>
          </cell>
          <cell r="E72">
            <v>0</v>
          </cell>
          <cell r="F72">
            <v>1298.3900000000001</v>
          </cell>
          <cell r="G72">
            <v>0</v>
          </cell>
          <cell r="H72">
            <v>1198.3900000000001</v>
          </cell>
          <cell r="I72">
            <v>232.8</v>
          </cell>
          <cell r="J72">
            <v>0</v>
          </cell>
          <cell r="K72">
            <v>698.39</v>
          </cell>
          <cell r="L72">
            <v>590</v>
          </cell>
          <cell r="M72">
            <v>232.8</v>
          </cell>
          <cell r="N72">
            <v>232.95</v>
          </cell>
          <cell r="O72">
            <v>5182.1100000000006</v>
          </cell>
        </row>
        <row r="73">
          <cell r="B73" t="str">
            <v>Workmen’s Comp</v>
          </cell>
          <cell r="C73">
            <v>0</v>
          </cell>
          <cell r="D73">
            <v>566.74</v>
          </cell>
          <cell r="E73">
            <v>10778.8</v>
          </cell>
          <cell r="F73">
            <v>0</v>
          </cell>
          <cell r="G73">
            <v>592.83000000000004</v>
          </cell>
          <cell r="H73">
            <v>9930.74</v>
          </cell>
          <cell r="I73">
            <v>0</v>
          </cell>
          <cell r="J73">
            <v>546.19000000000005</v>
          </cell>
          <cell r="K73">
            <v>10546.72</v>
          </cell>
          <cell r="L73">
            <v>580.07000000000005</v>
          </cell>
          <cell r="M73">
            <v>0</v>
          </cell>
          <cell r="N73">
            <v>2439.7600000000002</v>
          </cell>
          <cell r="O73">
            <v>35981.85</v>
          </cell>
        </row>
        <row r="74">
          <cell r="B74" t="str">
            <v>Payroll Taxes</v>
          </cell>
          <cell r="C74">
            <v>4840.6099999999997</v>
          </cell>
          <cell r="D74">
            <v>4829.1499999999996</v>
          </cell>
          <cell r="E74">
            <v>6169.2699999999995</v>
          </cell>
          <cell r="F74">
            <v>4390.2299999999996</v>
          </cell>
          <cell r="G74">
            <v>4742.8900000000003</v>
          </cell>
          <cell r="H74">
            <v>6197.079999999999</v>
          </cell>
          <cell r="I74">
            <v>5185.53</v>
          </cell>
          <cell r="J74">
            <v>4505.6099999999997</v>
          </cell>
          <cell r="K74">
            <v>8214.2199999999993</v>
          </cell>
          <cell r="L74">
            <v>5069.12</v>
          </cell>
          <cell r="M74">
            <v>5299.01</v>
          </cell>
          <cell r="N74">
            <v>7884.2300000000005</v>
          </cell>
          <cell r="O74">
            <v>67326.95</v>
          </cell>
        </row>
        <row r="75">
          <cell r="B75" t="str">
            <v>Employee Relations</v>
          </cell>
          <cell r="C75">
            <v>1255.4100000000001</v>
          </cell>
          <cell r="D75">
            <v>1846.92</v>
          </cell>
          <cell r="E75">
            <v>1509.96</v>
          </cell>
          <cell r="F75">
            <v>3349.65</v>
          </cell>
          <cell r="G75">
            <v>3552.83</v>
          </cell>
          <cell r="H75">
            <v>4626.29</v>
          </cell>
          <cell r="I75">
            <v>1299.8</v>
          </cell>
          <cell r="J75">
            <v>1088</v>
          </cell>
          <cell r="K75">
            <v>1381.25</v>
          </cell>
          <cell r="L75">
            <v>1075</v>
          </cell>
          <cell r="M75">
            <v>1562.01</v>
          </cell>
          <cell r="N75">
            <v>1392.5</v>
          </cell>
          <cell r="O75">
            <v>23939.62</v>
          </cell>
        </row>
        <row r="76">
          <cell r="B76" t="str">
            <v>Life Insurance</v>
          </cell>
          <cell r="C76">
            <v>0</v>
          </cell>
          <cell r="D76">
            <v>0</v>
          </cell>
          <cell r="E76">
            <v>0</v>
          </cell>
          <cell r="F76">
            <v>0</v>
          </cell>
          <cell r="G76">
            <v>0</v>
          </cell>
          <cell r="H76">
            <v>0</v>
          </cell>
          <cell r="I76">
            <v>73.099999999999994</v>
          </cell>
          <cell r="J76">
            <v>73.099999999999994</v>
          </cell>
          <cell r="K76">
            <v>0</v>
          </cell>
          <cell r="L76">
            <v>167.7</v>
          </cell>
          <cell r="M76">
            <v>55.9</v>
          </cell>
          <cell r="N76">
            <v>77.400000000000006</v>
          </cell>
          <cell r="O76">
            <v>447.19999999999993</v>
          </cell>
        </row>
        <row r="77">
          <cell r="B77" t="str">
            <v>Counseling Services</v>
          </cell>
          <cell r="C77">
            <v>154.38</v>
          </cell>
          <cell r="D77">
            <v>154.38</v>
          </cell>
          <cell r="E77">
            <v>154.38</v>
          </cell>
          <cell r="F77">
            <v>154.38</v>
          </cell>
          <cell r="G77">
            <v>154.38</v>
          </cell>
          <cell r="H77">
            <v>154.38</v>
          </cell>
          <cell r="I77">
            <v>154.38</v>
          </cell>
          <cell r="J77">
            <v>154.38</v>
          </cell>
          <cell r="K77">
            <v>154.38</v>
          </cell>
          <cell r="L77">
            <v>154.38</v>
          </cell>
          <cell r="M77">
            <v>154.38</v>
          </cell>
          <cell r="N77">
            <v>154.38</v>
          </cell>
          <cell r="O77">
            <v>1852.5600000000004</v>
          </cell>
        </row>
        <row r="78">
          <cell r="B78" t="str">
            <v>Employee Medical Insurance</v>
          </cell>
          <cell r="C78">
            <v>8800.4399999999987</v>
          </cell>
          <cell r="D78">
            <v>7888.28</v>
          </cell>
          <cell r="E78">
            <v>7891.97</v>
          </cell>
          <cell r="F78">
            <v>8035.21</v>
          </cell>
          <cell r="G78">
            <v>8035.21</v>
          </cell>
          <cell r="H78">
            <v>318</v>
          </cell>
          <cell r="I78">
            <v>16953.82</v>
          </cell>
          <cell r="J78">
            <v>9964.0600000000013</v>
          </cell>
          <cell r="K78">
            <v>10237.189999999999</v>
          </cell>
          <cell r="L78">
            <v>8322.56</v>
          </cell>
          <cell r="M78">
            <v>13934.380000000001</v>
          </cell>
          <cell r="N78">
            <v>8637.33</v>
          </cell>
          <cell r="O78">
            <v>109018.45000000001</v>
          </cell>
        </row>
        <row r="79">
          <cell r="B79" t="str">
            <v>Property Taxes</v>
          </cell>
          <cell r="C79">
            <v>0</v>
          </cell>
          <cell r="D79">
            <v>0</v>
          </cell>
          <cell r="E79">
            <v>0</v>
          </cell>
          <cell r="F79">
            <v>6400.86</v>
          </cell>
          <cell r="G79">
            <v>0</v>
          </cell>
          <cell r="H79">
            <v>0</v>
          </cell>
          <cell r="I79">
            <v>0</v>
          </cell>
          <cell r="J79">
            <v>0</v>
          </cell>
          <cell r="K79">
            <v>0</v>
          </cell>
          <cell r="L79">
            <v>5728.36</v>
          </cell>
          <cell r="M79">
            <v>0</v>
          </cell>
          <cell r="N79">
            <v>0</v>
          </cell>
          <cell r="O79">
            <v>12129.22</v>
          </cell>
        </row>
        <row r="80">
          <cell r="B80" t="str">
            <v>Drug Testing</v>
          </cell>
          <cell r="C80">
            <v>165.5</v>
          </cell>
          <cell r="D80">
            <v>38.5</v>
          </cell>
          <cell r="E80">
            <v>55</v>
          </cell>
          <cell r="F80">
            <v>341</v>
          </cell>
          <cell r="G80">
            <v>20</v>
          </cell>
          <cell r="H80">
            <v>180</v>
          </cell>
          <cell r="I80">
            <v>106.5</v>
          </cell>
          <cell r="J80">
            <v>20</v>
          </cell>
          <cell r="K80">
            <v>0</v>
          </cell>
          <cell r="L80">
            <v>64</v>
          </cell>
          <cell r="M80">
            <v>93.5</v>
          </cell>
          <cell r="N80">
            <v>231.5</v>
          </cell>
          <cell r="O80">
            <v>1315.5</v>
          </cell>
        </row>
        <row r="81">
          <cell r="B81" t="str">
            <v>SEP Benefits</v>
          </cell>
          <cell r="C81">
            <v>3529.52</v>
          </cell>
          <cell r="D81">
            <v>3668.15</v>
          </cell>
          <cell r="E81">
            <v>3758.64</v>
          </cell>
          <cell r="F81">
            <v>3570.71</v>
          </cell>
          <cell r="G81">
            <v>3779.68</v>
          </cell>
          <cell r="H81">
            <v>4339.07</v>
          </cell>
          <cell r="I81">
            <v>4392.53</v>
          </cell>
          <cell r="J81">
            <v>3404.41</v>
          </cell>
          <cell r="K81">
            <v>3760.32</v>
          </cell>
          <cell r="L81">
            <v>3785.55</v>
          </cell>
          <cell r="M81">
            <v>3928.97</v>
          </cell>
          <cell r="N81">
            <v>3469.85</v>
          </cell>
          <cell r="O81">
            <v>45387.4</v>
          </cell>
        </row>
        <row r="82">
          <cell r="B82" t="str">
            <v>Interest</v>
          </cell>
          <cell r="C82">
            <v>3616.12</v>
          </cell>
          <cell r="D82">
            <v>3552.65</v>
          </cell>
          <cell r="E82">
            <v>3488.85</v>
          </cell>
          <cell r="F82">
            <v>3424.74</v>
          </cell>
          <cell r="G82">
            <v>3600.3</v>
          </cell>
          <cell r="H82">
            <v>14536.76</v>
          </cell>
          <cell r="I82">
            <v>3230.46</v>
          </cell>
          <cell r="J82">
            <v>3165.05</v>
          </cell>
          <cell r="K82">
            <v>3099.31</v>
          </cell>
          <cell r="L82">
            <v>3033.25</v>
          </cell>
          <cell r="M82">
            <v>2966.85</v>
          </cell>
          <cell r="N82">
            <v>2900.14</v>
          </cell>
          <cell r="O82">
            <v>50614.479999999996</v>
          </cell>
        </row>
        <row r="83">
          <cell r="B83" t="str">
            <v>Freight</v>
          </cell>
          <cell r="C83">
            <v>0</v>
          </cell>
          <cell r="D83">
            <v>0</v>
          </cell>
          <cell r="E83">
            <v>0</v>
          </cell>
          <cell r="F83">
            <v>0</v>
          </cell>
          <cell r="G83">
            <v>288.3</v>
          </cell>
          <cell r="H83">
            <v>176.07</v>
          </cell>
          <cell r="I83">
            <v>0</v>
          </cell>
          <cell r="J83">
            <v>41.14</v>
          </cell>
          <cell r="K83">
            <v>0</v>
          </cell>
          <cell r="L83">
            <v>0</v>
          </cell>
          <cell r="M83">
            <v>0</v>
          </cell>
          <cell r="N83">
            <v>0</v>
          </cell>
          <cell r="O83">
            <v>505.51</v>
          </cell>
        </row>
        <row r="84">
          <cell r="B84" t="str">
            <v>Consulting</v>
          </cell>
          <cell r="C84">
            <v>0</v>
          </cell>
          <cell r="D84">
            <v>4164</v>
          </cell>
          <cell r="E84">
            <v>0</v>
          </cell>
          <cell r="F84">
            <v>2138.5</v>
          </cell>
          <cell r="G84">
            <v>2401</v>
          </cell>
          <cell r="H84">
            <v>3838.5</v>
          </cell>
          <cell r="I84">
            <v>1076</v>
          </cell>
          <cell r="J84">
            <v>2463.5</v>
          </cell>
          <cell r="K84">
            <v>2163.5</v>
          </cell>
          <cell r="L84">
            <v>2176</v>
          </cell>
          <cell r="M84">
            <v>1819.75</v>
          </cell>
          <cell r="N84">
            <v>1732.25</v>
          </cell>
          <cell r="O84">
            <v>23973</v>
          </cell>
        </row>
        <row r="85">
          <cell r="B85" t="str">
            <v>Safety Equipment Expense</v>
          </cell>
          <cell r="C85">
            <v>728.2</v>
          </cell>
          <cell r="D85">
            <v>1079.05</v>
          </cell>
          <cell r="E85">
            <v>83.08</v>
          </cell>
          <cell r="F85">
            <v>2228.91</v>
          </cell>
          <cell r="G85">
            <v>304.52999999999997</v>
          </cell>
          <cell r="H85">
            <v>1061</v>
          </cell>
          <cell r="I85">
            <v>264.56</v>
          </cell>
          <cell r="J85">
            <v>-241.69</v>
          </cell>
          <cell r="K85">
            <v>716.53</v>
          </cell>
          <cell r="L85">
            <v>105.85</v>
          </cell>
          <cell r="M85">
            <v>1225.6300000000001</v>
          </cell>
          <cell r="N85">
            <v>386.26</v>
          </cell>
          <cell r="O85">
            <v>7941.9100000000008</v>
          </cell>
        </row>
        <row r="86">
          <cell r="B86" t="str">
            <v>Depreciation</v>
          </cell>
          <cell r="C86">
            <v>19219.580000000002</v>
          </cell>
          <cell r="D86">
            <v>19219.580000000002</v>
          </cell>
          <cell r="E86">
            <v>19219.580000000002</v>
          </cell>
          <cell r="F86">
            <v>19219.670000000002</v>
          </cell>
          <cell r="G86">
            <v>19219.580000000002</v>
          </cell>
          <cell r="H86">
            <v>19558.099999999999</v>
          </cell>
          <cell r="I86">
            <v>19247.79</v>
          </cell>
          <cell r="J86">
            <v>19247.79</v>
          </cell>
          <cell r="K86">
            <v>19247.79</v>
          </cell>
          <cell r="L86">
            <v>22142.720000000001</v>
          </cell>
          <cell r="M86">
            <v>22142.720000000001</v>
          </cell>
          <cell r="N86">
            <v>30827.510000000002</v>
          </cell>
          <cell r="O86">
            <v>248512.41000000003</v>
          </cell>
        </row>
      </sheetData>
      <sheetData sheetId="18"/>
      <sheetData sheetId="19"/>
      <sheetData sheetId="20"/>
      <sheetData sheetId="21"/>
      <sheetData sheetId="22">
        <row r="30">
          <cell r="J30">
            <v>2646.7177352709273</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row r="39">
          <cell r="J39">
            <v>0.96812272987956427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me"/>
      <sheetName val="Amortization Table"/>
      <sheetName val="Amortization Table (2)"/>
    </sheetNames>
    <sheetDataSet>
      <sheetData sheetId="0"/>
      <sheetData sheetId="1">
        <row r="18">
          <cell r="F18">
            <v>127794.2761418313</v>
          </cell>
        </row>
      </sheetData>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24 Month Condensed Ops P&amp;L"/>
      <sheetName val="Report Template"/>
    </sheetNames>
    <sheetDataSet>
      <sheetData sheetId="0"/>
      <sheetData sheetId="1"/>
      <sheetData sheetId="2">
        <row r="2002">
          <cell r="B2002">
            <v>2006</v>
          </cell>
        </row>
        <row r="2003">
          <cell r="B2003">
            <v>2007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320"/>
      <sheetName val="#REF"/>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800-10899"/>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l Priceout"/>
      <sheetName val="Com'l Priceout"/>
      <sheetName val="Roll Off Priceout"/>
      <sheetName val="Roll Off Productivity"/>
      <sheetName val="TB -LOB"/>
      <sheetName val="Comm'l TB-120"/>
      <sheetName val="Com'l Rec. TB-160"/>
      <sheetName val="Resi TB-190"/>
      <sheetName val="230 &amp; 220"/>
      <sheetName val="YW TB-220"/>
      <sheetName val="RO TB-260"/>
      <sheetName val="Industrial LOB"/>
      <sheetName val="TS TB-300"/>
      <sheetName val="POL TB-750"/>
      <sheetName val="Revenue Reconciliation"/>
      <sheetName val="Billed Revenue Summary"/>
      <sheetName val="Disposal Summary"/>
      <sheetName val="Payroll Register"/>
      <sheetName val="Balance Sheet"/>
      <sheetName val="Monthly IS"/>
      <sheetName val="DEPN"/>
      <sheetName val="Fixed Asset Summary"/>
      <sheetName val="Fixed Asset Detail"/>
      <sheetName val="Fuel"/>
      <sheetName val="WTB"/>
      <sheetName val="OH Analysis (2008)"/>
      <sheetName val="Corp. Office OH 2008"/>
      <sheetName val="OH Analysis"/>
      <sheetName val="Corp. Office OH"/>
      <sheetName val="2008 Group Office TB"/>
      <sheetName val="MA Office OH"/>
      <sheetName val="MA Stats"/>
      <sheetName val="2008 Group Office IS"/>
      <sheetName val="2008 West Group IS"/>
      <sheetName val="Legal"/>
      <sheetName val="Lurito 25 bpi"/>
      <sheetName val="Lurito 25 bpi (Rolloff)"/>
      <sheetName val="70000"/>
      <sheetName val="502500"/>
      <sheetName val="509000"/>
      <sheetName val="509500"/>
      <sheetName val="570800"/>
      <sheetName val="518000"/>
      <sheetName val="568100"/>
      <sheetName val="6780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8">
          <cell r="AD8" t="str">
            <v>#N/A</v>
          </cell>
        </row>
      </sheetData>
      <sheetData sheetId="19"/>
      <sheetData sheetId="20"/>
      <sheetData sheetId="21"/>
      <sheetData sheetId="22"/>
      <sheetData sheetId="23"/>
      <sheetData sheetId="24">
        <row r="4">
          <cell r="DE4" t="str">
            <v>01815</v>
          </cell>
        </row>
        <row r="5">
          <cell r="DC5" t="str">
            <v>12</v>
          </cell>
          <cell r="DD5" t="str">
            <v>WM of Ellensburg</v>
          </cell>
          <cell r="DE5" t="str">
            <v>01815</v>
          </cell>
        </row>
        <row r="8">
          <cell r="DC8">
            <v>12</v>
          </cell>
        </row>
      </sheetData>
      <sheetData sheetId="25"/>
      <sheetData sheetId="26"/>
      <sheetData sheetId="27"/>
      <sheetData sheetId="28"/>
      <sheetData sheetId="29"/>
      <sheetData sheetId="30"/>
      <sheetData sheetId="31"/>
      <sheetData sheetId="32">
        <row r="4">
          <cell r="AK4" t="str">
            <v>01500</v>
          </cell>
        </row>
        <row r="5">
          <cell r="AI5" t="str">
            <v>12</v>
          </cell>
          <cell r="AJ5" t="str">
            <v>Western Area Office</v>
          </cell>
          <cell r="AK5" t="str">
            <v>01500</v>
          </cell>
        </row>
        <row r="8">
          <cell r="AH8">
            <v>0</v>
          </cell>
        </row>
        <row r="9">
          <cell r="AM9" t="str">
            <v>USD</v>
          </cell>
        </row>
      </sheetData>
      <sheetData sheetId="33">
        <row r="4">
          <cell r="AK4" t="str">
            <v>G00006</v>
          </cell>
        </row>
        <row r="5">
          <cell r="AI5" t="str">
            <v>12</v>
          </cell>
          <cell r="AJ5" t="str">
            <v>Error</v>
          </cell>
          <cell r="AK5" t="str">
            <v>Western</v>
          </cell>
        </row>
        <row r="8">
          <cell r="AH8">
            <v>0</v>
          </cell>
        </row>
        <row r="9">
          <cell r="AM9" t="str">
            <v>USD</v>
          </cell>
        </row>
      </sheetData>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WMofWA)"/>
      <sheetName val="Balance Sheet (WMofWA)"/>
      <sheetName val="Rev. Sum. - Confidential"/>
      <sheetName val="WTB-Confidential"/>
      <sheetName val="Priceout"/>
      <sheetName val="Monthly IS (SnoKing)"/>
      <sheetName val="Total Lurito"/>
      <sheetName val="Lurito - Garbage"/>
      <sheetName val="Lurito - Recycling"/>
      <sheetName val="Lurito - YW"/>
      <sheetName val="Lurito-Garbage"/>
      <sheetName val="Lurito-Recycling"/>
      <sheetName val="Lurito-YW"/>
      <sheetName val="PC 230"/>
      <sheetName val="PC 220"/>
      <sheetName val="PC 160 - Confidential"/>
      <sheetName val="PC 260-Confidential"/>
      <sheetName val="WUTC Customer Counts"/>
      <sheetName val="Processing Fees"/>
      <sheetName val="YW Processing Fees"/>
      <sheetName val="PR Register-Confidential"/>
      <sheetName val="PR Detail -confidential"/>
      <sheetName val="Wage scale-CONFIDENTIAL"/>
      <sheetName val="Fuel"/>
      <sheetName val="Balance Sheet (SnoKing)"/>
      <sheetName val="DEPN"/>
      <sheetName val="DEPN Summary"/>
      <sheetName val="Fixed Asset Summary"/>
      <sheetName val="Fixed Asset Detail"/>
      <sheetName val="Facility Costs"/>
      <sheetName val="Legal Fees"/>
      <sheetName val="MA Office OH"/>
      <sheetName val="MA Stats"/>
      <sheetName val="OH Analysis"/>
      <sheetName val="Corp. Office OH"/>
      <sheetName val="2008 West Group IS"/>
      <sheetName val="2008 Group Office TB"/>
      <sheetName val="2008 Group Office IS"/>
      <sheetName val="500500"/>
      <sheetName val="AP-500500"/>
      <sheetName val="500800"/>
      <sheetName val="509000"/>
      <sheetName val="AP-509500"/>
      <sheetName val="509500"/>
      <sheetName val="531200"/>
      <sheetName val="Income Statement (2)"/>
      <sheetName val="Lurito"/>
      <sheetName val="Fixed Assets"/>
      <sheetName val="unprocessed SS"/>
      <sheetName val="Tonnage"/>
      <sheetName val="Outbound Tons"/>
      <sheetName val="Inbound Tons"/>
      <sheetName val="Labor"/>
      <sheetName val="CDL Pricing"/>
      <sheetName val="CRC Commodity Prices"/>
      <sheetName val="Commodity Mix"/>
      <sheetName val="502500"/>
      <sheetName val="Summary"/>
      <sheetName val="Com'l FL"/>
      <sheetName val="Res'l RL"/>
      <sheetName val="Roll Off"/>
      <sheetName val="Res'l YW"/>
      <sheetName val="Res'l Rec."/>
      <sheetName val="Com'l Rec."/>
      <sheetName val="Summary (2)"/>
      <sheetName val="Customer Counts"/>
      <sheetName val="Com'l FL-2009"/>
      <sheetName val="Res'l RL (2)"/>
      <sheetName val="Res'l YW (2)"/>
      <sheetName val="Res'l Rec. (2)"/>
      <sheetName val="Roll Off (2)"/>
      <sheetName val="Haul Summary"/>
      <sheetName val="Com'l Rec. (2)"/>
      <sheetName val="Hauls Onl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x"/>
      <sheetName val="F-1"/>
      <sheetName val="F-2"/>
      <sheetName val="F-3"/>
      <sheetName val="F-4"/>
      <sheetName val="F-5"/>
      <sheetName val="F-6"/>
      <sheetName val="F-7"/>
      <sheetName val="F-8"/>
      <sheetName val="F-9"/>
      <sheetName val="F-10"/>
      <sheetName val="F-11"/>
      <sheetName val="F-12"/>
      <sheetName val="F-13"/>
      <sheetName val="F-14"/>
      <sheetName val="F-15"/>
      <sheetName val="F-16"/>
      <sheetName val="F-17"/>
      <sheetName val="F-18"/>
      <sheetName val="F-19"/>
      <sheetName val="O-1"/>
      <sheetName val="O-2"/>
      <sheetName val="O-3"/>
      <sheetName val="O-4"/>
      <sheetName val="O-5"/>
      <sheetName val="O-6"/>
      <sheetName val="O-7"/>
      <sheetName val="O-8"/>
      <sheetName val="O-9"/>
      <sheetName val="O-10"/>
      <sheetName val="O-12"/>
      <sheetName val="O-13"/>
      <sheetName val="O-14"/>
      <sheetName val="O-15"/>
      <sheetName val="O-16"/>
      <sheetName val="O-17"/>
      <sheetName val="O-18"/>
      <sheetName val="O-19"/>
      <sheetName val="O-20"/>
      <sheetName val="O-21"/>
      <sheetName val="O-22"/>
      <sheetName val="O-23"/>
      <sheetName val="O-24"/>
      <sheetName val="O-25"/>
      <sheetName val="O-26"/>
      <sheetName val="R-1"/>
      <sheetName val="R-2"/>
      <sheetName val="R-3"/>
      <sheetName val="R-4"/>
      <sheetName val="R-5"/>
      <sheetName val="R-6"/>
      <sheetName val="R-7"/>
      <sheetName val="R-8"/>
      <sheetName val="R-9"/>
      <sheetName val="I-1"/>
      <sheetName val="I-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Co (Type of Service)"/>
      <sheetName val="Proforma (Total Co)"/>
      <sheetName val="Restating Adj"/>
      <sheetName val="Restating Adj Details"/>
      <sheetName val="Proforma Adj"/>
      <sheetName val="Proforma Adj Details"/>
      <sheetName val=" Lurito (Total Co)"/>
      <sheetName val=" Lurito (Total Garbage w DB)"/>
      <sheetName val=" Lurito (Total Garbage wo DB)"/>
      <sheetName val="Proforma (DropBox)"/>
      <sheetName val="Lurito (DropBox)"/>
      <sheetName val="Exp Matrix (DropBox)"/>
      <sheetName val="COS DB"/>
      <sheetName val="Proforma (Yard Waste)"/>
      <sheetName val="Lurito (Yard Waste)"/>
      <sheetName val="Exp-Matrix (Yard Waste)"/>
      <sheetName val="COS-YW, Recycl"/>
      <sheetName val="Proforma (Curbs Recycling)"/>
      <sheetName val="Lurito (Curbs Recycling)"/>
      <sheetName val="Exp-Matrix (Curbs Recycling)"/>
      <sheetName val="Proforma (Recycle Stations)"/>
      <sheetName val="Lurito (Recycle Stations)"/>
      <sheetName val=" Lurito (MF)"/>
      <sheetName val=" Lurito (MF &amp; R Station)"/>
      <sheetName val="Rate Calculation"/>
      <sheetName val="Rate (Dump Fee)"/>
      <sheetName val="Calculation (Dump Fee)"/>
      <sheetName val="Priceout (Dump Fee)"/>
      <sheetName val="Total Fuel"/>
      <sheetName val="Murrey's Fuel"/>
      <sheetName val="American Fuel"/>
      <sheetName val="Depn-Summary"/>
      <sheetName val="Summary (American)"/>
      <sheetName val="Summary (Murrey's)"/>
      <sheetName val="Trucks (American)"/>
      <sheetName val="Trucks (Murrey's)"/>
      <sheetName val="Containers &amp; DropBox (American)"/>
      <sheetName val="Containers, DropBox (Murrey's)"/>
      <sheetName val="Yard Waste Toters (American)"/>
      <sheetName val="Yard Waste Toters (Murrey's)"/>
      <sheetName val="Other Equipment (American)"/>
      <sheetName val="Other Equipment (Murrey's)"/>
      <sheetName val="WRRA"/>
      <sheetName val="Summary (Supervisors)"/>
      <sheetName val="Summary (Driver Wages)"/>
      <sheetName val="Summary (IS Report)"/>
      <sheetName val="IS-Murrey's"/>
      <sheetName val="IS-Americ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WMofWA)"/>
      <sheetName val="Balance Sheet (WMofWA)"/>
      <sheetName val="Rev. Sum. - Confidential"/>
      <sheetName val="WTB-Confidential"/>
      <sheetName val="Priceout (Staff Method)"/>
      <sheetName val="Priceout (Company Method)"/>
      <sheetName val="Monthly IS"/>
      <sheetName val="Lurito - Garbage"/>
      <sheetName val="Lurito - Recycling (MF)"/>
      <sheetName val="Lurito - Recycling"/>
      <sheetName val="Lurito - YW"/>
      <sheetName val="Total Lurito"/>
      <sheetName val="Lurito-Garbage"/>
      <sheetName val="Lurito-Recycling"/>
      <sheetName val="Lurito-YW"/>
      <sheetName val="Priceout (Proposed)"/>
      <sheetName val="PC 160 - Confidential"/>
      <sheetName val="PC 220"/>
      <sheetName val="PC 230"/>
      <sheetName val="Processing Fees"/>
      <sheetName val="PC 260-Confidential"/>
      <sheetName val="YW Processing Fees"/>
      <sheetName val="WUTC Customer Counts"/>
      <sheetName val="PR Register-Confidential"/>
      <sheetName val="Wage Scale-Confidential"/>
      <sheetName val="PR Detail - Confidential"/>
      <sheetName val="Earn Codes"/>
      <sheetName val="Fuel"/>
      <sheetName val="Legal Fees"/>
      <sheetName val="Facility Costs"/>
      <sheetName val="Sno-King Com'l Recycling"/>
      <sheetName val="City Contract MF Recycling"/>
      <sheetName val="UTC MF Recycling"/>
      <sheetName val="DEPN Summary"/>
      <sheetName val="DEPN"/>
      <sheetName val="Fixed Asset Summary"/>
      <sheetName val="Fixed Asset Detail"/>
      <sheetName val="Balance Sheet"/>
      <sheetName val="Summary (Cart &amp; Containers)"/>
      <sheetName val="OH Analysis"/>
      <sheetName val="Corp. Office OH"/>
      <sheetName val="2008 Group Office TB"/>
      <sheetName val="MA Office OH"/>
      <sheetName val="MA Stats"/>
      <sheetName val="Bothell"/>
      <sheetName val="Woodinville"/>
      <sheetName val="Seattle"/>
      <sheetName val="South Sound"/>
      <sheetName val="Skagit"/>
      <sheetName val="Brem-Air"/>
      <sheetName val="Hours &amp; Services"/>
      <sheetName val="Operating Cost"/>
      <sheetName val="Head Count"/>
      <sheetName val="Summary MA Headcount"/>
      <sheetName val="MA Headcount"/>
      <sheetName val="Headcount"/>
      <sheetName val="WM Sandpoint"/>
      <sheetName val="WM Brem-Air"/>
      <sheetName val="WM Wenatchee"/>
      <sheetName val="WM Ellensburg"/>
      <sheetName val="WM Klamath Falls"/>
      <sheetName val="WM Coeur d'Alene"/>
      <sheetName val="WM Kennewick"/>
      <sheetName val="WM Skagit"/>
      <sheetName val="WM Spokane"/>
      <sheetName val="WM Oregon"/>
      <sheetName val="WM South Sound"/>
      <sheetName val="WM Northwest"/>
      <sheetName val="WM Sno-King"/>
      <sheetName val="WM Seattle"/>
      <sheetName val="2008 West Group IS"/>
      <sheetName val="2008 Group Office IS"/>
      <sheetName val="500500"/>
      <sheetName val="AP-500500"/>
      <sheetName val="500800"/>
      <sheetName val="509000"/>
      <sheetName val="AP-509500"/>
      <sheetName val="509500"/>
      <sheetName val="531200"/>
      <sheetName val="Income Statement (Tonnage)"/>
      <sheetName val="DEPN (CRC)"/>
      <sheetName val="Fixed Assets - Update"/>
      <sheetName val="Fixed Assets"/>
      <sheetName val="Lurito - CRC"/>
      <sheetName val="Lurito"/>
      <sheetName val="unprocessed SS"/>
      <sheetName val="Tonnage"/>
      <sheetName val="Outbound Tons"/>
      <sheetName val="Inbound Tons"/>
      <sheetName val="Labor"/>
      <sheetName val="CDL Pricing"/>
      <sheetName val="CRC Commodity Prices"/>
      <sheetName val="Commodity Mix"/>
      <sheetName val="502500"/>
      <sheetName val="Summary (Disposal)"/>
      <sheetName val="Com'l FL"/>
      <sheetName val="Res'l RL"/>
      <sheetName val="Roll Off"/>
      <sheetName val="Res'l YW"/>
      <sheetName val="Res'l Rec."/>
      <sheetName val="Com'l Rec."/>
      <sheetName val="Summary (Route)"/>
      <sheetName val="Haul Summary"/>
      <sheetName val="Customer Counts"/>
      <sheetName val="Com'l FL-2009"/>
      <sheetName val="Res'l RL (Route)"/>
      <sheetName val="Res'l YW (Route)"/>
      <sheetName val="Res'l Rec. (Route)"/>
      <sheetName val="Roll Off (Route)"/>
      <sheetName val="Com'l Rec. (Route)"/>
      <sheetName val="Hauls Only"/>
      <sheetName val="Container Shop (Arrows)"/>
      <sheetName val="Summary (Bad Debt)"/>
      <sheetName val="115000-115030 2008"/>
      <sheetName val="115000-115030 2007"/>
      <sheetName val="115000-115030 20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ule 1"/>
      <sheetName val="Schedule 2"/>
      <sheetName val="Schedule 3A"/>
      <sheetName val="Schedule 3B"/>
      <sheetName val="Schedule 3C"/>
      <sheetName val="Schedule 4"/>
      <sheetName val="Schedule 5"/>
      <sheetName val="Schedule 6"/>
      <sheetName val="Schedule 7"/>
      <sheetName val="Schedule 8"/>
      <sheetName val="Schedule 9A"/>
      <sheetName val="Schedule 9B"/>
      <sheetName val="Schedule 10"/>
      <sheetName val="Reg Fee Calcul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R20"/>
  <sheetViews>
    <sheetView tabSelected="1" zoomScaleNormal="100" workbookViewId="0">
      <selection activeCell="A15" sqref="A15:H15"/>
    </sheetView>
  </sheetViews>
  <sheetFormatPr defaultRowHeight="15"/>
  <cols>
    <col min="8" max="8" width="12.109375" customWidth="1"/>
  </cols>
  <sheetData>
    <row r="1" spans="1:8" ht="15.75">
      <c r="D1" s="2"/>
    </row>
    <row r="2" spans="1:8" ht="15.75">
      <c r="C2" s="2"/>
    </row>
    <row r="3" spans="1:8" ht="15.75">
      <c r="C3" s="2"/>
    </row>
    <row r="4" spans="1:8" ht="15.75">
      <c r="C4" s="2"/>
    </row>
    <row r="5" spans="1:8" ht="15.75">
      <c r="C5" s="2"/>
    </row>
    <row r="6" spans="1:8" ht="15.75">
      <c r="C6" s="2"/>
    </row>
    <row r="7" spans="1:8" ht="15.75">
      <c r="C7" s="2"/>
    </row>
    <row r="8" spans="1:8" ht="15.75">
      <c r="C8" s="2"/>
    </row>
    <row r="9" spans="1:8" ht="15.75">
      <c r="C9" s="2"/>
    </row>
    <row r="10" spans="1:8" ht="15.75">
      <c r="C10" s="2"/>
    </row>
    <row r="11" spans="1:8" ht="15.75">
      <c r="C11" s="2"/>
    </row>
    <row r="12" spans="1:8" ht="15.75">
      <c r="C12" s="2"/>
    </row>
    <row r="13" spans="1:8" ht="15.75">
      <c r="C13" s="2"/>
    </row>
    <row r="14" spans="1:8" ht="15.75">
      <c r="C14" s="2"/>
    </row>
    <row r="15" spans="1:8" ht="15" customHeight="1">
      <c r="A15" s="783" t="s">
        <v>599</v>
      </c>
      <c r="B15" s="783"/>
      <c r="C15" s="783"/>
      <c r="D15" s="783"/>
      <c r="E15" s="783"/>
      <c r="F15" s="783"/>
      <c r="G15" s="783"/>
      <c r="H15" s="783"/>
    </row>
    <row r="16" spans="1:8" ht="16.5">
      <c r="C16" s="35"/>
    </row>
    <row r="17" spans="1:18" ht="15" customHeight="1">
      <c r="A17" s="783" t="s">
        <v>105</v>
      </c>
      <c r="B17" s="783"/>
      <c r="C17" s="783"/>
      <c r="D17" s="783"/>
      <c r="E17" s="783"/>
      <c r="F17" s="783"/>
      <c r="G17" s="783"/>
      <c r="H17" s="783"/>
    </row>
    <row r="18" spans="1:18" ht="15" customHeight="1">
      <c r="A18" s="783" t="s">
        <v>91</v>
      </c>
      <c r="B18" s="783"/>
      <c r="C18" s="783"/>
      <c r="D18" s="783"/>
      <c r="E18" s="783"/>
      <c r="F18" s="783"/>
      <c r="G18" s="783"/>
      <c r="H18" s="783"/>
    </row>
    <row r="19" spans="1:18" ht="16.5">
      <c r="C19" s="35"/>
    </row>
    <row r="20" spans="1:18" ht="15.75">
      <c r="A20" s="784" t="s">
        <v>885</v>
      </c>
      <c r="B20" s="784"/>
      <c r="C20" s="784"/>
      <c r="D20" s="784"/>
      <c r="E20" s="784"/>
      <c r="F20" s="784"/>
      <c r="G20" s="784"/>
      <c r="H20" s="784"/>
      <c r="I20" s="3"/>
      <c r="J20" s="3"/>
      <c r="K20" s="3"/>
      <c r="L20" s="3"/>
      <c r="M20" s="3"/>
      <c r="N20" s="3"/>
      <c r="O20" s="3"/>
      <c r="P20" s="3"/>
      <c r="Q20" s="3"/>
      <c r="R20" s="3"/>
    </row>
  </sheetData>
  <mergeCells count="4">
    <mergeCell ref="A15:H15"/>
    <mergeCell ref="A17:H17"/>
    <mergeCell ref="A18:H18"/>
    <mergeCell ref="A20:H20"/>
  </mergeCells>
  <pageMargins left="0.7" right="0.7" top="0.75" bottom="0.75" header="0.3" footer="0.3"/>
  <pageSetup orientation="portrait"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H42"/>
  <sheetViews>
    <sheetView zoomScaleNormal="100" workbookViewId="0">
      <selection sqref="A1:H1"/>
    </sheetView>
  </sheetViews>
  <sheetFormatPr defaultColWidth="8" defaultRowHeight="15.75"/>
  <cols>
    <col min="1" max="1" width="5.88671875" style="87" customWidth="1"/>
    <col min="2" max="4" width="7.88671875" style="87" customWidth="1"/>
    <col min="5" max="5" width="12.88671875" style="87" customWidth="1"/>
    <col min="6" max="6" width="11.5546875" style="87" customWidth="1"/>
    <col min="7" max="7" width="11.88671875" style="87" customWidth="1"/>
    <col min="8" max="8" width="7.88671875" style="87" customWidth="1"/>
    <col min="9" max="16384" width="8" style="87"/>
  </cols>
  <sheetData>
    <row r="1" spans="1:8" ht="16.5" customHeight="1">
      <c r="A1" s="812" t="s">
        <v>601</v>
      </c>
      <c r="B1" s="812"/>
      <c r="C1" s="812"/>
      <c r="D1" s="812"/>
      <c r="E1" s="812"/>
      <c r="F1" s="812"/>
      <c r="G1" s="812"/>
      <c r="H1" s="812"/>
    </row>
    <row r="2" spans="1:8" ht="13.5" customHeight="1">
      <c r="A2" s="173"/>
      <c r="B2" s="173"/>
      <c r="C2" s="173"/>
      <c r="D2" s="173"/>
      <c r="E2" s="173"/>
      <c r="F2" s="173"/>
      <c r="G2" s="173"/>
      <c r="H2" s="173"/>
    </row>
    <row r="3" spans="1:8" ht="16.5">
      <c r="A3" s="813" t="s">
        <v>93</v>
      </c>
      <c r="B3" s="813"/>
      <c r="C3" s="813"/>
      <c r="D3" s="813"/>
      <c r="E3" s="813"/>
      <c r="F3" s="813"/>
      <c r="G3" s="813"/>
      <c r="H3" s="813"/>
    </row>
    <row r="4" spans="1:8" ht="15.75" customHeight="1">
      <c r="A4" s="106"/>
      <c r="B4" s="106"/>
      <c r="C4" s="106"/>
      <c r="D4" s="106"/>
      <c r="E4" s="106"/>
      <c r="F4" s="106"/>
      <c r="G4" s="106"/>
      <c r="H4" s="106"/>
    </row>
    <row r="5" spans="1:8" ht="15.75" customHeight="1">
      <c r="A5" s="784" t="s">
        <v>607</v>
      </c>
      <c r="B5" s="784"/>
      <c r="C5" s="784"/>
      <c r="D5" s="784"/>
      <c r="E5" s="784"/>
      <c r="F5" s="784"/>
      <c r="G5" s="784"/>
      <c r="H5" s="784"/>
    </row>
    <row r="6" spans="1:8" ht="15.75" customHeight="1">
      <c r="A6" s="784" t="s">
        <v>847</v>
      </c>
      <c r="B6" s="784"/>
      <c r="C6" s="784"/>
      <c r="D6" s="784"/>
      <c r="E6" s="784"/>
      <c r="F6" s="784"/>
      <c r="G6" s="784"/>
      <c r="H6" s="784"/>
    </row>
    <row r="7" spans="1:8" ht="15.75" customHeight="1">
      <c r="A7" s="799" t="s">
        <v>197</v>
      </c>
      <c r="B7" s="799"/>
      <c r="C7" s="799"/>
      <c r="D7" s="799"/>
      <c r="E7" s="799"/>
      <c r="F7" s="799"/>
      <c r="G7" s="799"/>
      <c r="H7" s="799"/>
    </row>
    <row r="8" spans="1:8" ht="15.6" customHeight="1">
      <c r="A8" s="160"/>
      <c r="B8" s="161"/>
      <c r="C8" s="161"/>
      <c r="D8" s="161"/>
      <c r="E8" s="161"/>
      <c r="F8" s="161"/>
      <c r="G8" s="161"/>
      <c r="H8" s="161"/>
    </row>
    <row r="9" spans="1:8" ht="15.6" customHeight="1">
      <c r="A9" s="229" t="s">
        <v>53</v>
      </c>
      <c r="B9" s="815" t="s">
        <v>1244</v>
      </c>
      <c r="C9" s="815"/>
      <c r="D9" s="815"/>
      <c r="E9" s="815"/>
      <c r="F9" s="815"/>
      <c r="G9" s="198"/>
      <c r="H9" s="107"/>
    </row>
    <row r="10" spans="1:8" ht="15.6" customHeight="1">
      <c r="A10" s="190"/>
      <c r="B10" s="199"/>
      <c r="C10" s="199"/>
      <c r="D10" s="199"/>
      <c r="E10" s="412" t="s">
        <v>0</v>
      </c>
      <c r="F10" s="412" t="s">
        <v>185</v>
      </c>
      <c r="G10" s="199"/>
      <c r="H10" s="159"/>
    </row>
    <row r="11" spans="1:8" ht="15.6" customHeight="1">
      <c r="A11" s="822" t="s">
        <v>12</v>
      </c>
      <c r="B11" s="822"/>
      <c r="C11" s="822"/>
      <c r="D11" s="822"/>
      <c r="E11" s="187">
        <f>-Operations!C64</f>
        <v>-136810</v>
      </c>
      <c r="F11" s="187">
        <f>+E11*'WP-11 - Non-Regulated'!$N$57</f>
        <v>-119334.09739520944</v>
      </c>
      <c r="G11" s="199"/>
      <c r="H11" s="159"/>
    </row>
    <row r="12" spans="1:8" ht="15.6" customHeight="1">
      <c r="A12" s="822" t="s">
        <v>75</v>
      </c>
      <c r="B12" s="822"/>
      <c r="C12" s="822"/>
      <c r="D12" s="822"/>
      <c r="E12" s="187">
        <f>-Operations!C65</f>
        <v>-126654.31000000001</v>
      </c>
      <c r="F12" s="187">
        <f>+E12*'WP-11 - Non-Regulated'!$N$57</f>
        <v>-110475.67988497223</v>
      </c>
      <c r="G12" s="199"/>
      <c r="H12" s="159"/>
    </row>
    <row r="13" spans="1:8" ht="15.6" customHeight="1">
      <c r="A13" s="822" t="s">
        <v>851</v>
      </c>
      <c r="B13" s="822"/>
      <c r="C13" s="822"/>
      <c r="D13" s="822"/>
      <c r="E13" s="187">
        <f>-Operations!C66</f>
        <v>-26434.489999999998</v>
      </c>
      <c r="F13" s="187">
        <f>+E13*'WP-11 - Non-Regulated'!$N$57</f>
        <v>-23057.788204463777</v>
      </c>
      <c r="G13" s="199"/>
      <c r="H13" s="159"/>
    </row>
    <row r="14" spans="1:8" ht="15.6" customHeight="1">
      <c r="A14" s="822" t="s">
        <v>230</v>
      </c>
      <c r="B14" s="822"/>
      <c r="C14" s="822"/>
      <c r="D14" s="822"/>
      <c r="E14" s="187">
        <f>-Operations!C67</f>
        <v>-1380861.3200000003</v>
      </c>
      <c r="F14" s="187">
        <f>+E14*'WP-11 - Non-Regulated'!$N$57</f>
        <v>-1204472.1822246728</v>
      </c>
      <c r="G14" s="199"/>
      <c r="H14" s="159"/>
    </row>
    <row r="15" spans="1:8" ht="15.6" customHeight="1">
      <c r="A15" s="822" t="s">
        <v>988</v>
      </c>
      <c r="B15" s="822"/>
      <c r="C15" s="822"/>
      <c r="D15" s="822"/>
      <c r="E15" s="187">
        <f>-Operations!C81</f>
        <v>-91876.319999999992</v>
      </c>
      <c r="F15" s="187">
        <f>+E15*'WP-11 - Non-Regulated'!$N$57</f>
        <v>-80140.177758887716</v>
      </c>
      <c r="G15" s="199"/>
      <c r="H15" s="159"/>
    </row>
    <row r="16" spans="1:8" ht="15.6" customHeight="1">
      <c r="A16" s="804" t="s">
        <v>499</v>
      </c>
      <c r="B16" s="804"/>
      <c r="C16" s="804"/>
      <c r="D16" s="804"/>
      <c r="E16" s="187">
        <f>+'WP-3 - Labor Analysis'!O35</f>
        <v>945370.04999999993</v>
      </c>
      <c r="F16" s="187">
        <f>+E16*'WP-11 - Non-Regulated'!$N$57</f>
        <v>824609.90878747171</v>
      </c>
      <c r="G16" s="199"/>
      <c r="H16" s="159"/>
    </row>
    <row r="17" spans="1:8" ht="15.6" customHeight="1">
      <c r="A17" s="804" t="s">
        <v>500</v>
      </c>
      <c r="B17" s="804"/>
      <c r="C17" s="804"/>
      <c r="D17" s="804"/>
      <c r="E17" s="187">
        <f>+'WP-3 - Labor Analysis'!O41</f>
        <v>260392.62000000002</v>
      </c>
      <c r="F17" s="187">
        <f>+E17*'WP-11 - Non-Regulated'!$N$57</f>
        <v>227130.46031776743</v>
      </c>
      <c r="G17" s="199"/>
      <c r="H17" s="159"/>
    </row>
    <row r="18" spans="1:8" ht="15.6" customHeight="1">
      <c r="A18" s="804" t="s">
        <v>9</v>
      </c>
      <c r="B18" s="804"/>
      <c r="C18" s="804"/>
      <c r="D18" s="804"/>
      <c r="E18" s="187">
        <f>+'WP-3 - Labor Analysis'!O56</f>
        <v>76934.06</v>
      </c>
      <c r="F18" s="187">
        <f>+E18*'WP-11 - Non-Regulated'!$N$57</f>
        <v>67106.619465308715</v>
      </c>
      <c r="G18" s="199"/>
      <c r="H18" s="159"/>
    </row>
    <row r="19" spans="1:8" ht="15.6" customHeight="1">
      <c r="A19" s="804" t="s">
        <v>990</v>
      </c>
      <c r="B19" s="804"/>
      <c r="C19" s="804"/>
      <c r="D19" s="804"/>
      <c r="E19" s="187">
        <f>+'WP-3 - Labor Analysis'!O14</f>
        <v>227061.76000000001</v>
      </c>
      <c r="F19" s="187">
        <f>+E19*'WP-11 - Non-Regulated'!$N$57</f>
        <v>198057.23399289284</v>
      </c>
      <c r="G19" s="199"/>
      <c r="H19" s="159"/>
    </row>
    <row r="20" spans="1:8" ht="15.6" customHeight="1">
      <c r="A20" s="804" t="s">
        <v>991</v>
      </c>
      <c r="B20" s="804"/>
      <c r="C20" s="804"/>
      <c r="D20" s="804"/>
      <c r="E20" s="187">
        <f>+'WP-3 - Labor Analysis'!O53</f>
        <v>87752.22</v>
      </c>
      <c r="F20" s="187">
        <f>+E20*'WP-11 - Non-Regulated'!$N$57</f>
        <v>76542.88405910274</v>
      </c>
      <c r="G20" s="198"/>
      <c r="H20" s="107"/>
    </row>
    <row r="21" spans="1:8" ht="15.6" customHeight="1">
      <c r="A21" s="822" t="s">
        <v>992</v>
      </c>
      <c r="B21" s="822"/>
      <c r="C21" s="822"/>
      <c r="D21" s="822"/>
      <c r="E21" s="187">
        <f>+'WP-3 - Labor Analysis'!O19</f>
        <v>165125.73000000001</v>
      </c>
      <c r="F21" s="187">
        <f>+E21*'WP-11 - Non-Regulated'!$N$57</f>
        <v>144032.81884566229</v>
      </c>
      <c r="G21" s="198"/>
      <c r="H21" s="107"/>
    </row>
    <row r="22" spans="1:8" ht="15.6" customHeight="1">
      <c r="A22" s="24"/>
      <c r="B22" s="199"/>
      <c r="C22" s="199"/>
      <c r="D22" s="199"/>
      <c r="E22" s="199"/>
      <c r="F22" s="617">
        <f>SUM(F11:F21)</f>
        <v>0</v>
      </c>
      <c r="G22" s="199"/>
      <c r="H22" s="159"/>
    </row>
    <row r="23" spans="1:8" ht="15.6" customHeight="1">
      <c r="A23" s="108" t="s">
        <v>1205</v>
      </c>
      <c r="B23" s="641" t="s">
        <v>1278</v>
      </c>
      <c r="C23" s="107"/>
      <c r="D23" s="107"/>
      <c r="E23" s="107"/>
      <c r="F23" s="107"/>
      <c r="G23" s="107"/>
      <c r="H23" s="107"/>
    </row>
    <row r="24" spans="1:8" ht="15.6" customHeight="1"/>
    <row r="25" spans="1:8">
      <c r="A25" s="87" t="s">
        <v>1261</v>
      </c>
      <c r="E25" s="140">
        <f>-Operations!F58</f>
        <v>-269725.99050102098</v>
      </c>
    </row>
    <row r="26" spans="1:8">
      <c r="A26" s="87" t="s">
        <v>1262</v>
      </c>
      <c r="E26" s="140">
        <f>-E25</f>
        <v>269725.99050102098</v>
      </c>
    </row>
    <row r="27" spans="1:8">
      <c r="A27" s="108"/>
    </row>
    <row r="28" spans="1:8">
      <c r="A28" s="108"/>
    </row>
    <row r="29" spans="1:8">
      <c r="A29" s="108"/>
      <c r="C29" s="110"/>
      <c r="D29" s="110"/>
      <c r="E29" s="110"/>
    </row>
    <row r="30" spans="1:8">
      <c r="A30" s="80"/>
      <c r="C30" s="110"/>
      <c r="D30" s="110"/>
      <c r="E30" s="110"/>
    </row>
    <row r="31" spans="1:8">
      <c r="A31" s="80"/>
      <c r="C31" s="162"/>
      <c r="D31" s="163"/>
      <c r="E31" s="163"/>
    </row>
    <row r="32" spans="1:8">
      <c r="A32" s="80"/>
      <c r="C32" s="164"/>
      <c r="D32" s="164"/>
      <c r="E32" s="164"/>
    </row>
    <row r="33" spans="1:8">
      <c r="A33" s="80"/>
      <c r="C33" s="164"/>
      <c r="D33" s="164"/>
    </row>
    <row r="34" spans="1:8">
      <c r="A34" s="80"/>
    </row>
    <row r="36" spans="1:8">
      <c r="A36" s="108"/>
      <c r="D36" s="166"/>
      <c r="E36" s="166"/>
      <c r="F36" s="166"/>
      <c r="G36" s="166"/>
      <c r="H36" s="166"/>
    </row>
    <row r="37" spans="1:8" ht="15.75" customHeight="1">
      <c r="A37" s="80"/>
      <c r="C37" s="164"/>
      <c r="D37" s="166"/>
      <c r="E37" s="166"/>
      <c r="F37" s="166"/>
      <c r="G37" s="166"/>
      <c r="H37" s="166"/>
    </row>
    <row r="38" spans="1:8">
      <c r="A38" s="80"/>
      <c r="C38" s="164"/>
      <c r="D38" s="166"/>
      <c r="E38" s="166"/>
      <c r="F38" s="166"/>
      <c r="G38" s="166"/>
      <c r="H38" s="166"/>
    </row>
    <row r="39" spans="1:8">
      <c r="A39" s="80"/>
      <c r="C39" s="165"/>
    </row>
    <row r="40" spans="1:8">
      <c r="A40" s="80"/>
      <c r="D40" s="165"/>
    </row>
    <row r="41" spans="1:8">
      <c r="A41" s="80"/>
      <c r="D41" s="165"/>
      <c r="E41" s="165"/>
    </row>
    <row r="42" spans="1:8">
      <c r="A42" s="80"/>
      <c r="D42" s="164"/>
      <c r="E42" s="164"/>
    </row>
  </sheetData>
  <mergeCells count="17">
    <mergeCell ref="A21:D21"/>
    <mergeCell ref="A16:D16"/>
    <mergeCell ref="A17:D17"/>
    <mergeCell ref="A18:D18"/>
    <mergeCell ref="A19:D19"/>
    <mergeCell ref="A20:D20"/>
    <mergeCell ref="A11:D11"/>
    <mergeCell ref="A12:D12"/>
    <mergeCell ref="A13:D13"/>
    <mergeCell ref="A14:D14"/>
    <mergeCell ref="A15:D15"/>
    <mergeCell ref="A3:H3"/>
    <mergeCell ref="A1:H1"/>
    <mergeCell ref="B9:F9"/>
    <mergeCell ref="A5:H5"/>
    <mergeCell ref="A6:H6"/>
    <mergeCell ref="A7:H7"/>
  </mergeCells>
  <phoneticPr fontId="8" type="noConversion"/>
  <pageMargins left="0.9" right="0.7" top="0.75" bottom="0.5" header="0" footer="0.25"/>
  <pageSetup scale="99" fitToHeight="3" orientation="portrait" r:id="rId1"/>
  <headerFooter alignWithMargins="0">
    <oddFooter xml:space="preserve">&amp;C&amp;"Times New Roman,Regular"&amp;10See accompanying summary of significant forecast assumptions.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pageSetUpPr fitToPage="1"/>
  </sheetPr>
  <dimension ref="A1:J109"/>
  <sheetViews>
    <sheetView zoomScaleNormal="100" workbookViewId="0">
      <selection activeCell="D112" sqref="D112"/>
    </sheetView>
  </sheetViews>
  <sheetFormatPr defaultColWidth="8" defaultRowHeight="15.75"/>
  <cols>
    <col min="1" max="1" width="41.44140625" style="89" customWidth="1"/>
    <col min="2" max="2" width="10.88671875" style="89" customWidth="1"/>
    <col min="3" max="3" width="1.88671875" style="89" customWidth="1"/>
    <col min="4" max="4" width="10.88671875" style="89" customWidth="1"/>
    <col min="5" max="5" width="1.88671875" style="89" customWidth="1"/>
    <col min="6" max="6" width="10.88671875" style="89" customWidth="1"/>
    <col min="7" max="7" width="1.88671875" style="89" customWidth="1"/>
    <col min="8" max="8" width="10.88671875" style="89" customWidth="1"/>
    <col min="9" max="9" width="10.109375" style="87" customWidth="1"/>
    <col min="10" max="16384" width="8" style="87"/>
  </cols>
  <sheetData>
    <row r="1" spans="1:10" ht="16.5" customHeight="1">
      <c r="A1" s="812" t="s">
        <v>601</v>
      </c>
      <c r="B1" s="813"/>
      <c r="C1" s="813"/>
      <c r="D1" s="813"/>
      <c r="E1" s="813"/>
      <c r="F1" s="813"/>
      <c r="G1" s="813"/>
      <c r="H1" s="813"/>
      <c r="I1" s="90"/>
      <c r="J1" s="91"/>
    </row>
    <row r="2" spans="1:10" ht="13.5" customHeight="1">
      <c r="A2" s="813"/>
      <c r="B2" s="813"/>
      <c r="C2" s="813"/>
      <c r="D2" s="813"/>
      <c r="E2" s="813"/>
      <c r="F2" s="813"/>
      <c r="G2" s="813"/>
      <c r="H2" s="813"/>
      <c r="I2" s="90"/>
      <c r="J2" s="91"/>
    </row>
    <row r="3" spans="1:10" ht="16.5">
      <c r="A3" s="813" t="s">
        <v>97</v>
      </c>
      <c r="B3" s="813"/>
      <c r="C3" s="813"/>
      <c r="D3" s="813"/>
      <c r="E3" s="813"/>
      <c r="F3" s="813"/>
      <c r="G3" s="813"/>
      <c r="H3" s="813"/>
      <c r="I3" s="90"/>
      <c r="J3" s="91"/>
    </row>
    <row r="4" spans="1:10" ht="15.75" customHeight="1">
      <c r="A4" s="106"/>
      <c r="B4" s="106"/>
      <c r="C4" s="106"/>
      <c r="D4" s="106"/>
      <c r="E4" s="106"/>
      <c r="F4" s="106"/>
      <c r="G4" s="106"/>
      <c r="H4" s="106"/>
      <c r="I4" s="90"/>
      <c r="J4" s="91"/>
    </row>
    <row r="5" spans="1:10" ht="15.75" customHeight="1">
      <c r="A5" s="784" t="s">
        <v>607</v>
      </c>
      <c r="B5" s="784"/>
      <c r="C5" s="784"/>
      <c r="D5" s="784"/>
      <c r="E5" s="784"/>
      <c r="F5" s="784"/>
      <c r="G5" s="784"/>
      <c r="H5" s="784"/>
    </row>
    <row r="6" spans="1:10" ht="15.75" customHeight="1">
      <c r="A6" s="784" t="s">
        <v>847</v>
      </c>
      <c r="B6" s="784"/>
      <c r="C6" s="784"/>
      <c r="D6" s="784"/>
      <c r="E6" s="784"/>
      <c r="F6" s="784"/>
      <c r="G6" s="784"/>
      <c r="H6" s="784"/>
    </row>
    <row r="7" spans="1:10" ht="15.75" customHeight="1">
      <c r="A7" s="799" t="s">
        <v>197</v>
      </c>
      <c r="B7" s="799"/>
      <c r="C7" s="799"/>
      <c r="D7" s="799"/>
      <c r="E7" s="799"/>
      <c r="F7" s="799"/>
      <c r="G7" s="799"/>
      <c r="H7" s="799"/>
    </row>
    <row r="8" spans="1:10" s="111" customFormat="1" ht="14.1" customHeight="1">
      <c r="C8" s="112"/>
      <c r="D8" s="112"/>
      <c r="E8" s="112"/>
      <c r="F8" s="112"/>
      <c r="G8" s="112"/>
      <c r="H8" s="112" t="s">
        <v>4</v>
      </c>
    </row>
    <row r="9" spans="1:10" s="116" customFormat="1" ht="12.95" customHeight="1">
      <c r="A9" s="113"/>
      <c r="B9" s="112" t="s">
        <v>53</v>
      </c>
      <c r="C9" s="114"/>
      <c r="D9" s="642" t="s">
        <v>1205</v>
      </c>
      <c r="E9" s="115"/>
      <c r="F9" s="114"/>
      <c r="G9" s="114"/>
      <c r="H9" s="114" t="s">
        <v>0</v>
      </c>
    </row>
    <row r="10" spans="1:10" s="116" customFormat="1" ht="12.95" customHeight="1">
      <c r="A10" s="113"/>
      <c r="B10" s="114" t="s">
        <v>35</v>
      </c>
      <c r="C10" s="114"/>
      <c r="D10" s="114" t="s">
        <v>35</v>
      </c>
      <c r="E10" s="114"/>
      <c r="F10" s="114"/>
      <c r="G10" s="114"/>
      <c r="H10" s="114" t="s">
        <v>35</v>
      </c>
    </row>
    <row r="11" spans="1:10" s="116" customFormat="1" ht="12.95" customHeight="1">
      <c r="A11" s="113"/>
      <c r="B11" s="117" t="s">
        <v>7</v>
      </c>
      <c r="C11" s="118"/>
      <c r="D11" s="117" t="s">
        <v>1279</v>
      </c>
      <c r="E11" s="114"/>
      <c r="F11" s="117"/>
      <c r="G11" s="114"/>
      <c r="H11" s="117" t="s">
        <v>28</v>
      </c>
    </row>
    <row r="12" spans="1:10">
      <c r="A12" s="97" t="str">
        <f>+Operations!B11</f>
        <v>REVENUES</v>
      </c>
      <c r="B12" s="93"/>
      <c r="C12" s="93"/>
      <c r="D12" s="93"/>
      <c r="E12" s="93"/>
      <c r="F12" s="93"/>
      <c r="G12" s="93"/>
      <c r="H12" s="93"/>
    </row>
    <row r="13" spans="1:10" ht="15" customHeight="1">
      <c r="A13" s="24" t="s">
        <v>455</v>
      </c>
      <c r="B13" s="99">
        <v>0</v>
      </c>
      <c r="C13" s="99"/>
      <c r="D13" s="99">
        <v>0</v>
      </c>
      <c r="E13" s="99"/>
      <c r="F13" s="99">
        <v>0</v>
      </c>
      <c r="G13" s="99"/>
      <c r="H13" s="99">
        <f>SUM(B13:F13)</f>
        <v>0</v>
      </c>
    </row>
    <row r="14" spans="1:10" ht="15" customHeight="1">
      <c r="A14" s="24" t="s">
        <v>456</v>
      </c>
      <c r="B14" s="100">
        <v>0</v>
      </c>
      <c r="C14" s="100"/>
      <c r="D14" s="100">
        <v>0</v>
      </c>
      <c r="E14" s="100"/>
      <c r="F14" s="100">
        <v>0</v>
      </c>
      <c r="G14" s="100"/>
      <c r="H14" s="100">
        <f>SUM(B14:F14)</f>
        <v>0</v>
      </c>
    </row>
    <row r="15" spans="1:10" ht="15" customHeight="1">
      <c r="A15" s="24" t="s">
        <v>457</v>
      </c>
      <c r="B15" s="100">
        <v>0</v>
      </c>
      <c r="C15" s="100"/>
      <c r="D15" s="100">
        <v>0</v>
      </c>
      <c r="E15" s="100"/>
      <c r="F15" s="100">
        <v>0</v>
      </c>
      <c r="G15" s="100"/>
      <c r="H15" s="100">
        <f>SUM(B15:F15)</f>
        <v>0</v>
      </c>
    </row>
    <row r="16" spans="1:10" ht="15" customHeight="1">
      <c r="A16" s="24" t="s">
        <v>458</v>
      </c>
      <c r="B16" s="100">
        <v>0</v>
      </c>
      <c r="C16" s="100"/>
      <c r="D16" s="100">
        <v>0</v>
      </c>
      <c r="E16" s="100"/>
      <c r="F16" s="100">
        <v>0</v>
      </c>
      <c r="G16" s="100"/>
      <c r="H16" s="100">
        <f t="shared" ref="H16:H34" si="0">SUM(B16:F16)</f>
        <v>0</v>
      </c>
    </row>
    <row r="17" spans="1:10" ht="15" customHeight="1">
      <c r="A17" s="24" t="s">
        <v>459</v>
      </c>
      <c r="B17" s="100">
        <v>0</v>
      </c>
      <c r="C17" s="100"/>
      <c r="D17" s="100">
        <v>0</v>
      </c>
      <c r="E17" s="100"/>
      <c r="F17" s="100">
        <v>0</v>
      </c>
      <c r="G17" s="100"/>
      <c r="H17" s="100">
        <f t="shared" si="0"/>
        <v>0</v>
      </c>
    </row>
    <row r="18" spans="1:10" ht="15" customHeight="1">
      <c r="A18" s="24" t="s">
        <v>460</v>
      </c>
      <c r="B18" s="100">
        <v>0</v>
      </c>
      <c r="C18" s="100"/>
      <c r="D18" s="100">
        <v>0</v>
      </c>
      <c r="E18" s="100"/>
      <c r="F18" s="100">
        <v>0</v>
      </c>
      <c r="G18" s="100"/>
      <c r="H18" s="100">
        <f t="shared" si="0"/>
        <v>0</v>
      </c>
    </row>
    <row r="19" spans="1:10" ht="15" customHeight="1">
      <c r="A19" s="24" t="s">
        <v>461</v>
      </c>
      <c r="B19" s="100">
        <v>0</v>
      </c>
      <c r="C19" s="100"/>
      <c r="D19" s="100">
        <v>0</v>
      </c>
      <c r="E19" s="100"/>
      <c r="F19" s="100">
        <v>0</v>
      </c>
      <c r="G19" s="100"/>
      <c r="H19" s="100">
        <f t="shared" si="0"/>
        <v>0</v>
      </c>
    </row>
    <row r="20" spans="1:10" ht="15" customHeight="1">
      <c r="A20" s="24" t="s">
        <v>462</v>
      </c>
      <c r="B20" s="100">
        <v>0</v>
      </c>
      <c r="C20" s="100"/>
      <c r="D20" s="100">
        <v>0</v>
      </c>
      <c r="E20" s="100"/>
      <c r="F20" s="100">
        <v>0</v>
      </c>
      <c r="G20" s="100"/>
      <c r="H20" s="100">
        <f t="shared" si="0"/>
        <v>0</v>
      </c>
    </row>
    <row r="21" spans="1:10" ht="15" customHeight="1">
      <c r="A21" s="24" t="s">
        <v>463</v>
      </c>
      <c r="B21" s="100">
        <v>0</v>
      </c>
      <c r="C21" s="100"/>
      <c r="D21" s="100">
        <v>0</v>
      </c>
      <c r="E21" s="100"/>
      <c r="F21" s="100">
        <v>0</v>
      </c>
      <c r="G21" s="100"/>
      <c r="H21" s="100">
        <f t="shared" si="0"/>
        <v>0</v>
      </c>
    </row>
    <row r="22" spans="1:10" ht="15" customHeight="1">
      <c r="A22" s="24" t="s">
        <v>464</v>
      </c>
      <c r="B22" s="100">
        <v>0</v>
      </c>
      <c r="C22" s="100"/>
      <c r="D22" s="100">
        <v>0</v>
      </c>
      <c r="E22" s="100"/>
      <c r="F22" s="100">
        <v>0</v>
      </c>
      <c r="G22" s="100"/>
      <c r="H22" s="100">
        <f t="shared" si="0"/>
        <v>0</v>
      </c>
    </row>
    <row r="23" spans="1:10" ht="15" customHeight="1">
      <c r="A23" s="24" t="s">
        <v>465</v>
      </c>
      <c r="B23" s="100">
        <v>0</v>
      </c>
      <c r="C23" s="100"/>
      <c r="D23" s="100">
        <v>0</v>
      </c>
      <c r="E23" s="100"/>
      <c r="F23" s="100">
        <v>0</v>
      </c>
      <c r="G23" s="100"/>
      <c r="H23" s="100">
        <f t="shared" si="0"/>
        <v>0</v>
      </c>
    </row>
    <row r="24" spans="1:10" ht="15" customHeight="1">
      <c r="A24" s="24" t="s">
        <v>466</v>
      </c>
      <c r="B24" s="100">
        <v>0</v>
      </c>
      <c r="C24" s="100"/>
      <c r="D24" s="100">
        <v>0</v>
      </c>
      <c r="E24" s="100"/>
      <c r="F24" s="100">
        <v>0</v>
      </c>
      <c r="G24" s="100"/>
      <c r="H24" s="100">
        <f t="shared" si="0"/>
        <v>0</v>
      </c>
    </row>
    <row r="25" spans="1:10" ht="15" customHeight="1">
      <c r="A25" s="24" t="s">
        <v>467</v>
      </c>
      <c r="B25" s="100">
        <v>0</v>
      </c>
      <c r="C25" s="100"/>
      <c r="D25" s="100">
        <v>0</v>
      </c>
      <c r="E25" s="100"/>
      <c r="F25" s="100">
        <v>0</v>
      </c>
      <c r="G25" s="100"/>
      <c r="H25" s="100">
        <f t="shared" si="0"/>
        <v>0</v>
      </c>
    </row>
    <row r="26" spans="1:10" ht="15" customHeight="1">
      <c r="A26" s="24" t="s">
        <v>468</v>
      </c>
      <c r="B26" s="100">
        <v>0</v>
      </c>
      <c r="C26" s="100"/>
      <c r="D26" s="100">
        <v>0</v>
      </c>
      <c r="E26" s="100"/>
      <c r="F26" s="100">
        <v>0</v>
      </c>
      <c r="G26" s="100"/>
      <c r="H26" s="100">
        <f t="shared" si="0"/>
        <v>0</v>
      </c>
      <c r="J26" s="120"/>
    </row>
    <row r="27" spans="1:10" ht="15" customHeight="1">
      <c r="A27" s="24" t="s">
        <v>469</v>
      </c>
      <c r="B27" s="100">
        <v>0</v>
      </c>
      <c r="C27" s="100"/>
      <c r="D27" s="100">
        <v>0</v>
      </c>
      <c r="E27" s="100"/>
      <c r="F27" s="100">
        <v>0</v>
      </c>
      <c r="G27" s="100"/>
      <c r="H27" s="100">
        <f t="shared" si="0"/>
        <v>0</v>
      </c>
    </row>
    <row r="28" spans="1:10" ht="15" customHeight="1">
      <c r="A28" s="24" t="s">
        <v>470</v>
      </c>
      <c r="B28" s="100">
        <v>0</v>
      </c>
      <c r="C28" s="100"/>
      <c r="D28" s="100">
        <v>0</v>
      </c>
      <c r="E28" s="100"/>
      <c r="F28" s="100">
        <v>0</v>
      </c>
      <c r="G28" s="100"/>
      <c r="H28" s="100">
        <f t="shared" si="0"/>
        <v>0</v>
      </c>
    </row>
    <row r="29" spans="1:10" ht="15" customHeight="1">
      <c r="A29" s="24" t="s">
        <v>471</v>
      </c>
      <c r="B29" s="100">
        <v>0</v>
      </c>
      <c r="C29" s="100"/>
      <c r="D29" s="100">
        <v>0</v>
      </c>
      <c r="E29" s="100"/>
      <c r="F29" s="100">
        <v>0</v>
      </c>
      <c r="G29" s="100"/>
      <c r="H29" s="100">
        <f t="shared" si="0"/>
        <v>0</v>
      </c>
    </row>
    <row r="30" spans="1:10" ht="15" customHeight="1">
      <c r="A30" s="24" t="s">
        <v>472</v>
      </c>
      <c r="B30" s="100">
        <v>0</v>
      </c>
      <c r="C30" s="100"/>
      <c r="D30" s="100">
        <v>0</v>
      </c>
      <c r="E30" s="100"/>
      <c r="F30" s="100">
        <v>0</v>
      </c>
      <c r="G30" s="100"/>
      <c r="H30" s="100">
        <f t="shared" si="0"/>
        <v>0</v>
      </c>
    </row>
    <row r="31" spans="1:10" ht="15" customHeight="1">
      <c r="A31" s="24" t="s">
        <v>473</v>
      </c>
      <c r="B31" s="100">
        <v>0</v>
      </c>
      <c r="C31" s="100"/>
      <c r="D31" s="100">
        <v>0</v>
      </c>
      <c r="E31" s="100"/>
      <c r="F31" s="100">
        <v>0</v>
      </c>
      <c r="G31" s="100"/>
      <c r="H31" s="100">
        <f t="shared" si="0"/>
        <v>0</v>
      </c>
    </row>
    <row r="32" spans="1:10" ht="15" customHeight="1">
      <c r="A32" s="24" t="s">
        <v>474</v>
      </c>
      <c r="B32" s="100">
        <v>0</v>
      </c>
      <c r="C32" s="100"/>
      <c r="D32" s="100">
        <v>0</v>
      </c>
      <c r="E32" s="100"/>
      <c r="F32" s="100">
        <v>0</v>
      </c>
      <c r="G32" s="100"/>
      <c r="H32" s="100">
        <f t="shared" si="0"/>
        <v>0</v>
      </c>
    </row>
    <row r="33" spans="1:8" ht="15" customHeight="1">
      <c r="A33" s="24" t="s">
        <v>475</v>
      </c>
      <c r="B33" s="100">
        <v>0</v>
      </c>
      <c r="C33" s="100"/>
      <c r="D33" s="100">
        <v>0</v>
      </c>
      <c r="E33" s="100"/>
      <c r="F33" s="100">
        <v>0</v>
      </c>
      <c r="G33" s="100"/>
      <c r="H33" s="100">
        <f t="shared" si="0"/>
        <v>0</v>
      </c>
    </row>
    <row r="34" spans="1:8" ht="15" customHeight="1">
      <c r="A34" s="24" t="s">
        <v>476</v>
      </c>
      <c r="B34" s="100">
        <v>0</v>
      </c>
      <c r="C34" s="100"/>
      <c r="D34" s="100">
        <v>0</v>
      </c>
      <c r="E34" s="100"/>
      <c r="F34" s="100">
        <v>0</v>
      </c>
      <c r="G34" s="100"/>
      <c r="H34" s="100">
        <f t="shared" si="0"/>
        <v>0</v>
      </c>
    </row>
    <row r="35" spans="1:8" ht="15" customHeight="1">
      <c r="A35" s="24" t="s">
        <v>477</v>
      </c>
      <c r="B35" s="100">
        <v>0</v>
      </c>
      <c r="C35" s="100"/>
      <c r="D35" s="100">
        <v>0</v>
      </c>
      <c r="E35" s="100"/>
      <c r="F35" s="100">
        <v>0</v>
      </c>
      <c r="G35" s="100"/>
      <c r="H35" s="100">
        <f>SUM(B19:F19)</f>
        <v>0</v>
      </c>
    </row>
    <row r="36" spans="1:8" ht="15" customHeight="1">
      <c r="A36" s="24" t="s">
        <v>478</v>
      </c>
      <c r="B36" s="100">
        <v>0</v>
      </c>
      <c r="C36" s="100"/>
      <c r="D36" s="100">
        <v>0</v>
      </c>
      <c r="E36" s="100"/>
      <c r="F36" s="101">
        <v>0</v>
      </c>
      <c r="G36" s="100"/>
      <c r="H36" s="119">
        <f>SUM(B20:F20)</f>
        <v>0</v>
      </c>
    </row>
    <row r="37" spans="1:8" ht="15" customHeight="1">
      <c r="A37" s="93"/>
      <c r="B37" s="102">
        <f>SUM(B13:B36)</f>
        <v>0</v>
      </c>
      <c r="C37" s="100"/>
      <c r="D37" s="102">
        <f>SUM(D13:D36)</f>
        <v>0</v>
      </c>
      <c r="E37" s="100"/>
      <c r="F37" s="102">
        <f>SUM(F13:F36)</f>
        <v>0</v>
      </c>
      <c r="G37" s="100"/>
      <c r="H37" s="102">
        <f>SUM(H13:H36)</f>
        <v>0</v>
      </c>
    </row>
    <row r="38" spans="1:8" ht="15" customHeight="1">
      <c r="A38" s="93"/>
      <c r="B38" s="100"/>
      <c r="C38" s="100"/>
      <c r="D38" s="100"/>
      <c r="E38" s="100"/>
      <c r="F38" s="100"/>
      <c r="G38" s="100"/>
      <c r="H38" s="100"/>
    </row>
    <row r="39" spans="1:8" ht="15" customHeight="1">
      <c r="A39" s="97" t="str">
        <f>+Operations!B47</f>
        <v>OPERATING EXPENSES</v>
      </c>
      <c r="B39" s="100"/>
      <c r="C39" s="103"/>
      <c r="D39" s="100"/>
      <c r="E39" s="100"/>
      <c r="F39" s="100"/>
      <c r="G39" s="100"/>
      <c r="H39" s="100"/>
    </row>
    <row r="40" spans="1:8" ht="15" customHeight="1">
      <c r="A40" s="24" t="s">
        <v>14</v>
      </c>
      <c r="B40" s="100">
        <v>0</v>
      </c>
      <c r="C40" s="100"/>
      <c r="D40" s="100">
        <v>0</v>
      </c>
      <c r="E40" s="100"/>
      <c r="F40" s="100">
        <v>0</v>
      </c>
      <c r="G40" s="100"/>
      <c r="H40" s="100">
        <f>SUM(B40:F40)</f>
        <v>0</v>
      </c>
    </row>
    <row r="41" spans="1:8" ht="15" customHeight="1">
      <c r="A41" s="24" t="s">
        <v>222</v>
      </c>
      <c r="B41" s="100">
        <v>0</v>
      </c>
      <c r="C41" s="100"/>
      <c r="D41" s="100">
        <v>0</v>
      </c>
      <c r="E41" s="100"/>
      <c r="F41" s="100">
        <v>0</v>
      </c>
      <c r="G41" s="100"/>
      <c r="H41" s="100">
        <f t="shared" ref="H41:H105" si="1">SUM(B41:F41)</f>
        <v>0</v>
      </c>
    </row>
    <row r="42" spans="1:8" ht="15" customHeight="1">
      <c r="A42" s="24" t="s">
        <v>223</v>
      </c>
      <c r="B42" s="100">
        <v>0</v>
      </c>
      <c r="C42" s="100"/>
      <c r="D42" s="100">
        <v>0</v>
      </c>
      <c r="E42" s="100"/>
      <c r="F42" s="100">
        <v>0</v>
      </c>
      <c r="G42" s="100"/>
      <c r="H42" s="100">
        <f t="shared" si="1"/>
        <v>0</v>
      </c>
    </row>
    <row r="43" spans="1:8" ht="15" customHeight="1">
      <c r="A43" s="24" t="s">
        <v>224</v>
      </c>
      <c r="B43" s="100">
        <v>0</v>
      </c>
      <c r="C43" s="100"/>
      <c r="D43" s="100">
        <v>0</v>
      </c>
      <c r="E43" s="100"/>
      <c r="F43" s="100">
        <v>0</v>
      </c>
      <c r="G43" s="100"/>
      <c r="H43" s="100">
        <f t="shared" si="1"/>
        <v>0</v>
      </c>
    </row>
    <row r="44" spans="1:8" ht="15" customHeight="1">
      <c r="A44" s="24" t="s">
        <v>225</v>
      </c>
      <c r="B44" s="100">
        <v>0</v>
      </c>
      <c r="C44" s="100"/>
      <c r="D44" s="100">
        <v>0</v>
      </c>
      <c r="E44" s="100"/>
      <c r="F44" s="100">
        <v>0</v>
      </c>
      <c r="G44" s="100"/>
      <c r="H44" s="100">
        <f t="shared" si="1"/>
        <v>0</v>
      </c>
    </row>
    <row r="45" spans="1:8" ht="15" customHeight="1">
      <c r="A45" s="24" t="s">
        <v>226</v>
      </c>
      <c r="B45" s="100">
        <v>0</v>
      </c>
      <c r="C45" s="100"/>
      <c r="D45" s="100">
        <v>0</v>
      </c>
      <c r="E45" s="100"/>
      <c r="F45" s="100">
        <v>0</v>
      </c>
      <c r="G45" s="100"/>
      <c r="H45" s="100">
        <f t="shared" si="1"/>
        <v>0</v>
      </c>
    </row>
    <row r="46" spans="1:8" ht="15" customHeight="1">
      <c r="A46" s="24" t="s">
        <v>269</v>
      </c>
      <c r="B46" s="100">
        <v>0</v>
      </c>
      <c r="C46" s="100"/>
      <c r="D46" s="100">
        <v>0</v>
      </c>
      <c r="E46" s="100"/>
      <c r="F46" s="100">
        <v>0</v>
      </c>
      <c r="G46" s="100"/>
      <c r="H46" s="100">
        <f t="shared" si="1"/>
        <v>0</v>
      </c>
    </row>
    <row r="47" spans="1:8" ht="15" customHeight="1">
      <c r="A47" s="24" t="s">
        <v>270</v>
      </c>
      <c r="B47" s="100">
        <v>0</v>
      </c>
      <c r="C47" s="100"/>
      <c r="D47" s="100">
        <v>0</v>
      </c>
      <c r="E47" s="100"/>
      <c r="F47" s="100">
        <v>0</v>
      </c>
      <c r="G47" s="100"/>
      <c r="H47" s="100">
        <f t="shared" si="1"/>
        <v>0</v>
      </c>
    </row>
    <row r="48" spans="1:8" ht="15" customHeight="1">
      <c r="A48" s="24" t="s">
        <v>271</v>
      </c>
      <c r="B48" s="100">
        <v>0</v>
      </c>
      <c r="C48" s="100"/>
      <c r="D48" s="100">
        <f>+'Sch 3 - Reclass Exp'!E25</f>
        <v>-269725.99050102098</v>
      </c>
      <c r="E48" s="100"/>
      <c r="F48" s="100">
        <v>0</v>
      </c>
      <c r="G48" s="100"/>
      <c r="H48" s="100">
        <f t="shared" si="1"/>
        <v>-269725.99050102098</v>
      </c>
    </row>
    <row r="49" spans="1:8" ht="15" customHeight="1">
      <c r="A49" s="24" t="s">
        <v>272</v>
      </c>
      <c r="B49" s="100">
        <v>0</v>
      </c>
      <c r="C49" s="100"/>
      <c r="D49" s="100">
        <v>0</v>
      </c>
      <c r="E49" s="100"/>
      <c r="F49" s="100">
        <v>0</v>
      </c>
      <c r="G49" s="100"/>
      <c r="H49" s="100">
        <f t="shared" si="1"/>
        <v>0</v>
      </c>
    </row>
    <row r="50" spans="1:8" ht="15" customHeight="1">
      <c r="A50" s="24" t="s">
        <v>273</v>
      </c>
      <c r="B50" s="100">
        <v>0</v>
      </c>
      <c r="C50" s="100"/>
      <c r="D50" s="100">
        <v>0</v>
      </c>
      <c r="E50" s="100"/>
      <c r="F50" s="100">
        <v>0</v>
      </c>
      <c r="G50" s="100"/>
      <c r="H50" s="100">
        <f t="shared" si="1"/>
        <v>0</v>
      </c>
    </row>
    <row r="51" spans="1:8" ht="15" customHeight="1">
      <c r="A51" s="24" t="s">
        <v>274</v>
      </c>
      <c r="B51" s="100">
        <v>0</v>
      </c>
      <c r="C51" s="100"/>
      <c r="D51" s="100">
        <v>0</v>
      </c>
      <c r="E51" s="100"/>
      <c r="F51" s="100">
        <v>0</v>
      </c>
      <c r="G51" s="100"/>
      <c r="H51" s="100">
        <f t="shared" si="1"/>
        <v>0</v>
      </c>
    </row>
    <row r="52" spans="1:8" ht="15" customHeight="1">
      <c r="A52" s="24" t="s">
        <v>1263</v>
      </c>
      <c r="B52" s="100">
        <v>0</v>
      </c>
      <c r="C52" s="100"/>
      <c r="D52" s="100">
        <f>-D48</f>
        <v>269725.99050102098</v>
      </c>
      <c r="E52" s="100"/>
      <c r="F52" s="100">
        <v>0</v>
      </c>
      <c r="G52" s="100"/>
      <c r="H52" s="100">
        <f t="shared" si="1"/>
        <v>269725.99050102098</v>
      </c>
    </row>
    <row r="53" spans="1:8" ht="15" customHeight="1">
      <c r="A53" s="24" t="s">
        <v>228</v>
      </c>
      <c r="B53" s="100">
        <v>0</v>
      </c>
      <c r="C53" s="100"/>
      <c r="D53" s="100">
        <v>0</v>
      </c>
      <c r="E53" s="100"/>
      <c r="F53" s="100">
        <v>0</v>
      </c>
      <c r="G53" s="100"/>
      <c r="H53" s="100">
        <f t="shared" si="1"/>
        <v>0</v>
      </c>
    </row>
    <row r="54" spans="1:8" ht="15" customHeight="1">
      <c r="A54" s="24" t="s">
        <v>229</v>
      </c>
      <c r="B54" s="100">
        <v>0</v>
      </c>
      <c r="C54" s="100"/>
      <c r="D54" s="100">
        <v>0</v>
      </c>
      <c r="E54" s="100"/>
      <c r="F54" s="100">
        <v>0</v>
      </c>
      <c r="G54" s="100"/>
      <c r="H54" s="100">
        <f t="shared" si="1"/>
        <v>0</v>
      </c>
    </row>
    <row r="55" spans="1:8" ht="15" customHeight="1">
      <c r="A55" s="24" t="s">
        <v>12</v>
      </c>
      <c r="B55" s="100">
        <f>+'Sch 3 - Reclass Exp'!F11</f>
        <v>-119334.09739520944</v>
      </c>
      <c r="C55" s="100"/>
      <c r="D55" s="100">
        <v>0</v>
      </c>
      <c r="E55" s="100"/>
      <c r="F55" s="100">
        <v>0</v>
      </c>
      <c r="G55" s="100"/>
      <c r="H55" s="100">
        <f t="shared" si="1"/>
        <v>-119334.09739520944</v>
      </c>
    </row>
    <row r="56" spans="1:8" ht="15" customHeight="1">
      <c r="A56" s="24" t="s">
        <v>75</v>
      </c>
      <c r="B56" s="100">
        <f>+'Sch 3 - Reclass Exp'!F12</f>
        <v>-110475.67988497223</v>
      </c>
      <c r="C56" s="100"/>
      <c r="D56" s="100">
        <v>0</v>
      </c>
      <c r="E56" s="100"/>
      <c r="F56" s="100">
        <v>0</v>
      </c>
      <c r="G56" s="100"/>
      <c r="H56" s="100">
        <f t="shared" si="1"/>
        <v>-110475.67988497223</v>
      </c>
    </row>
    <row r="57" spans="1:8" ht="15" customHeight="1">
      <c r="A57" s="24" t="s">
        <v>230</v>
      </c>
      <c r="B57" s="100">
        <f>+'Sch 3 - Reclass Exp'!F13</f>
        <v>-23057.788204463777</v>
      </c>
      <c r="C57" s="100"/>
      <c r="D57" s="100">
        <v>0</v>
      </c>
      <c r="E57" s="100"/>
      <c r="F57" s="100">
        <v>0</v>
      </c>
      <c r="G57" s="100"/>
      <c r="H57" s="100">
        <f t="shared" si="1"/>
        <v>-23057.788204463777</v>
      </c>
    </row>
    <row r="58" spans="1:8" ht="15" customHeight="1">
      <c r="A58" s="24" t="s">
        <v>1088</v>
      </c>
      <c r="B58" s="100">
        <f>+'Sch 3 - Reclass Exp'!F14</f>
        <v>-1204472.1822246728</v>
      </c>
      <c r="C58" s="100"/>
      <c r="D58" s="100">
        <v>0</v>
      </c>
      <c r="E58" s="100"/>
      <c r="F58" s="100">
        <v>0</v>
      </c>
      <c r="G58" s="100"/>
      <c r="H58" s="100">
        <f t="shared" si="1"/>
        <v>-1204472.1822246728</v>
      </c>
    </row>
    <row r="59" spans="1:8" ht="15" customHeight="1">
      <c r="A59" s="24" t="s">
        <v>988</v>
      </c>
      <c r="B59" s="100">
        <f>+'Sch 3 - Reclass Exp'!F15</f>
        <v>-80140.177758887716</v>
      </c>
      <c r="C59" s="100"/>
      <c r="D59" s="100">
        <v>0</v>
      </c>
      <c r="E59" s="100"/>
      <c r="F59" s="100">
        <v>0</v>
      </c>
      <c r="G59" s="100"/>
      <c r="H59" s="100">
        <f t="shared" si="1"/>
        <v>-80140.177758887716</v>
      </c>
    </row>
    <row r="60" spans="1:8" ht="15" customHeight="1">
      <c r="A60" s="98" t="s">
        <v>499</v>
      </c>
      <c r="B60" s="100">
        <f>+'Sch 3 - Reclass Exp'!F16</f>
        <v>824609.90878747171</v>
      </c>
      <c r="C60" s="100"/>
      <c r="D60" s="100">
        <v>0</v>
      </c>
      <c r="E60" s="100"/>
      <c r="F60" s="100">
        <v>0</v>
      </c>
      <c r="G60" s="100"/>
      <c r="H60" s="100">
        <f t="shared" si="1"/>
        <v>824609.90878747171</v>
      </c>
    </row>
    <row r="61" spans="1:8" ht="15" customHeight="1">
      <c r="A61" s="98" t="s">
        <v>500</v>
      </c>
      <c r="B61" s="100">
        <f>+'Sch 3 - Reclass Exp'!F17</f>
        <v>227130.46031776743</v>
      </c>
      <c r="C61" s="100"/>
      <c r="D61" s="100">
        <v>0</v>
      </c>
      <c r="E61" s="100"/>
      <c r="F61" s="100">
        <v>0</v>
      </c>
      <c r="G61" s="100"/>
      <c r="H61" s="100">
        <f t="shared" si="1"/>
        <v>227130.46031776743</v>
      </c>
    </row>
    <row r="62" spans="1:8" ht="15" customHeight="1">
      <c r="A62" s="98" t="s">
        <v>9</v>
      </c>
      <c r="B62" s="100">
        <f>+'Sch 3 - Reclass Exp'!F18</f>
        <v>67106.619465308715</v>
      </c>
      <c r="C62" s="100"/>
      <c r="D62" s="100">
        <v>0</v>
      </c>
      <c r="E62" s="100"/>
      <c r="F62" s="100">
        <v>0</v>
      </c>
      <c r="G62" s="100"/>
      <c r="H62" s="100">
        <f t="shared" si="1"/>
        <v>67106.619465308715</v>
      </c>
    </row>
    <row r="63" spans="1:8" ht="15" customHeight="1">
      <c r="A63" s="98" t="s">
        <v>990</v>
      </c>
      <c r="B63" s="100">
        <f>+'Sch 3 - Reclass Exp'!F19</f>
        <v>198057.23399289284</v>
      </c>
      <c r="C63" s="100"/>
      <c r="D63" s="100">
        <v>0</v>
      </c>
      <c r="E63" s="100"/>
      <c r="F63" s="100">
        <v>0</v>
      </c>
      <c r="G63" s="100"/>
      <c r="H63" s="100">
        <f t="shared" si="1"/>
        <v>198057.23399289284</v>
      </c>
    </row>
    <row r="64" spans="1:8" ht="15" customHeight="1">
      <c r="A64" s="98" t="s">
        <v>1089</v>
      </c>
      <c r="B64" s="100">
        <f>+'Sch 3 - Reclass Exp'!F20</f>
        <v>76542.88405910274</v>
      </c>
      <c r="C64" s="100"/>
      <c r="D64" s="100">
        <v>0</v>
      </c>
      <c r="E64" s="100"/>
      <c r="F64" s="100">
        <v>0</v>
      </c>
      <c r="G64" s="100"/>
      <c r="H64" s="100">
        <f t="shared" si="1"/>
        <v>76542.88405910274</v>
      </c>
    </row>
    <row r="65" spans="1:8" ht="15" customHeight="1">
      <c r="A65" s="24" t="s">
        <v>498</v>
      </c>
      <c r="B65" s="100">
        <f>+'Sch 3 - Reclass Exp'!F21</f>
        <v>144032.81884566229</v>
      </c>
      <c r="C65" s="100"/>
      <c r="D65" s="100">
        <v>0</v>
      </c>
      <c r="E65" s="100"/>
      <c r="F65" s="100">
        <v>0</v>
      </c>
      <c r="G65" s="100"/>
      <c r="H65" s="100">
        <f t="shared" si="1"/>
        <v>144032.81884566229</v>
      </c>
    </row>
    <row r="66" spans="1:8" ht="15" customHeight="1">
      <c r="A66" s="24" t="s">
        <v>231</v>
      </c>
      <c r="B66" s="100">
        <v>0</v>
      </c>
      <c r="C66" s="100"/>
      <c r="D66" s="100">
        <v>0</v>
      </c>
      <c r="E66" s="100"/>
      <c r="F66" s="100">
        <v>0</v>
      </c>
      <c r="G66" s="100"/>
      <c r="H66" s="100">
        <f t="shared" si="1"/>
        <v>0</v>
      </c>
    </row>
    <row r="67" spans="1:8" ht="15" customHeight="1">
      <c r="A67" s="24" t="s">
        <v>232</v>
      </c>
      <c r="B67" s="100">
        <v>0</v>
      </c>
      <c r="C67" s="100"/>
      <c r="D67" s="100">
        <v>0</v>
      </c>
      <c r="E67" s="100"/>
      <c r="F67" s="100">
        <v>0</v>
      </c>
      <c r="G67" s="100"/>
      <c r="H67" s="100">
        <f t="shared" si="1"/>
        <v>0</v>
      </c>
    </row>
    <row r="68" spans="1:8" ht="15" customHeight="1">
      <c r="A68" s="24" t="s">
        <v>233</v>
      </c>
      <c r="B68" s="100">
        <v>0</v>
      </c>
      <c r="C68" s="100"/>
      <c r="D68" s="100">
        <v>0</v>
      </c>
      <c r="E68" s="100"/>
      <c r="F68" s="100">
        <v>0</v>
      </c>
      <c r="G68" s="100"/>
      <c r="H68" s="100">
        <f t="shared" si="1"/>
        <v>0</v>
      </c>
    </row>
    <row r="69" spans="1:8" ht="15" customHeight="1">
      <c r="A69" s="24" t="s">
        <v>234</v>
      </c>
      <c r="B69" s="100">
        <v>0</v>
      </c>
      <c r="C69" s="100"/>
      <c r="D69" s="100">
        <v>0</v>
      </c>
      <c r="E69" s="100"/>
      <c r="F69" s="100">
        <v>0</v>
      </c>
      <c r="G69" s="100"/>
      <c r="H69" s="100">
        <f t="shared" si="1"/>
        <v>0</v>
      </c>
    </row>
    <row r="70" spans="1:8" ht="15" customHeight="1">
      <c r="A70" s="24" t="s">
        <v>235</v>
      </c>
      <c r="B70" s="100">
        <v>0</v>
      </c>
      <c r="C70" s="100"/>
      <c r="D70" s="100">
        <v>0</v>
      </c>
      <c r="E70" s="100"/>
      <c r="F70" s="100">
        <v>0</v>
      </c>
      <c r="G70" s="100"/>
      <c r="H70" s="100">
        <f t="shared" si="1"/>
        <v>0</v>
      </c>
    </row>
    <row r="71" spans="1:8" ht="15" customHeight="1">
      <c r="A71" s="24" t="s">
        <v>236</v>
      </c>
      <c r="B71" s="100">
        <v>0</v>
      </c>
      <c r="C71" s="100"/>
      <c r="D71" s="100">
        <v>0</v>
      </c>
      <c r="E71" s="100"/>
      <c r="F71" s="100">
        <v>0</v>
      </c>
      <c r="G71" s="100"/>
      <c r="H71" s="100">
        <f t="shared" si="1"/>
        <v>0</v>
      </c>
    </row>
    <row r="72" spans="1:8" ht="15" customHeight="1">
      <c r="A72" s="24" t="s">
        <v>237</v>
      </c>
      <c r="B72" s="100">
        <v>0</v>
      </c>
      <c r="C72" s="100"/>
      <c r="D72" s="100">
        <v>0</v>
      </c>
      <c r="E72" s="100"/>
      <c r="F72" s="100">
        <v>0</v>
      </c>
      <c r="G72" s="100"/>
      <c r="H72" s="100">
        <f t="shared" si="1"/>
        <v>0</v>
      </c>
    </row>
    <row r="73" spans="1:8" ht="15" customHeight="1">
      <c r="A73" s="24" t="s">
        <v>238</v>
      </c>
      <c r="B73" s="100">
        <v>0</v>
      </c>
      <c r="C73" s="100"/>
      <c r="D73" s="100">
        <v>0</v>
      </c>
      <c r="E73" s="100"/>
      <c r="F73" s="100">
        <v>0</v>
      </c>
      <c r="G73" s="100"/>
      <c r="H73" s="100">
        <f t="shared" si="1"/>
        <v>0</v>
      </c>
    </row>
    <row r="74" spans="1:8" ht="15" customHeight="1">
      <c r="A74" s="24" t="s">
        <v>239</v>
      </c>
      <c r="B74" s="100">
        <v>0</v>
      </c>
      <c r="C74" s="100"/>
      <c r="D74" s="100">
        <v>0</v>
      </c>
      <c r="E74" s="100"/>
      <c r="F74" s="100">
        <v>0</v>
      </c>
      <c r="G74" s="100"/>
      <c r="H74" s="100">
        <f t="shared" si="1"/>
        <v>0</v>
      </c>
    </row>
    <row r="75" spans="1:8" ht="15" customHeight="1">
      <c r="A75" s="24" t="s">
        <v>240</v>
      </c>
      <c r="B75" s="100">
        <v>0</v>
      </c>
      <c r="C75" s="100"/>
      <c r="D75" s="100">
        <v>0</v>
      </c>
      <c r="E75" s="100"/>
      <c r="F75" s="100">
        <v>0</v>
      </c>
      <c r="G75" s="100"/>
      <c r="H75" s="100">
        <f t="shared" si="1"/>
        <v>0</v>
      </c>
    </row>
    <row r="76" spans="1:8" ht="15" customHeight="1">
      <c r="A76" s="24" t="s">
        <v>43</v>
      </c>
      <c r="B76" s="100">
        <v>0</v>
      </c>
      <c r="C76" s="100"/>
      <c r="D76" s="100">
        <v>0</v>
      </c>
      <c r="E76" s="100"/>
      <c r="F76" s="100">
        <v>0</v>
      </c>
      <c r="G76" s="100"/>
      <c r="H76" s="100">
        <f t="shared" si="1"/>
        <v>0</v>
      </c>
    </row>
    <row r="77" spans="1:8" ht="15" customHeight="1">
      <c r="A77" s="24" t="s">
        <v>275</v>
      </c>
      <c r="B77" s="100">
        <v>0</v>
      </c>
      <c r="C77" s="100"/>
      <c r="D77" s="100">
        <v>0</v>
      </c>
      <c r="E77" s="100"/>
      <c r="F77" s="100">
        <v>0</v>
      </c>
      <c r="G77" s="100"/>
      <c r="H77" s="100">
        <f t="shared" si="1"/>
        <v>0</v>
      </c>
    </row>
    <row r="78" spans="1:8" ht="15" customHeight="1">
      <c r="A78" s="24" t="s">
        <v>276</v>
      </c>
      <c r="B78" s="100">
        <v>0</v>
      </c>
      <c r="C78" s="100"/>
      <c r="D78" s="100">
        <v>0</v>
      </c>
      <c r="E78" s="100"/>
      <c r="F78" s="100">
        <v>0</v>
      </c>
      <c r="G78" s="100"/>
      <c r="H78" s="100">
        <f t="shared" si="1"/>
        <v>0</v>
      </c>
    </row>
    <row r="79" spans="1:8" ht="15" customHeight="1">
      <c r="A79" s="24" t="s">
        <v>277</v>
      </c>
      <c r="B79" s="100">
        <v>0</v>
      </c>
      <c r="C79" s="100"/>
      <c r="D79" s="100">
        <v>0</v>
      </c>
      <c r="E79" s="100"/>
      <c r="F79" s="100">
        <v>0</v>
      </c>
      <c r="G79" s="100"/>
      <c r="H79" s="100">
        <f t="shared" si="1"/>
        <v>0</v>
      </c>
    </row>
    <row r="80" spans="1:8" ht="15" customHeight="1">
      <c r="A80" s="24" t="s">
        <v>278</v>
      </c>
      <c r="B80" s="100">
        <v>0</v>
      </c>
      <c r="C80" s="100"/>
      <c r="D80" s="100">
        <v>0</v>
      </c>
      <c r="E80" s="100"/>
      <c r="F80" s="100">
        <v>0</v>
      </c>
      <c r="G80" s="100"/>
      <c r="H80" s="100">
        <f t="shared" si="1"/>
        <v>0</v>
      </c>
    </row>
    <row r="81" spans="1:8" ht="15" customHeight="1">
      <c r="A81" s="24" t="s">
        <v>279</v>
      </c>
      <c r="B81" s="100">
        <v>0</v>
      </c>
      <c r="C81" s="100"/>
      <c r="D81" s="100">
        <v>0</v>
      </c>
      <c r="E81" s="100"/>
      <c r="F81" s="100">
        <v>0</v>
      </c>
      <c r="G81" s="100"/>
      <c r="H81" s="100">
        <f t="shared" si="1"/>
        <v>0</v>
      </c>
    </row>
    <row r="82" spans="1:8" ht="15" customHeight="1">
      <c r="A82" s="24" t="s">
        <v>241</v>
      </c>
      <c r="B82" s="100">
        <v>0</v>
      </c>
      <c r="C82" s="100"/>
      <c r="D82" s="100">
        <v>0</v>
      </c>
      <c r="E82" s="100"/>
      <c r="F82" s="100">
        <v>0</v>
      </c>
      <c r="G82" s="100"/>
      <c r="H82" s="100">
        <f t="shared" si="1"/>
        <v>0</v>
      </c>
    </row>
    <row r="83" spans="1:8" ht="15" customHeight="1">
      <c r="A83" s="24" t="s">
        <v>242</v>
      </c>
      <c r="B83" s="100">
        <v>0</v>
      </c>
      <c r="C83" s="100"/>
      <c r="D83" s="100">
        <v>0</v>
      </c>
      <c r="E83" s="100"/>
      <c r="F83" s="100">
        <v>0</v>
      </c>
      <c r="G83" s="100"/>
      <c r="H83" s="100">
        <f t="shared" si="1"/>
        <v>0</v>
      </c>
    </row>
    <row r="84" spans="1:8" ht="15" customHeight="1">
      <c r="A84" s="24" t="s">
        <v>243</v>
      </c>
      <c r="B84" s="100">
        <v>0</v>
      </c>
      <c r="C84" s="100"/>
      <c r="D84" s="100">
        <v>0</v>
      </c>
      <c r="E84" s="100"/>
      <c r="F84" s="100">
        <v>0</v>
      </c>
      <c r="G84" s="100"/>
      <c r="H84" s="100">
        <f t="shared" si="1"/>
        <v>0</v>
      </c>
    </row>
    <row r="85" spans="1:8" ht="15" customHeight="1">
      <c r="A85" s="24" t="s">
        <v>244</v>
      </c>
      <c r="B85" s="100">
        <v>0</v>
      </c>
      <c r="C85" s="100"/>
      <c r="D85" s="100">
        <v>0</v>
      </c>
      <c r="E85" s="100"/>
      <c r="F85" s="100">
        <v>0</v>
      </c>
      <c r="G85" s="100"/>
      <c r="H85" s="100">
        <f t="shared" si="1"/>
        <v>0</v>
      </c>
    </row>
    <row r="86" spans="1:8" ht="15" customHeight="1">
      <c r="A86" s="24" t="s">
        <v>245</v>
      </c>
      <c r="B86" s="100">
        <v>0</v>
      </c>
      <c r="C86" s="100"/>
      <c r="D86" s="100">
        <v>0</v>
      </c>
      <c r="E86" s="100"/>
      <c r="F86" s="100">
        <v>0</v>
      </c>
      <c r="G86" s="100"/>
      <c r="H86" s="100">
        <f t="shared" si="1"/>
        <v>0</v>
      </c>
    </row>
    <row r="87" spans="1:8" ht="15" customHeight="1">
      <c r="A87" s="24" t="s">
        <v>246</v>
      </c>
      <c r="B87" s="100">
        <v>0</v>
      </c>
      <c r="C87" s="100"/>
      <c r="D87" s="100">
        <v>0</v>
      </c>
      <c r="E87" s="100"/>
      <c r="F87" s="100">
        <v>0</v>
      </c>
      <c r="G87" s="100"/>
      <c r="H87" s="100">
        <f t="shared" si="1"/>
        <v>0</v>
      </c>
    </row>
    <row r="88" spans="1:8" ht="15" customHeight="1">
      <c r="A88" s="24" t="s">
        <v>247</v>
      </c>
      <c r="B88" s="100">
        <v>0</v>
      </c>
      <c r="C88" s="100"/>
      <c r="D88" s="100">
        <v>0</v>
      </c>
      <c r="E88" s="100"/>
      <c r="F88" s="100">
        <v>0</v>
      </c>
      <c r="G88" s="100"/>
      <c r="H88" s="100">
        <f t="shared" si="1"/>
        <v>0</v>
      </c>
    </row>
    <row r="89" spans="1:8" ht="15" customHeight="1">
      <c r="A89" s="24" t="s">
        <v>248</v>
      </c>
      <c r="B89" s="100">
        <v>0</v>
      </c>
      <c r="C89" s="100"/>
      <c r="D89" s="100">
        <v>0</v>
      </c>
      <c r="E89" s="100"/>
      <c r="F89" s="100">
        <v>0</v>
      </c>
      <c r="G89" s="100"/>
      <c r="H89" s="100">
        <f t="shared" si="1"/>
        <v>0</v>
      </c>
    </row>
    <row r="90" spans="1:8" ht="15" customHeight="1">
      <c r="A90" s="24" t="s">
        <v>249</v>
      </c>
      <c r="B90" s="100">
        <v>0</v>
      </c>
      <c r="C90" s="100"/>
      <c r="D90" s="100">
        <v>0</v>
      </c>
      <c r="E90" s="100"/>
      <c r="F90" s="100">
        <v>0</v>
      </c>
      <c r="G90" s="100"/>
      <c r="H90" s="100">
        <f t="shared" si="1"/>
        <v>0</v>
      </c>
    </row>
    <row r="91" spans="1:8" ht="15" customHeight="1">
      <c r="A91" s="24" t="s">
        <v>250</v>
      </c>
      <c r="B91" s="100">
        <v>0</v>
      </c>
      <c r="C91" s="100"/>
      <c r="D91" s="100">
        <v>0</v>
      </c>
      <c r="E91" s="100"/>
      <c r="F91" s="100">
        <v>0</v>
      </c>
      <c r="G91" s="100"/>
      <c r="H91" s="100">
        <f t="shared" si="1"/>
        <v>0</v>
      </c>
    </row>
    <row r="92" spans="1:8" ht="15" customHeight="1">
      <c r="A92" s="24" t="s">
        <v>251</v>
      </c>
      <c r="B92" s="100">
        <v>0</v>
      </c>
      <c r="C92" s="100"/>
      <c r="D92" s="100">
        <v>0</v>
      </c>
      <c r="E92" s="100"/>
      <c r="F92" s="100">
        <v>0</v>
      </c>
      <c r="G92" s="100"/>
      <c r="H92" s="100">
        <f t="shared" si="1"/>
        <v>0</v>
      </c>
    </row>
    <row r="93" spans="1:8" ht="15" customHeight="1">
      <c r="A93" s="24" t="s">
        <v>252</v>
      </c>
      <c r="B93" s="100">
        <v>0</v>
      </c>
      <c r="C93" s="100"/>
      <c r="D93" s="100">
        <v>0</v>
      </c>
      <c r="E93" s="100"/>
      <c r="F93" s="100">
        <v>0</v>
      </c>
      <c r="G93" s="100"/>
      <c r="H93" s="100">
        <f t="shared" si="1"/>
        <v>0</v>
      </c>
    </row>
    <row r="94" spans="1:8" ht="15" customHeight="1">
      <c r="A94" s="24" t="s">
        <v>253</v>
      </c>
      <c r="B94" s="100">
        <v>0</v>
      </c>
      <c r="C94" s="100"/>
      <c r="D94" s="100">
        <v>0</v>
      </c>
      <c r="E94" s="100"/>
      <c r="F94" s="100">
        <v>0</v>
      </c>
      <c r="G94" s="100"/>
      <c r="H94" s="100">
        <f t="shared" si="1"/>
        <v>0</v>
      </c>
    </row>
    <row r="95" spans="1:8" ht="15" customHeight="1">
      <c r="A95" s="24" t="s">
        <v>13</v>
      </c>
      <c r="B95" s="100">
        <v>0</v>
      </c>
      <c r="C95" s="100"/>
      <c r="D95" s="100">
        <v>0</v>
      </c>
      <c r="E95" s="100"/>
      <c r="F95" s="100">
        <v>0</v>
      </c>
      <c r="G95" s="100"/>
      <c r="H95" s="100">
        <f t="shared" si="1"/>
        <v>0</v>
      </c>
    </row>
    <row r="96" spans="1:8" ht="15" customHeight="1">
      <c r="A96" s="24" t="s">
        <v>254</v>
      </c>
      <c r="B96" s="100">
        <v>0</v>
      </c>
      <c r="C96" s="100"/>
      <c r="D96" s="100">
        <v>0</v>
      </c>
      <c r="E96" s="100"/>
      <c r="F96" s="100">
        <v>0</v>
      </c>
      <c r="G96" s="100"/>
      <c r="H96" s="100">
        <f t="shared" si="1"/>
        <v>0</v>
      </c>
    </row>
    <row r="97" spans="1:8" ht="15" customHeight="1">
      <c r="A97" s="24" t="s">
        <v>255</v>
      </c>
      <c r="B97" s="100">
        <v>0</v>
      </c>
      <c r="C97" s="100"/>
      <c r="D97" s="100">
        <v>0</v>
      </c>
      <c r="E97" s="100"/>
      <c r="F97" s="100">
        <v>0</v>
      </c>
      <c r="G97" s="100"/>
      <c r="H97" s="100">
        <f t="shared" si="1"/>
        <v>0</v>
      </c>
    </row>
    <row r="98" spans="1:8" ht="15" customHeight="1">
      <c r="A98" s="24" t="s">
        <v>256</v>
      </c>
      <c r="B98" s="100">
        <v>0</v>
      </c>
      <c r="C98" s="100"/>
      <c r="D98" s="100">
        <v>0</v>
      </c>
      <c r="E98" s="100"/>
      <c r="F98" s="100">
        <v>0</v>
      </c>
      <c r="G98" s="100"/>
      <c r="H98" s="100">
        <f t="shared" si="1"/>
        <v>0</v>
      </c>
    </row>
    <row r="99" spans="1:8" ht="15" customHeight="1">
      <c r="A99" s="24" t="s">
        <v>257</v>
      </c>
      <c r="B99" s="100">
        <v>0</v>
      </c>
      <c r="C99" s="100"/>
      <c r="D99" s="100">
        <v>0</v>
      </c>
      <c r="E99" s="100"/>
      <c r="F99" s="100">
        <v>0</v>
      </c>
      <c r="G99" s="100"/>
      <c r="H99" s="100">
        <f t="shared" si="1"/>
        <v>0</v>
      </c>
    </row>
    <row r="100" spans="1:8" ht="15" customHeight="1">
      <c r="A100" s="24" t="s">
        <v>258</v>
      </c>
      <c r="B100" s="100">
        <v>0</v>
      </c>
      <c r="C100" s="100"/>
      <c r="D100" s="100">
        <v>0</v>
      </c>
      <c r="E100" s="100"/>
      <c r="F100" s="100">
        <v>0</v>
      </c>
      <c r="G100" s="100"/>
      <c r="H100" s="100">
        <f t="shared" si="1"/>
        <v>0</v>
      </c>
    </row>
    <row r="101" spans="1:8" ht="15" customHeight="1">
      <c r="A101" s="24" t="s">
        <v>263</v>
      </c>
      <c r="B101" s="100">
        <v>0</v>
      </c>
      <c r="C101" s="100"/>
      <c r="D101" s="100">
        <v>0</v>
      </c>
      <c r="E101" s="100"/>
      <c r="F101" s="100">
        <v>0</v>
      </c>
      <c r="G101" s="100"/>
      <c r="H101" s="100">
        <f t="shared" si="1"/>
        <v>0</v>
      </c>
    </row>
    <row r="102" spans="1:8" ht="15" customHeight="1">
      <c r="A102" s="24" t="s">
        <v>264</v>
      </c>
      <c r="B102" s="100">
        <v>0</v>
      </c>
      <c r="C102" s="100"/>
      <c r="D102" s="100">
        <v>0</v>
      </c>
      <c r="E102" s="100"/>
      <c r="F102" s="100">
        <v>0</v>
      </c>
      <c r="G102" s="100"/>
      <c r="H102" s="100">
        <f t="shared" si="1"/>
        <v>0</v>
      </c>
    </row>
    <row r="103" spans="1:8" ht="15" customHeight="1">
      <c r="A103" s="24" t="s">
        <v>265</v>
      </c>
      <c r="B103" s="100">
        <v>0</v>
      </c>
      <c r="C103" s="100"/>
      <c r="D103" s="100">
        <v>0</v>
      </c>
      <c r="E103" s="100"/>
      <c r="F103" s="100">
        <v>0</v>
      </c>
      <c r="G103" s="100"/>
      <c r="H103" s="100">
        <f t="shared" si="1"/>
        <v>0</v>
      </c>
    </row>
    <row r="104" spans="1:8">
      <c r="A104" s="24" t="s">
        <v>266</v>
      </c>
      <c r="B104" s="100">
        <v>0</v>
      </c>
      <c r="C104" s="100"/>
      <c r="D104" s="100">
        <v>0</v>
      </c>
      <c r="E104" s="100"/>
      <c r="F104" s="100">
        <v>0</v>
      </c>
      <c r="G104" s="100"/>
      <c r="H104" s="100">
        <f t="shared" si="1"/>
        <v>0</v>
      </c>
    </row>
    <row r="105" spans="1:8">
      <c r="A105" s="24" t="s">
        <v>69</v>
      </c>
      <c r="B105" s="100">
        <v>0</v>
      </c>
      <c r="C105" s="100"/>
      <c r="D105" s="100">
        <v>0</v>
      </c>
      <c r="E105" s="100"/>
      <c r="F105" s="100">
        <v>0</v>
      </c>
      <c r="G105" s="100"/>
      <c r="H105" s="100">
        <f t="shared" si="1"/>
        <v>0</v>
      </c>
    </row>
    <row r="106" spans="1:8">
      <c r="A106" s="93"/>
      <c r="B106" s="104">
        <f>SUM(B40:B105)</f>
        <v>5.8207660913467407E-11</v>
      </c>
      <c r="D106" s="104">
        <f>SUM(D40:D105)</f>
        <v>0</v>
      </c>
      <c r="E106" s="104"/>
      <c r="F106" s="104">
        <f>SUM(F40:F105)</f>
        <v>0</v>
      </c>
      <c r="G106" s="99"/>
      <c r="H106" s="104">
        <f>SUM(H40:H105)</f>
        <v>5.8207660913467407E-11</v>
      </c>
    </row>
    <row r="107" spans="1:8">
      <c r="A107" s="93"/>
      <c r="B107" s="100"/>
      <c r="D107" s="100"/>
      <c r="E107" s="100"/>
      <c r="F107" s="100"/>
      <c r="G107" s="100"/>
      <c r="H107" s="100"/>
    </row>
    <row r="108" spans="1:8" ht="16.5" thickBot="1">
      <c r="A108" s="93" t="s">
        <v>39</v>
      </c>
      <c r="B108" s="105">
        <f>+B37-B106</f>
        <v>-5.8207660913467407E-11</v>
      </c>
      <c r="D108" s="105">
        <f>+D37-D106</f>
        <v>0</v>
      </c>
      <c r="E108" s="100"/>
      <c r="F108" s="105">
        <f>+F37-F106</f>
        <v>0</v>
      </c>
      <c r="G108" s="100"/>
      <c r="H108" s="105">
        <f>+H37-H106</f>
        <v>-5.8207660913467407E-11</v>
      </c>
    </row>
    <row r="109" spans="1:8" ht="16.5" thickTop="1"/>
  </sheetData>
  <mergeCells count="6">
    <mergeCell ref="A7:H7"/>
    <mergeCell ref="A1:H1"/>
    <mergeCell ref="A2:H2"/>
    <mergeCell ref="A3:H3"/>
    <mergeCell ref="A5:H5"/>
    <mergeCell ref="A6:H6"/>
  </mergeCells>
  <phoneticPr fontId="8" type="noConversion"/>
  <pageMargins left="0.9" right="0.7" top="0.75" bottom="0.5" header="0" footer="0.25"/>
  <pageSetup scale="81" fitToHeight="0" orientation="portrait" r:id="rId1"/>
  <headerFooter scaleWithDoc="0" alignWithMargins="0">
    <oddFooter xml:space="preserve">&amp;C&amp;"Times New Roman,Regular"&amp;10See accompanying summary of significant forecast  assumptions. </oddFooter>
  </headerFooter>
  <rowBreaks count="1" manualBreakCount="1">
    <brk id="38"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AL275"/>
  <sheetViews>
    <sheetView topLeftCell="A42" zoomScaleNormal="100" workbookViewId="0">
      <pane xSplit="1" topLeftCell="B1" activePane="topRight" state="frozen"/>
      <selection activeCell="A10" sqref="A10"/>
      <selection pane="topRight" activeCell="A56" sqref="A56"/>
    </sheetView>
  </sheetViews>
  <sheetFormatPr defaultColWidth="10.88671875" defaultRowHeight="18.75"/>
  <cols>
    <col min="1" max="1" width="40.6640625" style="16" customWidth="1"/>
    <col min="2" max="13" width="10.6640625" style="15" customWidth="1"/>
    <col min="14" max="14" width="12.5546875" style="15" customWidth="1"/>
    <col min="15" max="17" width="12.6640625" style="15" customWidth="1"/>
    <col min="18" max="20" width="10.88671875" style="15"/>
    <col min="21" max="16384" width="10.88671875" style="16"/>
  </cols>
  <sheetData>
    <row r="1" spans="1:38">
      <c r="A1" s="783" t="s">
        <v>601</v>
      </c>
      <c r="B1" s="783"/>
      <c r="C1" s="783"/>
      <c r="D1" s="783"/>
      <c r="E1" s="783"/>
      <c r="F1" s="783"/>
      <c r="G1" s="783"/>
      <c r="H1" s="783"/>
      <c r="I1" s="783"/>
      <c r="J1" s="783"/>
      <c r="K1" s="783"/>
      <c r="L1" s="783"/>
      <c r="M1" s="783"/>
      <c r="N1" s="783"/>
      <c r="O1" s="783"/>
      <c r="P1" s="783"/>
      <c r="Q1" s="783"/>
    </row>
    <row r="2" spans="1:38" ht="9.75" customHeight="1">
      <c r="A2" s="3"/>
      <c r="B2" s="17"/>
      <c r="C2" s="17"/>
      <c r="D2" s="17"/>
      <c r="E2" s="17"/>
      <c r="F2" s="17"/>
      <c r="G2" s="17"/>
      <c r="H2" s="17"/>
      <c r="I2" s="17"/>
      <c r="J2" s="17"/>
      <c r="K2" s="17"/>
      <c r="L2" s="17"/>
      <c r="M2" s="17"/>
      <c r="N2" s="17"/>
      <c r="O2" s="17"/>
      <c r="P2" s="17"/>
      <c r="Q2" s="17"/>
    </row>
    <row r="3" spans="1:38">
      <c r="A3" s="783" t="s">
        <v>98</v>
      </c>
      <c r="B3" s="783"/>
      <c r="C3" s="783"/>
      <c r="D3" s="783"/>
      <c r="E3" s="783"/>
      <c r="F3" s="783"/>
      <c r="G3" s="783"/>
      <c r="H3" s="783"/>
      <c r="I3" s="783"/>
      <c r="J3" s="783"/>
      <c r="K3" s="783"/>
      <c r="L3" s="783"/>
      <c r="M3" s="783"/>
      <c r="N3" s="783"/>
      <c r="O3" s="783"/>
      <c r="P3" s="783"/>
      <c r="Q3" s="783"/>
    </row>
    <row r="4" spans="1:38">
      <c r="A4" s="14"/>
      <c r="B4" s="14"/>
      <c r="C4" s="14"/>
      <c r="D4" s="14"/>
      <c r="E4" s="14"/>
      <c r="F4" s="14"/>
      <c r="G4" s="14"/>
      <c r="H4" s="14"/>
      <c r="I4" s="14"/>
      <c r="J4" s="14"/>
      <c r="K4" s="14"/>
      <c r="L4" s="14"/>
      <c r="M4" s="14"/>
      <c r="N4" s="14"/>
      <c r="O4" s="14"/>
      <c r="P4" s="14"/>
      <c r="Q4" s="14"/>
    </row>
    <row r="5" spans="1:38">
      <c r="A5" s="799" t="str">
        <f>+Operations!B5</f>
        <v>For the Twelve Months Ended December 31, 2022 Historical and December 31, 2024 Forecasted</v>
      </c>
      <c r="B5" s="799"/>
      <c r="C5" s="799"/>
      <c r="D5" s="799"/>
      <c r="E5" s="799"/>
      <c r="F5" s="799"/>
      <c r="G5" s="799"/>
      <c r="H5" s="799"/>
      <c r="I5" s="799"/>
      <c r="J5" s="799"/>
      <c r="K5" s="799"/>
      <c r="L5" s="799"/>
      <c r="M5" s="799"/>
      <c r="N5" s="799"/>
      <c r="O5" s="799"/>
      <c r="P5" s="799"/>
      <c r="Q5" s="799"/>
    </row>
    <row r="6" spans="1:38">
      <c r="A6" s="784" t="s">
        <v>197</v>
      </c>
      <c r="B6" s="784"/>
      <c r="C6" s="784"/>
      <c r="D6" s="784"/>
      <c r="E6" s="784"/>
      <c r="F6" s="784"/>
      <c r="G6" s="784"/>
      <c r="H6" s="784"/>
      <c r="I6" s="784"/>
      <c r="J6" s="784"/>
      <c r="K6" s="784"/>
      <c r="L6" s="784"/>
      <c r="M6" s="784"/>
      <c r="N6" s="784"/>
      <c r="O6" s="784"/>
      <c r="P6" s="784"/>
      <c r="Q6" s="784"/>
    </row>
    <row r="7" spans="1:38">
      <c r="A7" s="14"/>
      <c r="B7" s="14"/>
      <c r="C7" s="14"/>
      <c r="D7" s="14"/>
      <c r="E7" s="14"/>
      <c r="F7" s="14"/>
      <c r="G7" s="14"/>
      <c r="H7" s="14"/>
      <c r="I7" s="14"/>
      <c r="J7" s="14"/>
      <c r="K7" s="14"/>
      <c r="L7" s="14"/>
      <c r="M7" s="14"/>
      <c r="N7" s="14"/>
      <c r="O7" s="14"/>
      <c r="P7" s="14"/>
      <c r="Q7" s="14"/>
    </row>
    <row r="8" spans="1:38" s="23" customFormat="1" ht="15">
      <c r="B8" s="29"/>
      <c r="C8" s="29"/>
      <c r="D8" s="29"/>
      <c r="E8" s="29"/>
      <c r="F8" s="29"/>
      <c r="G8" s="29"/>
      <c r="H8" s="29"/>
      <c r="I8" s="29"/>
      <c r="J8" s="29"/>
      <c r="K8" s="29"/>
      <c r="L8" s="29"/>
      <c r="M8" s="29"/>
      <c r="O8" s="235"/>
      <c r="P8" s="29"/>
      <c r="Q8" s="669" t="s">
        <v>34</v>
      </c>
      <c r="R8" s="25"/>
      <c r="S8" s="25"/>
      <c r="T8" s="25"/>
    </row>
    <row r="9" spans="1:38" s="23" customFormat="1" ht="15">
      <c r="H9" s="29"/>
      <c r="I9" s="29"/>
      <c r="J9" s="29"/>
      <c r="K9" s="30"/>
      <c r="L9" s="30"/>
      <c r="M9" s="30"/>
      <c r="N9" s="212" t="s">
        <v>22</v>
      </c>
      <c r="O9" s="212" t="s">
        <v>578</v>
      </c>
      <c r="P9" s="212" t="s">
        <v>580</v>
      </c>
      <c r="Q9" s="212" t="s">
        <v>196</v>
      </c>
      <c r="R9" s="25"/>
      <c r="S9" s="25"/>
      <c r="T9" s="25"/>
    </row>
    <row r="10" spans="1:38" s="23" customFormat="1" ht="15" customHeight="1">
      <c r="B10" s="211" t="s">
        <v>60</v>
      </c>
      <c r="C10" s="211" t="s">
        <v>61</v>
      </c>
      <c r="D10" s="211" t="s">
        <v>62</v>
      </c>
      <c r="E10" s="211" t="s">
        <v>63</v>
      </c>
      <c r="F10" s="211" t="s">
        <v>64</v>
      </c>
      <c r="G10" s="211" t="s">
        <v>65</v>
      </c>
      <c r="H10" s="211" t="s">
        <v>66</v>
      </c>
      <c r="I10" s="211" t="s">
        <v>67</v>
      </c>
      <c r="J10" s="211" t="s">
        <v>59</v>
      </c>
      <c r="K10" s="211" t="s">
        <v>58</v>
      </c>
      <c r="L10" s="211" t="s">
        <v>57</v>
      </c>
      <c r="M10" s="211" t="s">
        <v>56</v>
      </c>
      <c r="N10" s="212" t="s">
        <v>26</v>
      </c>
      <c r="O10" s="211" t="s">
        <v>579</v>
      </c>
      <c r="P10" s="211" t="s">
        <v>6</v>
      </c>
      <c r="Q10" s="670" t="s">
        <v>26</v>
      </c>
      <c r="R10" s="27"/>
      <c r="S10" s="27"/>
      <c r="T10" s="27"/>
      <c r="U10" s="28"/>
      <c r="V10" s="28"/>
      <c r="W10" s="28"/>
      <c r="X10" s="28"/>
      <c r="Y10" s="28"/>
      <c r="Z10" s="28"/>
      <c r="AA10" s="28"/>
      <c r="AB10" s="28"/>
      <c r="AC10" s="28"/>
      <c r="AD10" s="28"/>
      <c r="AE10" s="28"/>
      <c r="AF10" s="28"/>
      <c r="AG10" s="28"/>
      <c r="AH10" s="28"/>
      <c r="AI10" s="28"/>
      <c r="AJ10" s="28"/>
      <c r="AK10" s="28"/>
      <c r="AL10" s="28"/>
    </row>
    <row r="11" spans="1:38" ht="15" customHeight="1">
      <c r="A11" s="22" t="s">
        <v>30</v>
      </c>
      <c r="B11" s="25"/>
      <c r="C11" s="25"/>
      <c r="D11" s="25"/>
      <c r="E11" s="25"/>
      <c r="F11" s="25"/>
      <c r="G11" s="25"/>
      <c r="H11" s="25"/>
      <c r="I11" s="25"/>
      <c r="J11" s="25"/>
      <c r="K11" s="25"/>
      <c r="L11" s="25"/>
      <c r="M11" s="25"/>
      <c r="N11" s="25"/>
    </row>
    <row r="12" spans="1:38" ht="15" customHeight="1">
      <c r="A12" s="24" t="s">
        <v>455</v>
      </c>
      <c r="B12" s="25">
        <v>0</v>
      </c>
      <c r="C12" s="25">
        <v>0</v>
      </c>
      <c r="D12" s="25">
        <v>0</v>
      </c>
      <c r="E12" s="25">
        <v>0</v>
      </c>
      <c r="F12" s="25">
        <v>0</v>
      </c>
      <c r="G12" s="25">
        <v>0</v>
      </c>
      <c r="H12" s="25">
        <v>0</v>
      </c>
      <c r="I12" s="25">
        <v>0</v>
      </c>
      <c r="J12" s="25">
        <v>0</v>
      </c>
      <c r="K12" s="25">
        <v>0</v>
      </c>
      <c r="L12" s="25">
        <v>0</v>
      </c>
      <c r="M12" s="25">
        <v>0</v>
      </c>
      <c r="N12" s="25">
        <f>SUM(B12:M12)</f>
        <v>0</v>
      </c>
      <c r="O12" s="25">
        <v>1383735</v>
      </c>
      <c r="P12" s="25"/>
      <c r="Q12" s="25">
        <f>SUM(N12:P12)</f>
        <v>1383735</v>
      </c>
    </row>
    <row r="13" spans="1:38" ht="15" customHeight="1">
      <c r="A13" s="24" t="s">
        <v>456</v>
      </c>
      <c r="B13" s="25">
        <v>0</v>
      </c>
      <c r="C13" s="25">
        <v>0</v>
      </c>
      <c r="D13" s="25">
        <v>0</v>
      </c>
      <c r="E13" s="25">
        <v>0</v>
      </c>
      <c r="F13" s="25">
        <v>0</v>
      </c>
      <c r="G13" s="25">
        <v>0</v>
      </c>
      <c r="H13" s="25">
        <v>0</v>
      </c>
      <c r="I13" s="25">
        <v>0</v>
      </c>
      <c r="J13" s="25">
        <v>0</v>
      </c>
      <c r="K13" s="25">
        <v>0</v>
      </c>
      <c r="L13" s="25">
        <v>0</v>
      </c>
      <c r="M13" s="25">
        <v>0</v>
      </c>
      <c r="N13" s="25">
        <f t="shared" ref="N13:N59" si="0">SUM(B13:M13)</f>
        <v>0</v>
      </c>
      <c r="O13" s="25">
        <v>0</v>
      </c>
      <c r="P13" s="25"/>
      <c r="Q13" s="25">
        <f t="shared" ref="Q13:Q60" si="1">SUM(N13:P13)</f>
        <v>0</v>
      </c>
    </row>
    <row r="14" spans="1:38" ht="15" customHeight="1">
      <c r="A14" s="24" t="s">
        <v>457</v>
      </c>
      <c r="B14" s="25">
        <v>0</v>
      </c>
      <c r="C14" s="25">
        <v>0</v>
      </c>
      <c r="D14" s="25">
        <v>0</v>
      </c>
      <c r="E14" s="25">
        <v>0</v>
      </c>
      <c r="F14" s="25">
        <v>0</v>
      </c>
      <c r="G14" s="25">
        <v>0</v>
      </c>
      <c r="H14" s="25">
        <v>0</v>
      </c>
      <c r="I14" s="25">
        <v>0</v>
      </c>
      <c r="J14" s="25">
        <v>0</v>
      </c>
      <c r="K14" s="25">
        <v>0</v>
      </c>
      <c r="L14" s="25">
        <v>0</v>
      </c>
      <c r="M14" s="25">
        <v>0</v>
      </c>
      <c r="N14" s="25">
        <f t="shared" si="0"/>
        <v>0</v>
      </c>
      <c r="O14" s="25">
        <v>1036823</v>
      </c>
      <c r="P14" s="25"/>
      <c r="Q14" s="25">
        <f t="shared" si="1"/>
        <v>1036823</v>
      </c>
    </row>
    <row r="15" spans="1:38" ht="15" customHeight="1">
      <c r="A15" s="24" t="s">
        <v>458</v>
      </c>
      <c r="B15" s="25">
        <v>0</v>
      </c>
      <c r="C15" s="25">
        <v>0</v>
      </c>
      <c r="D15" s="25">
        <v>0</v>
      </c>
      <c r="E15" s="25">
        <v>0</v>
      </c>
      <c r="F15" s="25">
        <v>0</v>
      </c>
      <c r="G15" s="25">
        <v>0</v>
      </c>
      <c r="H15" s="25">
        <v>0</v>
      </c>
      <c r="I15" s="25">
        <v>0</v>
      </c>
      <c r="J15" s="25">
        <v>0</v>
      </c>
      <c r="K15" s="25">
        <v>0</v>
      </c>
      <c r="L15" s="25">
        <v>0</v>
      </c>
      <c r="M15" s="25">
        <v>0</v>
      </c>
      <c r="N15" s="25">
        <f t="shared" si="0"/>
        <v>0</v>
      </c>
      <c r="O15" s="25">
        <v>126544</v>
      </c>
      <c r="P15" s="25"/>
      <c r="Q15" s="25">
        <f t="shared" si="1"/>
        <v>126544</v>
      </c>
    </row>
    <row r="16" spans="1:38" ht="15" customHeight="1">
      <c r="A16" s="24" t="s">
        <v>459</v>
      </c>
      <c r="B16" s="25">
        <v>0</v>
      </c>
      <c r="C16" s="25">
        <v>0</v>
      </c>
      <c r="D16" s="25">
        <v>0</v>
      </c>
      <c r="E16" s="25">
        <v>0</v>
      </c>
      <c r="F16" s="25">
        <v>0</v>
      </c>
      <c r="G16" s="25">
        <v>0</v>
      </c>
      <c r="H16" s="25">
        <v>0</v>
      </c>
      <c r="I16" s="25">
        <v>0</v>
      </c>
      <c r="J16" s="25">
        <v>0</v>
      </c>
      <c r="K16" s="25">
        <v>0</v>
      </c>
      <c r="L16" s="25">
        <v>0</v>
      </c>
      <c r="M16" s="25">
        <v>0</v>
      </c>
      <c r="N16" s="25">
        <f t="shared" si="0"/>
        <v>0</v>
      </c>
      <c r="O16" s="25">
        <v>249279</v>
      </c>
      <c r="P16" s="25">
        <v>-17236</v>
      </c>
      <c r="Q16" s="25">
        <f t="shared" si="1"/>
        <v>232043</v>
      </c>
    </row>
    <row r="17" spans="1:17" ht="15" customHeight="1">
      <c r="A17" s="24" t="s">
        <v>460</v>
      </c>
      <c r="B17" s="25">
        <v>0</v>
      </c>
      <c r="C17" s="25">
        <v>0</v>
      </c>
      <c r="D17" s="25">
        <v>0</v>
      </c>
      <c r="E17" s="25">
        <v>0</v>
      </c>
      <c r="F17" s="25">
        <v>0</v>
      </c>
      <c r="G17" s="25">
        <v>0</v>
      </c>
      <c r="H17" s="25">
        <v>0</v>
      </c>
      <c r="I17" s="25">
        <v>0</v>
      </c>
      <c r="J17" s="25">
        <v>0</v>
      </c>
      <c r="K17" s="25">
        <v>0</v>
      </c>
      <c r="L17" s="25">
        <v>0</v>
      </c>
      <c r="M17" s="25">
        <v>0</v>
      </c>
      <c r="N17" s="25">
        <f t="shared" si="0"/>
        <v>0</v>
      </c>
      <c r="O17" s="25">
        <v>0</v>
      </c>
      <c r="P17" s="25"/>
      <c r="Q17" s="25">
        <f t="shared" si="1"/>
        <v>0</v>
      </c>
    </row>
    <row r="18" spans="1:17" ht="15" customHeight="1">
      <c r="A18" s="24" t="s">
        <v>461</v>
      </c>
      <c r="B18" s="25">
        <v>0</v>
      </c>
      <c r="C18" s="25">
        <v>0</v>
      </c>
      <c r="D18" s="25">
        <v>0</v>
      </c>
      <c r="E18" s="25">
        <v>0</v>
      </c>
      <c r="F18" s="25">
        <v>0</v>
      </c>
      <c r="G18" s="25">
        <v>0</v>
      </c>
      <c r="H18" s="25">
        <v>0</v>
      </c>
      <c r="I18" s="25">
        <v>0</v>
      </c>
      <c r="J18" s="25">
        <v>0</v>
      </c>
      <c r="K18" s="25">
        <v>0</v>
      </c>
      <c r="L18" s="25">
        <v>0</v>
      </c>
      <c r="M18" s="25">
        <v>0</v>
      </c>
      <c r="N18" s="25">
        <f t="shared" si="0"/>
        <v>0</v>
      </c>
      <c r="O18" s="25">
        <v>96329</v>
      </c>
      <c r="P18" s="25">
        <v>0</v>
      </c>
      <c r="Q18" s="25">
        <f t="shared" si="1"/>
        <v>96329</v>
      </c>
    </row>
    <row r="19" spans="1:17" ht="15" customHeight="1">
      <c r="A19" s="24" t="s">
        <v>462</v>
      </c>
      <c r="B19" s="25">
        <v>0</v>
      </c>
      <c r="C19" s="25">
        <v>0</v>
      </c>
      <c r="D19" s="25">
        <v>0</v>
      </c>
      <c r="E19" s="25">
        <v>0</v>
      </c>
      <c r="F19" s="25">
        <v>0</v>
      </c>
      <c r="G19" s="25">
        <v>0</v>
      </c>
      <c r="H19" s="25">
        <v>0</v>
      </c>
      <c r="I19" s="25">
        <v>0</v>
      </c>
      <c r="J19" s="25">
        <v>0</v>
      </c>
      <c r="K19" s="25">
        <v>0</v>
      </c>
      <c r="L19" s="25">
        <v>0</v>
      </c>
      <c r="M19" s="25">
        <v>0</v>
      </c>
      <c r="N19" s="25">
        <f t="shared" si="0"/>
        <v>0</v>
      </c>
      <c r="O19" s="25">
        <v>110455</v>
      </c>
      <c r="P19" s="25">
        <v>0</v>
      </c>
      <c r="Q19" s="25">
        <f t="shared" si="1"/>
        <v>110455</v>
      </c>
    </row>
    <row r="20" spans="1:17" ht="15" customHeight="1">
      <c r="A20" s="24" t="s">
        <v>463</v>
      </c>
      <c r="B20" s="25">
        <v>0</v>
      </c>
      <c r="C20" s="25">
        <v>0</v>
      </c>
      <c r="D20" s="25">
        <v>0</v>
      </c>
      <c r="E20" s="25">
        <v>0</v>
      </c>
      <c r="F20" s="25">
        <v>0</v>
      </c>
      <c r="G20" s="25">
        <v>0</v>
      </c>
      <c r="H20" s="25">
        <v>0</v>
      </c>
      <c r="I20" s="25">
        <v>0</v>
      </c>
      <c r="J20" s="25">
        <v>0</v>
      </c>
      <c r="K20" s="25">
        <v>0</v>
      </c>
      <c r="L20" s="25">
        <v>0</v>
      </c>
      <c r="M20" s="25">
        <v>0</v>
      </c>
      <c r="N20" s="25">
        <f t="shared" si="0"/>
        <v>0</v>
      </c>
      <c r="O20" s="25">
        <v>0</v>
      </c>
      <c r="P20" s="25"/>
      <c r="Q20" s="25">
        <f t="shared" si="1"/>
        <v>0</v>
      </c>
    </row>
    <row r="21" spans="1:17" ht="15" customHeight="1">
      <c r="A21" s="24" t="s">
        <v>464</v>
      </c>
      <c r="B21" s="25">
        <v>0</v>
      </c>
      <c r="C21" s="25">
        <v>0</v>
      </c>
      <c r="D21" s="25">
        <v>0</v>
      </c>
      <c r="E21" s="25">
        <v>0</v>
      </c>
      <c r="F21" s="25">
        <v>0</v>
      </c>
      <c r="G21" s="25">
        <v>0</v>
      </c>
      <c r="H21" s="25">
        <v>0</v>
      </c>
      <c r="I21" s="25">
        <v>0</v>
      </c>
      <c r="J21" s="25">
        <v>0</v>
      </c>
      <c r="K21" s="25">
        <v>0</v>
      </c>
      <c r="L21" s="25">
        <v>0</v>
      </c>
      <c r="M21" s="25">
        <v>0</v>
      </c>
      <c r="N21" s="25">
        <f t="shared" si="0"/>
        <v>0</v>
      </c>
      <c r="O21" s="25"/>
      <c r="P21" s="25"/>
      <c r="Q21" s="25">
        <f t="shared" si="1"/>
        <v>0</v>
      </c>
    </row>
    <row r="22" spans="1:17" ht="15" customHeight="1">
      <c r="A22" s="24" t="s">
        <v>969</v>
      </c>
      <c r="B22" s="25">
        <v>0</v>
      </c>
      <c r="C22" s="25">
        <v>0</v>
      </c>
      <c r="D22" s="25">
        <v>0</v>
      </c>
      <c r="E22" s="25">
        <v>0</v>
      </c>
      <c r="F22" s="25">
        <v>0</v>
      </c>
      <c r="G22" s="25">
        <v>0</v>
      </c>
      <c r="H22" s="25">
        <v>0</v>
      </c>
      <c r="I22" s="25">
        <v>0</v>
      </c>
      <c r="J22" s="25">
        <v>0</v>
      </c>
      <c r="K22" s="25">
        <v>0</v>
      </c>
      <c r="L22" s="25">
        <v>0</v>
      </c>
      <c r="M22" s="25">
        <v>0</v>
      </c>
      <c r="N22" s="25">
        <f t="shared" si="0"/>
        <v>0</v>
      </c>
      <c r="O22" s="25">
        <v>362464</v>
      </c>
      <c r="P22" s="25"/>
      <c r="Q22" s="25">
        <f t="shared" si="1"/>
        <v>362464</v>
      </c>
    </row>
    <row r="23" spans="1:17" ht="15" customHeight="1">
      <c r="A23" s="24" t="s">
        <v>970</v>
      </c>
      <c r="B23" s="25">
        <v>0</v>
      </c>
      <c r="C23" s="25">
        <v>0</v>
      </c>
      <c r="D23" s="25">
        <v>0</v>
      </c>
      <c r="E23" s="25">
        <v>0</v>
      </c>
      <c r="F23" s="25">
        <v>0</v>
      </c>
      <c r="G23" s="25">
        <v>0</v>
      </c>
      <c r="H23" s="25">
        <v>0</v>
      </c>
      <c r="I23" s="25">
        <v>0</v>
      </c>
      <c r="J23" s="25">
        <v>0</v>
      </c>
      <c r="K23" s="25">
        <v>0</v>
      </c>
      <c r="L23" s="25">
        <v>0</v>
      </c>
      <c r="M23" s="25">
        <v>0</v>
      </c>
      <c r="N23" s="25">
        <f t="shared" si="0"/>
        <v>0</v>
      </c>
      <c r="O23" s="25">
        <v>159711</v>
      </c>
      <c r="P23" s="25"/>
      <c r="Q23" s="25">
        <f t="shared" si="1"/>
        <v>159711</v>
      </c>
    </row>
    <row r="24" spans="1:17" ht="15" customHeight="1">
      <c r="A24" s="24" t="s">
        <v>465</v>
      </c>
      <c r="B24" s="25">
        <v>0</v>
      </c>
      <c r="C24" s="25">
        <v>0</v>
      </c>
      <c r="D24" s="25">
        <v>0</v>
      </c>
      <c r="E24" s="25">
        <v>0</v>
      </c>
      <c r="F24" s="25">
        <v>0</v>
      </c>
      <c r="G24" s="25">
        <v>0</v>
      </c>
      <c r="H24" s="25">
        <v>0</v>
      </c>
      <c r="I24" s="25">
        <v>0</v>
      </c>
      <c r="J24" s="25">
        <v>0</v>
      </c>
      <c r="K24" s="25">
        <v>0</v>
      </c>
      <c r="L24" s="25">
        <v>0</v>
      </c>
      <c r="M24" s="25">
        <v>0</v>
      </c>
      <c r="N24" s="25">
        <f t="shared" si="0"/>
        <v>0</v>
      </c>
      <c r="O24" s="25">
        <v>580830</v>
      </c>
      <c r="P24" s="25"/>
      <c r="Q24" s="25">
        <f t="shared" si="1"/>
        <v>580830</v>
      </c>
    </row>
    <row r="25" spans="1:17" ht="15" customHeight="1">
      <c r="A25" s="24" t="s">
        <v>466</v>
      </c>
      <c r="B25" s="25">
        <v>0</v>
      </c>
      <c r="C25" s="25">
        <v>0</v>
      </c>
      <c r="D25" s="25">
        <v>0</v>
      </c>
      <c r="E25" s="25">
        <v>0</v>
      </c>
      <c r="F25" s="25">
        <v>0</v>
      </c>
      <c r="G25" s="25">
        <v>0</v>
      </c>
      <c r="H25" s="25">
        <v>0</v>
      </c>
      <c r="I25" s="25">
        <v>0</v>
      </c>
      <c r="J25" s="25">
        <v>0</v>
      </c>
      <c r="K25" s="25">
        <v>0</v>
      </c>
      <c r="L25" s="25">
        <v>0</v>
      </c>
      <c r="M25" s="25">
        <v>0</v>
      </c>
      <c r="N25" s="25">
        <f t="shared" si="0"/>
        <v>0</v>
      </c>
      <c r="O25" s="25">
        <v>443461</v>
      </c>
      <c r="P25" s="25"/>
      <c r="Q25" s="25">
        <f t="shared" si="1"/>
        <v>443461</v>
      </c>
    </row>
    <row r="26" spans="1:17" ht="15" customHeight="1">
      <c r="A26" s="24" t="s">
        <v>545</v>
      </c>
      <c r="B26" s="25">
        <v>0</v>
      </c>
      <c r="C26" s="25">
        <v>0</v>
      </c>
      <c r="D26" s="25">
        <v>0</v>
      </c>
      <c r="E26" s="25">
        <v>0</v>
      </c>
      <c r="F26" s="25">
        <v>0</v>
      </c>
      <c r="G26" s="25">
        <v>0</v>
      </c>
      <c r="H26" s="25">
        <v>0</v>
      </c>
      <c r="I26" s="25">
        <v>0</v>
      </c>
      <c r="J26" s="25">
        <v>0</v>
      </c>
      <c r="K26" s="25">
        <v>0</v>
      </c>
      <c r="L26" s="25">
        <v>0</v>
      </c>
      <c r="M26" s="25">
        <v>0</v>
      </c>
      <c r="N26" s="25">
        <f t="shared" si="0"/>
        <v>0</v>
      </c>
      <c r="O26" s="25">
        <v>0</v>
      </c>
      <c r="P26" s="25"/>
      <c r="Q26" s="25">
        <f t="shared" si="1"/>
        <v>0</v>
      </c>
    </row>
    <row r="27" spans="1:17" ht="15" customHeight="1">
      <c r="A27" s="24" t="s">
        <v>467</v>
      </c>
      <c r="B27" s="25">
        <v>0</v>
      </c>
      <c r="C27" s="25">
        <v>0</v>
      </c>
      <c r="D27" s="25">
        <v>0</v>
      </c>
      <c r="E27" s="25">
        <v>0</v>
      </c>
      <c r="F27" s="25">
        <v>0</v>
      </c>
      <c r="G27" s="25">
        <v>0</v>
      </c>
      <c r="H27" s="25">
        <v>0</v>
      </c>
      <c r="I27" s="25">
        <v>0</v>
      </c>
      <c r="J27" s="25">
        <v>0</v>
      </c>
      <c r="K27" s="25">
        <v>0</v>
      </c>
      <c r="L27" s="25">
        <v>0</v>
      </c>
      <c r="M27" s="25">
        <v>0</v>
      </c>
      <c r="N27" s="25">
        <f t="shared" si="0"/>
        <v>0</v>
      </c>
      <c r="O27" s="25">
        <v>78985</v>
      </c>
      <c r="P27" s="25"/>
      <c r="Q27" s="25">
        <f t="shared" si="1"/>
        <v>78985</v>
      </c>
    </row>
    <row r="28" spans="1:17" ht="15" customHeight="1">
      <c r="A28" s="24" t="s">
        <v>546</v>
      </c>
      <c r="B28" s="25">
        <v>0</v>
      </c>
      <c r="C28" s="25">
        <v>0</v>
      </c>
      <c r="D28" s="25">
        <v>0</v>
      </c>
      <c r="E28" s="25">
        <v>0</v>
      </c>
      <c r="F28" s="25">
        <v>0</v>
      </c>
      <c r="G28" s="25">
        <v>0</v>
      </c>
      <c r="H28" s="25">
        <v>0</v>
      </c>
      <c r="I28" s="25">
        <v>0</v>
      </c>
      <c r="J28" s="25">
        <v>0</v>
      </c>
      <c r="K28" s="25">
        <v>0</v>
      </c>
      <c r="L28" s="25">
        <v>0</v>
      </c>
      <c r="M28" s="25">
        <v>0</v>
      </c>
      <c r="N28" s="25">
        <f t="shared" si="0"/>
        <v>0</v>
      </c>
      <c r="O28" s="25">
        <v>0</v>
      </c>
      <c r="P28" s="25"/>
      <c r="Q28" s="25">
        <f t="shared" si="1"/>
        <v>0</v>
      </c>
    </row>
    <row r="29" spans="1:17" ht="15" customHeight="1">
      <c r="A29" s="24" t="s">
        <v>468</v>
      </c>
      <c r="B29" s="25">
        <v>0</v>
      </c>
      <c r="C29" s="25">
        <v>0</v>
      </c>
      <c r="D29" s="25">
        <v>0</v>
      </c>
      <c r="E29" s="25">
        <v>0</v>
      </c>
      <c r="F29" s="25">
        <v>0</v>
      </c>
      <c r="G29" s="25">
        <v>0</v>
      </c>
      <c r="H29" s="25">
        <v>0</v>
      </c>
      <c r="I29" s="25">
        <v>0</v>
      </c>
      <c r="J29" s="25">
        <v>0</v>
      </c>
      <c r="K29" s="25">
        <v>0</v>
      </c>
      <c r="L29" s="25">
        <v>0</v>
      </c>
      <c r="M29" s="25">
        <v>0</v>
      </c>
      <c r="N29" s="25">
        <f t="shared" si="0"/>
        <v>0</v>
      </c>
      <c r="O29" s="25">
        <v>76564</v>
      </c>
      <c r="P29" s="25"/>
      <c r="Q29" s="25">
        <f t="shared" si="1"/>
        <v>76564</v>
      </c>
    </row>
    <row r="30" spans="1:17" ht="15" customHeight="1">
      <c r="A30" s="24" t="s">
        <v>469</v>
      </c>
      <c r="B30" s="25">
        <v>0</v>
      </c>
      <c r="C30" s="25">
        <v>0</v>
      </c>
      <c r="D30" s="25">
        <v>0</v>
      </c>
      <c r="E30" s="25">
        <v>0</v>
      </c>
      <c r="F30" s="25">
        <v>0</v>
      </c>
      <c r="G30" s="25">
        <v>0</v>
      </c>
      <c r="H30" s="25">
        <v>0</v>
      </c>
      <c r="I30" s="25">
        <v>0</v>
      </c>
      <c r="J30" s="25">
        <v>0</v>
      </c>
      <c r="K30" s="25">
        <v>0</v>
      </c>
      <c r="L30" s="25">
        <v>0</v>
      </c>
      <c r="M30" s="25">
        <v>0</v>
      </c>
      <c r="N30" s="25">
        <f t="shared" si="0"/>
        <v>0</v>
      </c>
      <c r="O30" s="25">
        <v>0</v>
      </c>
      <c r="P30" s="25"/>
      <c r="Q30" s="25">
        <f t="shared" si="1"/>
        <v>0</v>
      </c>
    </row>
    <row r="31" spans="1:17" ht="15" customHeight="1">
      <c r="A31" s="24" t="s">
        <v>470</v>
      </c>
      <c r="B31" s="25">
        <v>0</v>
      </c>
      <c r="C31" s="25">
        <v>0</v>
      </c>
      <c r="D31" s="25">
        <v>0</v>
      </c>
      <c r="E31" s="25">
        <v>0</v>
      </c>
      <c r="F31" s="25">
        <v>0</v>
      </c>
      <c r="G31" s="25">
        <v>0</v>
      </c>
      <c r="H31" s="25">
        <v>0</v>
      </c>
      <c r="I31" s="25">
        <v>0</v>
      </c>
      <c r="J31" s="25">
        <v>0</v>
      </c>
      <c r="K31" s="25">
        <v>0</v>
      </c>
      <c r="L31" s="25">
        <v>0</v>
      </c>
      <c r="M31" s="25">
        <v>0</v>
      </c>
      <c r="N31" s="25">
        <f t="shared" si="0"/>
        <v>0</v>
      </c>
      <c r="O31" s="25">
        <v>2628</v>
      </c>
      <c r="P31" s="25"/>
      <c r="Q31" s="25">
        <f t="shared" si="1"/>
        <v>2628</v>
      </c>
    </row>
    <row r="32" spans="1:17" ht="15" customHeight="1">
      <c r="A32" s="24" t="s">
        <v>471</v>
      </c>
      <c r="B32" s="25">
        <v>0</v>
      </c>
      <c r="C32" s="25">
        <v>0</v>
      </c>
      <c r="D32" s="25">
        <v>0</v>
      </c>
      <c r="E32" s="25">
        <v>0</v>
      </c>
      <c r="F32" s="25">
        <v>0</v>
      </c>
      <c r="G32" s="25">
        <v>0</v>
      </c>
      <c r="H32" s="25">
        <v>0</v>
      </c>
      <c r="I32" s="25">
        <v>0</v>
      </c>
      <c r="J32" s="25">
        <v>0</v>
      </c>
      <c r="K32" s="25">
        <v>0</v>
      </c>
      <c r="L32" s="25">
        <v>0</v>
      </c>
      <c r="M32" s="25">
        <v>0</v>
      </c>
      <c r="N32" s="25">
        <f t="shared" si="0"/>
        <v>0</v>
      </c>
      <c r="O32" s="25">
        <v>309975</v>
      </c>
      <c r="P32" s="25"/>
      <c r="Q32" s="25">
        <f t="shared" si="1"/>
        <v>309975</v>
      </c>
    </row>
    <row r="33" spans="1:17" ht="15" customHeight="1">
      <c r="A33" s="24" t="s">
        <v>472</v>
      </c>
      <c r="B33" s="25">
        <v>0</v>
      </c>
      <c r="C33" s="25">
        <v>0</v>
      </c>
      <c r="D33" s="25">
        <v>0</v>
      </c>
      <c r="E33" s="25">
        <v>0</v>
      </c>
      <c r="F33" s="25">
        <v>0</v>
      </c>
      <c r="G33" s="25">
        <v>0</v>
      </c>
      <c r="H33" s="25">
        <v>0</v>
      </c>
      <c r="I33" s="25">
        <v>0</v>
      </c>
      <c r="J33" s="25">
        <v>0</v>
      </c>
      <c r="K33" s="25">
        <v>0</v>
      </c>
      <c r="L33" s="25">
        <v>0</v>
      </c>
      <c r="M33" s="25">
        <v>0</v>
      </c>
      <c r="N33" s="25">
        <f t="shared" si="0"/>
        <v>0</v>
      </c>
      <c r="O33" s="25">
        <v>0</v>
      </c>
      <c r="P33" s="25"/>
      <c r="Q33" s="25">
        <f t="shared" si="1"/>
        <v>0</v>
      </c>
    </row>
    <row r="34" spans="1:17" ht="15" customHeight="1">
      <c r="A34" s="24" t="s">
        <v>496</v>
      </c>
      <c r="B34" s="25">
        <v>0</v>
      </c>
      <c r="C34" s="25">
        <v>0</v>
      </c>
      <c r="D34" s="25">
        <v>0</v>
      </c>
      <c r="E34" s="25">
        <v>0</v>
      </c>
      <c r="F34" s="25">
        <v>0</v>
      </c>
      <c r="G34" s="25">
        <v>0</v>
      </c>
      <c r="H34" s="25">
        <v>0</v>
      </c>
      <c r="I34" s="25">
        <v>0</v>
      </c>
      <c r="J34" s="25">
        <v>0</v>
      </c>
      <c r="K34" s="25">
        <v>0</v>
      </c>
      <c r="L34" s="25">
        <v>0</v>
      </c>
      <c r="M34" s="25">
        <v>0</v>
      </c>
      <c r="N34" s="25">
        <f t="shared" si="0"/>
        <v>0</v>
      </c>
      <c r="O34" s="25">
        <v>514860</v>
      </c>
      <c r="P34" s="25"/>
      <c r="Q34" s="25">
        <f t="shared" si="1"/>
        <v>514860</v>
      </c>
    </row>
    <row r="35" spans="1:17" ht="15" customHeight="1">
      <c r="A35" s="24" t="s">
        <v>474</v>
      </c>
      <c r="B35" s="25">
        <v>0</v>
      </c>
      <c r="C35" s="25">
        <v>0</v>
      </c>
      <c r="D35" s="25">
        <v>0</v>
      </c>
      <c r="E35" s="25">
        <v>0</v>
      </c>
      <c r="F35" s="25">
        <v>0</v>
      </c>
      <c r="G35" s="25">
        <v>0</v>
      </c>
      <c r="H35" s="25">
        <v>0</v>
      </c>
      <c r="I35" s="25">
        <v>0</v>
      </c>
      <c r="J35" s="25">
        <v>0</v>
      </c>
      <c r="K35" s="25">
        <v>0</v>
      </c>
      <c r="L35" s="25">
        <v>0</v>
      </c>
      <c r="M35" s="25">
        <v>0</v>
      </c>
      <c r="N35" s="25">
        <f t="shared" si="0"/>
        <v>0</v>
      </c>
      <c r="O35" s="25">
        <v>183384</v>
      </c>
      <c r="P35" s="25"/>
      <c r="Q35" s="25">
        <f t="shared" si="1"/>
        <v>183384</v>
      </c>
    </row>
    <row r="36" spans="1:17" ht="15" customHeight="1">
      <c r="A36" s="24" t="s">
        <v>475</v>
      </c>
      <c r="B36" s="25">
        <v>0</v>
      </c>
      <c r="C36" s="25">
        <v>0</v>
      </c>
      <c r="D36" s="25">
        <v>0</v>
      </c>
      <c r="E36" s="25">
        <v>0</v>
      </c>
      <c r="F36" s="25">
        <v>0</v>
      </c>
      <c r="G36" s="25">
        <v>0</v>
      </c>
      <c r="H36" s="25">
        <v>0</v>
      </c>
      <c r="I36" s="25">
        <v>0</v>
      </c>
      <c r="J36" s="25">
        <v>0</v>
      </c>
      <c r="K36" s="25">
        <v>0</v>
      </c>
      <c r="L36" s="25">
        <v>0</v>
      </c>
      <c r="M36" s="25">
        <v>0</v>
      </c>
      <c r="N36" s="25">
        <f t="shared" si="0"/>
        <v>0</v>
      </c>
      <c r="O36" s="25">
        <v>0</v>
      </c>
      <c r="P36" s="25"/>
      <c r="Q36" s="25">
        <f t="shared" si="1"/>
        <v>0</v>
      </c>
    </row>
    <row r="37" spans="1:17" ht="15" customHeight="1">
      <c r="A37" s="24" t="s">
        <v>476</v>
      </c>
      <c r="B37" s="25">
        <v>0</v>
      </c>
      <c r="C37" s="25">
        <v>0</v>
      </c>
      <c r="D37" s="25">
        <v>0</v>
      </c>
      <c r="E37" s="25">
        <v>0</v>
      </c>
      <c r="F37" s="25">
        <v>0</v>
      </c>
      <c r="G37" s="25">
        <v>0</v>
      </c>
      <c r="H37" s="25">
        <v>0</v>
      </c>
      <c r="I37" s="25">
        <v>0</v>
      </c>
      <c r="J37" s="25">
        <v>0</v>
      </c>
      <c r="K37" s="25">
        <v>0</v>
      </c>
      <c r="L37" s="25">
        <v>0</v>
      </c>
      <c r="M37" s="25">
        <v>0</v>
      </c>
      <c r="N37" s="25">
        <f t="shared" si="0"/>
        <v>0</v>
      </c>
      <c r="O37" s="25">
        <v>0</v>
      </c>
      <c r="P37" s="25"/>
      <c r="Q37" s="25">
        <f t="shared" si="1"/>
        <v>0</v>
      </c>
    </row>
    <row r="38" spans="1:17" ht="15" customHeight="1">
      <c r="A38" s="24" t="s">
        <v>477</v>
      </c>
      <c r="B38" s="25">
        <v>0</v>
      </c>
      <c r="C38" s="25">
        <v>0</v>
      </c>
      <c r="D38" s="25">
        <v>0</v>
      </c>
      <c r="E38" s="25">
        <v>0</v>
      </c>
      <c r="F38" s="25">
        <v>0</v>
      </c>
      <c r="G38" s="25">
        <v>0</v>
      </c>
      <c r="H38" s="25">
        <v>0</v>
      </c>
      <c r="I38" s="25">
        <v>0</v>
      </c>
      <c r="J38" s="25">
        <v>0</v>
      </c>
      <c r="K38" s="25">
        <v>0</v>
      </c>
      <c r="L38" s="25">
        <v>0</v>
      </c>
      <c r="M38" s="25">
        <v>0</v>
      </c>
      <c r="N38" s="25">
        <f t="shared" si="0"/>
        <v>0</v>
      </c>
      <c r="O38" s="25">
        <v>0</v>
      </c>
      <c r="P38" s="25"/>
      <c r="Q38" s="25">
        <f t="shared" si="1"/>
        <v>0</v>
      </c>
    </row>
    <row r="39" spans="1:17" ht="15" customHeight="1">
      <c r="A39" s="24" t="s">
        <v>478</v>
      </c>
      <c r="B39" s="25">
        <v>0</v>
      </c>
      <c r="C39" s="25">
        <v>0</v>
      </c>
      <c r="D39" s="25">
        <v>0</v>
      </c>
      <c r="E39" s="25">
        <v>0</v>
      </c>
      <c r="F39" s="25">
        <v>0</v>
      </c>
      <c r="G39" s="25">
        <v>0</v>
      </c>
      <c r="H39" s="25">
        <v>0</v>
      </c>
      <c r="I39" s="25">
        <v>0</v>
      </c>
      <c r="J39" s="25">
        <v>0</v>
      </c>
      <c r="K39" s="25">
        <v>0</v>
      </c>
      <c r="L39" s="25">
        <v>0</v>
      </c>
      <c r="M39" s="25">
        <v>0</v>
      </c>
      <c r="N39" s="25">
        <f t="shared" si="0"/>
        <v>0</v>
      </c>
      <c r="O39" s="25">
        <v>0</v>
      </c>
      <c r="P39" s="25"/>
      <c r="Q39" s="25">
        <f t="shared" si="1"/>
        <v>0</v>
      </c>
    </row>
    <row r="40" spans="1:17" ht="15" customHeight="1">
      <c r="A40" s="24" t="s">
        <v>971</v>
      </c>
      <c r="B40" s="25">
        <v>0</v>
      </c>
      <c r="C40" s="25">
        <v>0</v>
      </c>
      <c r="D40" s="25">
        <v>0</v>
      </c>
      <c r="E40" s="25">
        <v>0</v>
      </c>
      <c r="F40" s="25">
        <v>0</v>
      </c>
      <c r="G40" s="25">
        <v>0</v>
      </c>
      <c r="H40" s="25">
        <v>0</v>
      </c>
      <c r="I40" s="25">
        <v>0</v>
      </c>
      <c r="J40" s="25">
        <v>0</v>
      </c>
      <c r="K40" s="25">
        <v>0</v>
      </c>
      <c r="L40" s="25">
        <v>0</v>
      </c>
      <c r="M40" s="25">
        <v>0</v>
      </c>
      <c r="N40" s="25">
        <f t="shared" si="0"/>
        <v>0</v>
      </c>
      <c r="O40" s="25">
        <v>36420</v>
      </c>
      <c r="P40" s="25"/>
      <c r="Q40" s="25">
        <f t="shared" si="1"/>
        <v>36420</v>
      </c>
    </row>
    <row r="41" spans="1:17" ht="15" customHeight="1">
      <c r="A41" s="24" t="s">
        <v>972</v>
      </c>
      <c r="B41" s="25">
        <v>0</v>
      </c>
      <c r="C41" s="25">
        <v>0</v>
      </c>
      <c r="D41" s="25">
        <v>0</v>
      </c>
      <c r="E41" s="25">
        <v>0</v>
      </c>
      <c r="F41" s="25">
        <v>0</v>
      </c>
      <c r="G41" s="25">
        <v>0</v>
      </c>
      <c r="H41" s="25">
        <v>0</v>
      </c>
      <c r="I41" s="25">
        <v>0</v>
      </c>
      <c r="J41" s="25">
        <v>0</v>
      </c>
      <c r="K41" s="25">
        <v>0</v>
      </c>
      <c r="L41" s="25">
        <v>0</v>
      </c>
      <c r="M41" s="25">
        <v>0</v>
      </c>
      <c r="N41" s="25">
        <f t="shared" si="0"/>
        <v>0</v>
      </c>
      <c r="O41" s="25">
        <v>209111</v>
      </c>
      <c r="P41" s="25">
        <v>17236</v>
      </c>
      <c r="Q41" s="25">
        <f t="shared" si="1"/>
        <v>226347</v>
      </c>
    </row>
    <row r="42" spans="1:17" ht="15" customHeight="1">
      <c r="A42" s="24" t="s">
        <v>973</v>
      </c>
      <c r="B42" s="25">
        <v>0</v>
      </c>
      <c r="C42" s="25">
        <v>0</v>
      </c>
      <c r="D42" s="25">
        <v>0</v>
      </c>
      <c r="E42" s="25">
        <v>0</v>
      </c>
      <c r="F42" s="25">
        <v>0</v>
      </c>
      <c r="G42" s="25">
        <v>0</v>
      </c>
      <c r="H42" s="25">
        <v>0</v>
      </c>
      <c r="I42" s="25">
        <v>0</v>
      </c>
      <c r="J42" s="25">
        <v>0</v>
      </c>
      <c r="K42" s="25">
        <v>0</v>
      </c>
      <c r="L42" s="25">
        <v>0</v>
      </c>
      <c r="M42" s="25">
        <v>0</v>
      </c>
      <c r="N42" s="25">
        <f t="shared" si="0"/>
        <v>0</v>
      </c>
      <c r="O42" s="25">
        <v>358958</v>
      </c>
      <c r="P42" s="25"/>
      <c r="Q42" s="25">
        <f t="shared" si="1"/>
        <v>358958</v>
      </c>
    </row>
    <row r="43" spans="1:17" ht="15" customHeight="1">
      <c r="A43" s="24" t="s">
        <v>207</v>
      </c>
      <c r="B43" s="25">
        <f>+'IS PBC (Disposal)'!H8</f>
        <v>156703</v>
      </c>
      <c r="C43" s="25">
        <f>+'IS PBC (Disposal)'!I8</f>
        <v>402960.73</v>
      </c>
      <c r="D43" s="25">
        <f>+'IS PBC (Disposal)'!J8</f>
        <v>311024.03000000003</v>
      </c>
      <c r="E43" s="25">
        <f>+'IS PBC (Disposal)'!K8</f>
        <v>301523.52</v>
      </c>
      <c r="F43" s="25">
        <f>+'IS PBC (Disposal)'!L8</f>
        <v>259661.32</v>
      </c>
      <c r="G43" s="25">
        <f>+'IS PBC (Disposal)'!M8</f>
        <v>317428.96000000002</v>
      </c>
      <c r="H43" s="25">
        <f>+'IS PBC (Disposal)'!N8</f>
        <v>291680.06</v>
      </c>
      <c r="I43" s="25">
        <f>+'IS PBC (Disposal)'!O8</f>
        <v>225240.97</v>
      </c>
      <c r="J43" s="25">
        <f>+'IS PBC (Disposal)'!P8</f>
        <v>429697.73</v>
      </c>
      <c r="K43" s="25">
        <f>+'IS PBC (Disposal)'!Q8</f>
        <v>341653.02</v>
      </c>
      <c r="L43" s="25">
        <f>+'IS PBC (Disposal)'!R8</f>
        <v>241608.98</v>
      </c>
      <c r="M43" s="25">
        <f>+'IS PBC (Disposal)'!S8</f>
        <v>407290.02</v>
      </c>
      <c r="N43" s="25">
        <f t="shared" si="0"/>
        <v>3686472.3400000003</v>
      </c>
      <c r="O43" s="25">
        <f>-N43</f>
        <v>-3686472.3400000003</v>
      </c>
      <c r="P43" s="25"/>
      <c r="Q43" s="25">
        <f t="shared" si="1"/>
        <v>0</v>
      </c>
    </row>
    <row r="44" spans="1:17" ht="15" customHeight="1">
      <c r="A44" s="24" t="s">
        <v>208</v>
      </c>
      <c r="B44" s="25">
        <f>+'IS PBC (Disposal)'!H10</f>
        <v>0</v>
      </c>
      <c r="C44" s="25">
        <f>+'IS PBC (Disposal)'!I10</f>
        <v>0</v>
      </c>
      <c r="D44" s="25">
        <f>+'IS PBC (Disposal)'!J10</f>
        <v>0</v>
      </c>
      <c r="E44" s="25">
        <f>+'IS PBC (Disposal)'!K10</f>
        <v>0</v>
      </c>
      <c r="F44" s="25">
        <f>+'IS PBC (Disposal)'!L10</f>
        <v>-5406.49</v>
      </c>
      <c r="G44" s="25">
        <f>+'IS PBC (Disposal)'!M10</f>
        <v>0</v>
      </c>
      <c r="H44" s="25">
        <f>+'IS PBC (Disposal)'!N10</f>
        <v>5406.49</v>
      </c>
      <c r="I44" s="25">
        <f>+'IS PBC (Disposal)'!O10</f>
        <v>0</v>
      </c>
      <c r="J44" s="25">
        <f>+'IS PBC (Disposal)'!P10</f>
        <v>0</v>
      </c>
      <c r="K44" s="25">
        <f>+'IS PBC (Disposal)'!Q10</f>
        <v>0</v>
      </c>
      <c r="L44" s="25">
        <f>+'IS PBC (Disposal)'!R10</f>
        <v>0</v>
      </c>
      <c r="M44" s="25">
        <f>+'IS PBC (Disposal)'!S10</f>
        <v>0</v>
      </c>
      <c r="N44" s="25">
        <f t="shared" si="0"/>
        <v>0</v>
      </c>
      <c r="O44" s="25">
        <f t="shared" ref="O44:O59" si="2">-N44</f>
        <v>0</v>
      </c>
      <c r="P44" s="25"/>
      <c r="Q44" s="25">
        <f t="shared" si="1"/>
        <v>0</v>
      </c>
    </row>
    <row r="45" spans="1:17" ht="15" customHeight="1">
      <c r="A45" s="24" t="s">
        <v>209</v>
      </c>
      <c r="B45" s="25">
        <f>+'IS PBC (Disposal)'!H11</f>
        <v>0</v>
      </c>
      <c r="C45" s="25">
        <f>+'IS PBC (Disposal)'!I11</f>
        <v>0</v>
      </c>
      <c r="D45" s="25">
        <f>+'IS PBC (Disposal)'!J11</f>
        <v>0</v>
      </c>
      <c r="E45" s="25">
        <f>+'IS PBC (Disposal)'!K11</f>
        <v>0</v>
      </c>
      <c r="F45" s="25">
        <f>+'IS PBC (Disposal)'!L11</f>
        <v>0</v>
      </c>
      <c r="G45" s="25">
        <f>+'IS PBC (Disposal)'!M11</f>
        <v>0</v>
      </c>
      <c r="H45" s="25">
        <f>+'IS PBC (Disposal)'!N11</f>
        <v>0</v>
      </c>
      <c r="I45" s="25">
        <f>+'IS PBC (Disposal)'!O11</f>
        <v>0</v>
      </c>
      <c r="J45" s="25">
        <f>+'IS PBC (Disposal)'!P11</f>
        <v>0</v>
      </c>
      <c r="K45" s="25">
        <f>+'IS PBC (Disposal)'!Q11</f>
        <v>0</v>
      </c>
      <c r="L45" s="25">
        <f>+'IS PBC (Disposal)'!R11</f>
        <v>0</v>
      </c>
      <c r="M45" s="25">
        <f>+'IS PBC (Disposal)'!S11</f>
        <v>0</v>
      </c>
      <c r="N45" s="25">
        <f t="shared" si="0"/>
        <v>0</v>
      </c>
      <c r="O45" s="25">
        <f t="shared" si="2"/>
        <v>0</v>
      </c>
      <c r="P45" s="25"/>
      <c r="Q45" s="25">
        <f t="shared" si="1"/>
        <v>0</v>
      </c>
    </row>
    <row r="46" spans="1:17" ht="15" customHeight="1">
      <c r="A46" s="24" t="s">
        <v>210</v>
      </c>
      <c r="B46" s="25">
        <f>+'IS PBC (Disposal)'!H12</f>
        <v>0</v>
      </c>
      <c r="C46" s="25">
        <f>+'IS PBC (Disposal)'!I12</f>
        <v>0</v>
      </c>
      <c r="D46" s="25">
        <f>+'IS PBC (Disposal)'!J12</f>
        <v>0</v>
      </c>
      <c r="E46" s="25">
        <f>+'IS PBC (Disposal)'!K12</f>
        <v>0</v>
      </c>
      <c r="F46" s="25">
        <f>+'IS PBC (Disposal)'!L12</f>
        <v>0</v>
      </c>
      <c r="G46" s="25">
        <f>+'IS PBC (Disposal)'!M12</f>
        <v>0</v>
      </c>
      <c r="H46" s="25">
        <f>+'IS PBC (Disposal)'!N12</f>
        <v>0</v>
      </c>
      <c r="I46" s="25">
        <f>+'IS PBC (Disposal)'!O12</f>
        <v>0</v>
      </c>
      <c r="J46" s="25">
        <f>+'IS PBC (Disposal)'!P12</f>
        <v>0</v>
      </c>
      <c r="K46" s="25">
        <f>+'IS PBC (Disposal)'!Q12</f>
        <v>0</v>
      </c>
      <c r="L46" s="25">
        <f>+'IS PBC (Disposal)'!R12</f>
        <v>0</v>
      </c>
      <c r="M46" s="25">
        <f>+'IS PBC (Disposal)'!S12</f>
        <v>0</v>
      </c>
      <c r="N46" s="25">
        <f t="shared" si="0"/>
        <v>0</v>
      </c>
      <c r="O46" s="25">
        <f t="shared" si="2"/>
        <v>0</v>
      </c>
      <c r="P46" s="25"/>
      <c r="Q46" s="25">
        <f t="shared" si="1"/>
        <v>0</v>
      </c>
    </row>
    <row r="47" spans="1:17" ht="15" customHeight="1">
      <c r="A47" s="24" t="s">
        <v>211</v>
      </c>
      <c r="B47" s="25">
        <f>+'IS PBC (Disposal)'!H13</f>
        <v>0</v>
      </c>
      <c r="C47" s="25">
        <f>+'IS PBC (Disposal)'!I13</f>
        <v>0</v>
      </c>
      <c r="D47" s="25">
        <f>+'IS PBC (Disposal)'!J13</f>
        <v>0</v>
      </c>
      <c r="E47" s="25">
        <f>+'IS PBC (Disposal)'!K13</f>
        <v>0</v>
      </c>
      <c r="F47" s="25">
        <f>+'IS PBC (Disposal)'!L13</f>
        <v>0</v>
      </c>
      <c r="G47" s="25">
        <f>+'IS PBC (Disposal)'!M13</f>
        <v>0</v>
      </c>
      <c r="H47" s="25">
        <f>+'IS PBC (Disposal)'!N13</f>
        <v>0</v>
      </c>
      <c r="I47" s="25">
        <f>+'IS PBC (Disposal)'!O13</f>
        <v>0</v>
      </c>
      <c r="J47" s="25">
        <f>+'IS PBC (Disposal)'!P13</f>
        <v>0</v>
      </c>
      <c r="K47" s="25">
        <f>+'IS PBC (Disposal)'!Q13</f>
        <v>0</v>
      </c>
      <c r="L47" s="25">
        <f>+'IS PBC (Disposal)'!R13</f>
        <v>0</v>
      </c>
      <c r="M47" s="25">
        <f>+'IS PBC (Disposal)'!S13</f>
        <v>0</v>
      </c>
      <c r="N47" s="25">
        <f t="shared" si="0"/>
        <v>0</v>
      </c>
      <c r="O47" s="25">
        <f t="shared" si="2"/>
        <v>0</v>
      </c>
      <c r="P47" s="25"/>
      <c r="Q47" s="25">
        <f t="shared" si="1"/>
        <v>0</v>
      </c>
    </row>
    <row r="48" spans="1:17" ht="15" customHeight="1">
      <c r="A48" s="24" t="s">
        <v>212</v>
      </c>
      <c r="B48" s="25">
        <f>+'IS PBC (Disposal)'!H14</f>
        <v>15590</v>
      </c>
      <c r="C48" s="25">
        <f>+'IS PBC (Disposal)'!I14</f>
        <v>15845</v>
      </c>
      <c r="D48" s="25">
        <f>+'IS PBC (Disposal)'!J14</f>
        <v>17458</v>
      </c>
      <c r="E48" s="25">
        <f>+'IS PBC (Disposal)'!K14</f>
        <v>17560</v>
      </c>
      <c r="F48" s="25">
        <f>+'IS PBC (Disposal)'!L14</f>
        <v>17576</v>
      </c>
      <c r="G48" s="25">
        <f>+'IS PBC (Disposal)'!M14</f>
        <v>17880</v>
      </c>
      <c r="H48" s="25">
        <f>+'IS PBC (Disposal)'!N14</f>
        <v>17745</v>
      </c>
      <c r="I48" s="25">
        <f>+'IS PBC (Disposal)'!O14</f>
        <v>18555</v>
      </c>
      <c r="J48" s="25">
        <f>+'IS PBC (Disposal)'!P14</f>
        <v>18187</v>
      </c>
      <c r="K48" s="25">
        <f>+'IS PBC (Disposal)'!Q14</f>
        <v>18125</v>
      </c>
      <c r="L48" s="25">
        <f>+'IS PBC (Disposal)'!R14</f>
        <v>18170</v>
      </c>
      <c r="M48" s="25">
        <f>+'IS PBC (Disposal)'!S14</f>
        <v>16420</v>
      </c>
      <c r="N48" s="25">
        <f t="shared" si="0"/>
        <v>209111</v>
      </c>
      <c r="O48" s="25">
        <f t="shared" si="2"/>
        <v>-209111</v>
      </c>
      <c r="P48" s="25"/>
      <c r="Q48" s="25">
        <f t="shared" si="1"/>
        <v>0</v>
      </c>
    </row>
    <row r="49" spans="1:17" ht="15" customHeight="1">
      <c r="A49" s="24" t="s">
        <v>213</v>
      </c>
      <c r="B49" s="25">
        <f>+'IS PBC (Disposal)'!H15</f>
        <v>41200</v>
      </c>
      <c r="C49" s="25">
        <f>+'IS PBC (Disposal)'!I15</f>
        <v>40500</v>
      </c>
      <c r="D49" s="25">
        <f>+'IS PBC (Disposal)'!J15</f>
        <v>41650</v>
      </c>
      <c r="E49" s="25">
        <f>+'IS PBC (Disposal)'!K15</f>
        <v>42150</v>
      </c>
      <c r="F49" s="25">
        <f>+'IS PBC (Disposal)'!L15</f>
        <v>42010</v>
      </c>
      <c r="G49" s="25">
        <f>+'IS PBC (Disposal)'!M15</f>
        <v>43600</v>
      </c>
      <c r="H49" s="25">
        <f>+'IS PBC (Disposal)'!N15</f>
        <v>44600</v>
      </c>
      <c r="I49" s="25">
        <f>+'IS PBC (Disposal)'!O15</f>
        <v>44050</v>
      </c>
      <c r="J49" s="25">
        <f>+'IS PBC (Disposal)'!P15</f>
        <v>44500</v>
      </c>
      <c r="K49" s="25">
        <f>+'IS PBC (Disposal)'!Q15</f>
        <v>44200</v>
      </c>
      <c r="L49" s="25">
        <f>+'IS PBC (Disposal)'!R15</f>
        <v>42900</v>
      </c>
      <c r="M49" s="25">
        <f>+'IS PBC (Disposal)'!S15</f>
        <v>43500</v>
      </c>
      <c r="N49" s="25">
        <f t="shared" si="0"/>
        <v>514860</v>
      </c>
      <c r="O49" s="25">
        <f t="shared" si="2"/>
        <v>-514860</v>
      </c>
      <c r="P49" s="25"/>
      <c r="Q49" s="25">
        <f t="shared" si="1"/>
        <v>0</v>
      </c>
    </row>
    <row r="50" spans="1:17" ht="15" customHeight="1">
      <c r="A50" s="24" t="s">
        <v>214</v>
      </c>
      <c r="B50" s="25">
        <f>+'IS PBC (Disposal)'!H16</f>
        <v>0</v>
      </c>
      <c r="C50" s="25">
        <f>+'IS PBC (Disposal)'!I16</f>
        <v>0</v>
      </c>
      <c r="D50" s="25">
        <f>+'IS PBC (Disposal)'!J16</f>
        <v>0</v>
      </c>
      <c r="E50" s="25">
        <f>+'IS PBC (Disposal)'!K16</f>
        <v>0</v>
      </c>
      <c r="F50" s="25">
        <f>+'IS PBC (Disposal)'!L16</f>
        <v>0</v>
      </c>
      <c r="G50" s="25">
        <f>+'IS PBC (Disposal)'!M16</f>
        <v>0</v>
      </c>
      <c r="H50" s="25">
        <f>+'IS PBC (Disposal)'!N16</f>
        <v>0</v>
      </c>
      <c r="I50" s="25">
        <f>+'IS PBC (Disposal)'!O16</f>
        <v>0</v>
      </c>
      <c r="J50" s="25">
        <f>+'IS PBC (Disposal)'!P16</f>
        <v>0</v>
      </c>
      <c r="K50" s="25">
        <f>+'IS PBC (Disposal)'!Q16</f>
        <v>0</v>
      </c>
      <c r="L50" s="25">
        <f>+'IS PBC (Disposal)'!R16</f>
        <v>0</v>
      </c>
      <c r="M50" s="25">
        <f>+'IS PBC (Disposal)'!S16</f>
        <v>0</v>
      </c>
      <c r="N50" s="25">
        <f t="shared" si="0"/>
        <v>0</v>
      </c>
      <c r="O50" s="25">
        <f t="shared" si="2"/>
        <v>0</v>
      </c>
      <c r="P50" s="25"/>
      <c r="Q50" s="25">
        <f t="shared" si="1"/>
        <v>0</v>
      </c>
    </row>
    <row r="51" spans="1:17" ht="15" customHeight="1">
      <c r="A51" s="24" t="s">
        <v>215</v>
      </c>
      <c r="B51" s="25">
        <f>+'IS PBC (Disposal)'!H102</f>
        <v>26891</v>
      </c>
      <c r="C51" s="25">
        <f>+'IS PBC (Disposal)'!I102</f>
        <v>28191</v>
      </c>
      <c r="D51" s="25">
        <f>+'IS PBC (Disposal)'!J102</f>
        <v>27990</v>
      </c>
      <c r="E51" s="25">
        <f>+'IS PBC (Disposal)'!K102</f>
        <v>27055</v>
      </c>
      <c r="F51" s="25">
        <f>+'IS PBC (Disposal)'!L102</f>
        <v>28290</v>
      </c>
      <c r="G51" s="25">
        <f>+'IS PBC (Disposal)'!M102</f>
        <v>28290</v>
      </c>
      <c r="H51" s="25">
        <f>+'IS PBC (Disposal)'!N102</f>
        <v>27790</v>
      </c>
      <c r="I51" s="25">
        <f>+'IS PBC (Disposal)'!O102</f>
        <v>28598</v>
      </c>
      <c r="J51" s="25">
        <f>+'IS PBC (Disposal)'!P102</f>
        <v>28480</v>
      </c>
      <c r="K51" s="25">
        <f>+'IS PBC (Disposal)'!Q102</f>
        <v>27100</v>
      </c>
      <c r="L51" s="25">
        <f>+'IS PBC (Disposal)'!R102</f>
        <v>14700</v>
      </c>
      <c r="M51" s="25">
        <f>+'IS PBC (Disposal)'!S102</f>
        <v>16600</v>
      </c>
      <c r="N51" s="25">
        <f t="shared" si="0"/>
        <v>309975</v>
      </c>
      <c r="O51" s="25">
        <f t="shared" si="2"/>
        <v>-309975</v>
      </c>
      <c r="P51" s="25"/>
      <c r="Q51" s="25">
        <f t="shared" si="1"/>
        <v>0</v>
      </c>
    </row>
    <row r="52" spans="1:17" ht="15" customHeight="1">
      <c r="A52" s="24" t="s">
        <v>216</v>
      </c>
      <c r="B52" s="25">
        <f>+'IS PBC (Disposal)'!H17</f>
        <v>52855.37</v>
      </c>
      <c r="C52" s="25">
        <f>+'IS PBC (Disposal)'!I17</f>
        <v>83964.46</v>
      </c>
      <c r="D52" s="25">
        <f>+'IS PBC (Disposal)'!J17</f>
        <v>60463.89</v>
      </c>
      <c r="E52" s="25">
        <f>+'IS PBC (Disposal)'!K17</f>
        <v>94608.29</v>
      </c>
      <c r="F52" s="25">
        <f>+'IS PBC (Disposal)'!L17</f>
        <v>83951.08</v>
      </c>
      <c r="G52" s="25">
        <f>+'IS PBC (Disposal)'!M17</f>
        <v>107356.52</v>
      </c>
      <c r="H52" s="25">
        <f>+'IS PBC (Disposal)'!N17</f>
        <v>94646.49</v>
      </c>
      <c r="I52" s="25">
        <f>+'IS PBC (Disposal)'!O17</f>
        <v>97551.1</v>
      </c>
      <c r="J52" s="25">
        <f>+'IS PBC (Disposal)'!P17</f>
        <v>94980.04</v>
      </c>
      <c r="K52" s="25">
        <f>+'IS PBC (Disposal)'!Q17</f>
        <v>87302.01</v>
      </c>
      <c r="L52" s="25">
        <f>+'IS PBC (Disposal)'!R17</f>
        <v>93541.08</v>
      </c>
      <c r="M52" s="25">
        <f>+'IS PBC (Disposal)'!S17</f>
        <v>96630.89</v>
      </c>
      <c r="N52" s="25">
        <f>SUM(B52:M52)</f>
        <v>1047851.2200000001</v>
      </c>
      <c r="O52" s="25">
        <f t="shared" si="2"/>
        <v>-1047851.2200000001</v>
      </c>
      <c r="P52" s="25"/>
      <c r="Q52" s="25">
        <f t="shared" si="1"/>
        <v>0</v>
      </c>
    </row>
    <row r="53" spans="1:17" ht="15" customHeight="1">
      <c r="A53" s="24" t="s">
        <v>217</v>
      </c>
      <c r="B53" s="25">
        <f>+'IS PBC (Disposal)'!H101</f>
        <v>2628</v>
      </c>
      <c r="C53" s="25">
        <f>+'IS PBC (Disposal)'!I101</f>
        <v>0</v>
      </c>
      <c r="D53" s="25">
        <f>+'IS PBC (Disposal)'!J101</f>
        <v>0</v>
      </c>
      <c r="E53" s="25">
        <f>+'IS PBC (Disposal)'!K101</f>
        <v>0</v>
      </c>
      <c r="F53" s="25">
        <f>+'IS PBC (Disposal)'!L101</f>
        <v>0</v>
      </c>
      <c r="G53" s="25">
        <f>+'IS PBC (Disposal)'!M101</f>
        <v>0</v>
      </c>
      <c r="H53" s="25">
        <f>+'IS PBC (Disposal)'!N101</f>
        <v>0</v>
      </c>
      <c r="I53" s="25">
        <f>+'IS PBC (Disposal)'!O101</f>
        <v>0</v>
      </c>
      <c r="J53" s="25">
        <f>+'IS PBC (Disposal)'!P101</f>
        <v>0</v>
      </c>
      <c r="K53" s="25">
        <f>+'IS PBC (Disposal)'!Q101</f>
        <v>0</v>
      </c>
      <c r="L53" s="25">
        <f>+'IS PBC (Disposal)'!R101</f>
        <v>0</v>
      </c>
      <c r="M53" s="25">
        <f>+'IS PBC (Disposal)'!S101</f>
        <v>0</v>
      </c>
      <c r="N53" s="25">
        <f t="shared" si="0"/>
        <v>2628</v>
      </c>
      <c r="O53" s="25">
        <f t="shared" si="2"/>
        <v>-2628</v>
      </c>
      <c r="P53" s="25"/>
      <c r="Q53" s="25">
        <f t="shared" si="1"/>
        <v>0</v>
      </c>
    </row>
    <row r="54" spans="1:17" ht="15" customHeight="1">
      <c r="A54" s="24" t="s">
        <v>218</v>
      </c>
      <c r="B54" s="25">
        <f>+'IS PBC (Disposal)'!H18</f>
        <v>8390.42</v>
      </c>
      <c r="C54" s="25">
        <f>+'IS PBC (Disposal)'!I18</f>
        <v>38140.800000000003</v>
      </c>
      <c r="D54" s="25">
        <f>+'IS PBC (Disposal)'!J18</f>
        <v>27199.66</v>
      </c>
      <c r="E54" s="25">
        <f>+'IS PBC (Disposal)'!K18</f>
        <v>25064.68</v>
      </c>
      <c r="F54" s="25">
        <f>+'IS PBC (Disposal)'!L18</f>
        <v>35751.279999999999</v>
      </c>
      <c r="G54" s="25">
        <f>+'IS PBC (Disposal)'!M18</f>
        <v>31941.85</v>
      </c>
      <c r="H54" s="25">
        <f>+'IS PBC (Disposal)'!N18</f>
        <v>37130.42</v>
      </c>
      <c r="I54" s="25">
        <f>+'IS PBC (Disposal)'!O18</f>
        <v>24779.759999999998</v>
      </c>
      <c r="J54" s="25">
        <f>+'IS PBC (Disposal)'!P18</f>
        <v>48964.43</v>
      </c>
      <c r="K54" s="25">
        <f>+'IS PBC (Disposal)'!Q18</f>
        <v>38339.74</v>
      </c>
      <c r="L54" s="25">
        <f>+'IS PBC (Disposal)'!R18</f>
        <v>23925.98</v>
      </c>
      <c r="M54" s="25">
        <f>+'IS PBC (Disposal)'!S18</f>
        <v>22835.09</v>
      </c>
      <c r="N54" s="25">
        <f t="shared" si="0"/>
        <v>362464.11</v>
      </c>
      <c r="O54" s="25">
        <f t="shared" si="2"/>
        <v>-362464.11</v>
      </c>
      <c r="P54" s="25"/>
      <c r="Q54" s="25">
        <f t="shared" si="1"/>
        <v>0</v>
      </c>
    </row>
    <row r="55" spans="1:17" ht="15" customHeight="1">
      <c r="A55" s="24" t="s">
        <v>219</v>
      </c>
      <c r="B55" s="25">
        <f>+'IS PBC (Disposal)'!H19</f>
        <v>18277.490000000002</v>
      </c>
      <c r="C55" s="25">
        <f>+'IS PBC (Disposal)'!I19</f>
        <v>11930.19</v>
      </c>
      <c r="D55" s="25">
        <f>+'IS PBC (Disposal)'!J19</f>
        <v>8849.24</v>
      </c>
      <c r="E55" s="25">
        <f>+'IS PBC (Disposal)'!K19</f>
        <v>8298.89</v>
      </c>
      <c r="F55" s="25">
        <f>+'IS PBC (Disposal)'!L19</f>
        <v>9760.7999999999993</v>
      </c>
      <c r="G55" s="25">
        <f>+'IS PBC (Disposal)'!M19</f>
        <v>17404.68</v>
      </c>
      <c r="H55" s="25">
        <f>+'IS PBC (Disposal)'!N19</f>
        <v>14346.63</v>
      </c>
      <c r="I55" s="25">
        <f>+'IS PBC (Disposal)'!O19</f>
        <v>22037.32</v>
      </c>
      <c r="J55" s="25">
        <f>+'IS PBC (Disposal)'!P19</f>
        <v>18703.650000000001</v>
      </c>
      <c r="K55" s="25">
        <f>+'IS PBC (Disposal)'!Q19</f>
        <v>6771.97</v>
      </c>
      <c r="L55" s="25">
        <f>+'IS PBC (Disposal)'!R19</f>
        <v>13152.8</v>
      </c>
      <c r="M55" s="25">
        <f>+'IS PBC (Disposal)'!S19</f>
        <v>10177.620000000001</v>
      </c>
      <c r="N55" s="25">
        <f t="shared" si="0"/>
        <v>159711.28</v>
      </c>
      <c r="O55" s="25">
        <f t="shared" si="2"/>
        <v>-159711.28</v>
      </c>
      <c r="P55" s="25"/>
      <c r="Q55" s="25">
        <f t="shared" si="1"/>
        <v>0</v>
      </c>
    </row>
    <row r="56" spans="1:17" ht="15" customHeight="1">
      <c r="A56" s="24" t="s">
        <v>618</v>
      </c>
      <c r="B56" s="25">
        <f>+'IS PBC (Disposal)'!H20</f>
        <v>-546.05999999999995</v>
      </c>
      <c r="C56" s="25">
        <f>+'IS PBC (Disposal)'!I20</f>
        <v>-236.73</v>
      </c>
      <c r="D56" s="25">
        <f>+'IS PBC (Disposal)'!J20</f>
        <v>-1207.04</v>
      </c>
      <c r="E56" s="25">
        <f>+'IS PBC (Disposal)'!K20</f>
        <v>-1041.3599999999999</v>
      </c>
      <c r="F56" s="25">
        <f>+'IS PBC (Disposal)'!L20</f>
        <v>-12.13</v>
      </c>
      <c r="G56" s="25">
        <f>+'IS PBC (Disposal)'!M20</f>
        <v>-1451.89</v>
      </c>
      <c r="H56" s="25">
        <f>+'IS PBC (Disposal)'!N20</f>
        <v>-848.95</v>
      </c>
      <c r="I56" s="25">
        <f>+'IS PBC (Disposal)'!O20</f>
        <v>-1198.4100000000001</v>
      </c>
      <c r="J56" s="25">
        <f>+'IS PBC (Disposal)'!P20</f>
        <v>-366.48</v>
      </c>
      <c r="K56" s="25">
        <f>+'IS PBC (Disposal)'!Q20</f>
        <v>-1223.8699999999999</v>
      </c>
      <c r="L56" s="25">
        <f>+'IS PBC (Disposal)'!R20</f>
        <v>-778.61</v>
      </c>
      <c r="M56" s="25">
        <f>+'IS PBC (Disposal)'!S20</f>
        <v>-65.33</v>
      </c>
      <c r="N56" s="25">
        <f t="shared" si="0"/>
        <v>-8976.8599999999988</v>
      </c>
      <c r="O56" s="25">
        <f t="shared" si="2"/>
        <v>8976.8599999999988</v>
      </c>
      <c r="P56" s="25"/>
      <c r="Q56" s="25">
        <f t="shared" si="1"/>
        <v>0</v>
      </c>
    </row>
    <row r="57" spans="1:17" ht="15" customHeight="1">
      <c r="A57" s="24" t="s">
        <v>689</v>
      </c>
      <c r="B57" s="25">
        <f>+'IS PBC (Disposal)'!H100</f>
        <v>0</v>
      </c>
      <c r="C57" s="25">
        <f>+'IS PBC (Disposal)'!I100</f>
        <v>0</v>
      </c>
      <c r="D57" s="25">
        <f>+'IS PBC (Disposal)'!J100</f>
        <v>0</v>
      </c>
      <c r="E57" s="25">
        <f>+'IS PBC (Disposal)'!K100</f>
        <v>0</v>
      </c>
      <c r="F57" s="25">
        <f>+'IS PBC (Disposal)'!L100</f>
        <v>0</v>
      </c>
      <c r="G57" s="25">
        <f>+'IS PBC (Disposal)'!M100</f>
        <v>0</v>
      </c>
      <c r="H57" s="25">
        <f>+'IS PBC (Disposal)'!N100</f>
        <v>24072.97</v>
      </c>
      <c r="I57" s="25">
        <f>+'IS PBC (Disposal)'!O100</f>
        <v>0</v>
      </c>
      <c r="J57" s="25">
        <f>+'IS PBC (Disposal)'!P100</f>
        <v>0</v>
      </c>
      <c r="K57" s="25">
        <f>+'IS PBC (Disposal)'!Q100</f>
        <v>0</v>
      </c>
      <c r="L57" s="25">
        <f>+'IS PBC (Disposal)'!R100</f>
        <v>0</v>
      </c>
      <c r="M57" s="25">
        <f>+'IS PBC (Disposal)'!S100</f>
        <v>0</v>
      </c>
      <c r="N57" s="25">
        <f>SUM(B57:M57)</f>
        <v>24072.97</v>
      </c>
      <c r="O57" s="25">
        <f t="shared" si="2"/>
        <v>-24072.97</v>
      </c>
      <c r="P57" s="25"/>
      <c r="Q57" s="25">
        <f t="shared" si="1"/>
        <v>0</v>
      </c>
    </row>
    <row r="58" spans="1:17" ht="15" customHeight="1">
      <c r="A58" s="24" t="s">
        <v>654</v>
      </c>
      <c r="B58" s="25">
        <f>+'IS PBC (Disposal)'!H103</f>
        <v>19228.72</v>
      </c>
      <c r="C58" s="25">
        <f>+'IS PBC (Disposal)'!I103</f>
        <v>-19228.72</v>
      </c>
      <c r="D58" s="25">
        <f>+'IS PBC (Disposal)'!J103</f>
        <v>0</v>
      </c>
      <c r="E58" s="25">
        <f>+'IS PBC (Disposal)'!K103</f>
        <v>0</v>
      </c>
      <c r="F58" s="25">
        <f>+'IS PBC (Disposal)'!L103</f>
        <v>66.39</v>
      </c>
      <c r="G58" s="25">
        <f>+'IS PBC (Disposal)'!M103</f>
        <v>0</v>
      </c>
      <c r="H58" s="25">
        <f>+'IS PBC (Disposal)'!N103</f>
        <v>3754.83</v>
      </c>
      <c r="I58" s="25">
        <f>+'IS PBC (Disposal)'!O103</f>
        <v>0</v>
      </c>
      <c r="J58" s="25">
        <f>+'IS PBC (Disposal)'!P103</f>
        <v>0</v>
      </c>
      <c r="K58" s="25">
        <f>+'IS PBC (Disposal)'!Q103</f>
        <v>0</v>
      </c>
      <c r="L58" s="25">
        <f>+'IS PBC (Disposal)'!R103</f>
        <v>0</v>
      </c>
      <c r="M58" s="25">
        <f>+'IS PBC (Disposal)'!S103</f>
        <v>5412.62</v>
      </c>
      <c r="N58" s="25">
        <f>SUM(B58:M58)</f>
        <v>9233.84</v>
      </c>
      <c r="O58" s="25">
        <f t="shared" si="2"/>
        <v>-9233.84</v>
      </c>
      <c r="P58" s="25"/>
      <c r="Q58" s="25">
        <f t="shared" si="1"/>
        <v>0</v>
      </c>
    </row>
    <row r="59" spans="1:17" ht="15" customHeight="1">
      <c r="A59" s="24" t="s">
        <v>612</v>
      </c>
      <c r="B59" s="25">
        <f>+'IS PBC (Disposal)'!H7</f>
        <v>2037.88</v>
      </c>
      <c r="C59" s="25">
        <f>+'IS PBC (Disposal)'!I7</f>
        <v>1849.55</v>
      </c>
      <c r="D59" s="25">
        <f>+'IS PBC (Disposal)'!J7</f>
        <v>2279.4499999999998</v>
      </c>
      <c r="E59" s="25">
        <f>+'IS PBC (Disposal)'!K7</f>
        <v>2379.71</v>
      </c>
      <c r="F59" s="25">
        <f>+'IS PBC (Disposal)'!L7</f>
        <v>2699.68</v>
      </c>
      <c r="G59" s="25">
        <f>+'IS PBC (Disposal)'!M7</f>
        <v>5079.38</v>
      </c>
      <c r="H59" s="25">
        <f>+'IS PBC (Disposal)'!N7</f>
        <v>4689.43</v>
      </c>
      <c r="I59" s="25">
        <f>+'IS PBC (Disposal)'!O7</f>
        <v>4129.49</v>
      </c>
      <c r="J59" s="25">
        <f>+'IS PBC (Disposal)'!P7</f>
        <v>4490.32</v>
      </c>
      <c r="K59" s="25">
        <f>+'IS PBC (Disposal)'!Q7</f>
        <v>2534.36</v>
      </c>
      <c r="L59" s="25">
        <f>+'IS PBC (Disposal)'!R7</f>
        <v>2191</v>
      </c>
      <c r="M59" s="25">
        <f>+'IS PBC (Disposal)'!S7</f>
        <v>2059.44</v>
      </c>
      <c r="N59" s="25">
        <f t="shared" si="0"/>
        <v>36419.69</v>
      </c>
      <c r="O59" s="25">
        <f t="shared" si="2"/>
        <v>-36419.69</v>
      </c>
      <c r="P59" s="25"/>
      <c r="Q59" s="25">
        <f t="shared" si="1"/>
        <v>0</v>
      </c>
    </row>
    <row r="60" spans="1:17" ht="15" customHeight="1">
      <c r="A60" s="24" t="s">
        <v>1271</v>
      </c>
      <c r="B60" s="25"/>
      <c r="C60" s="25"/>
      <c r="D60" s="25"/>
      <c r="E60" s="25"/>
      <c r="F60" s="25"/>
      <c r="G60" s="25"/>
      <c r="H60" s="25"/>
      <c r="I60" s="25"/>
      <c r="J60" s="25"/>
      <c r="K60" s="25"/>
      <c r="L60" s="25"/>
      <c r="M60" s="25"/>
      <c r="N60" s="25"/>
      <c r="O60" s="26">
        <v>33307</v>
      </c>
      <c r="P60" s="26"/>
      <c r="Q60" s="25">
        <f t="shared" si="1"/>
        <v>33307</v>
      </c>
    </row>
    <row r="61" spans="1:17" ht="15" customHeight="1">
      <c r="A61" s="23"/>
      <c r="B61" s="154">
        <f t="shared" ref="B61:C61" si="3">SUM(B12:B59)</f>
        <v>343255.81999999995</v>
      </c>
      <c r="C61" s="154">
        <f t="shared" si="3"/>
        <v>603916.28</v>
      </c>
      <c r="D61" s="154">
        <f t="shared" ref="D61:N61" si="4">SUM(D12:D60)</f>
        <v>495707.23000000004</v>
      </c>
      <c r="E61" s="154">
        <f t="shared" si="4"/>
        <v>517598.73000000004</v>
      </c>
      <c r="F61" s="154">
        <f t="shared" si="4"/>
        <v>474347.93000000005</v>
      </c>
      <c r="G61" s="154">
        <f t="shared" si="4"/>
        <v>567529.50000000012</v>
      </c>
      <c r="H61" s="154">
        <f t="shared" si="4"/>
        <v>565013.37</v>
      </c>
      <c r="I61" s="154">
        <f t="shared" si="4"/>
        <v>463743.23</v>
      </c>
      <c r="J61" s="154">
        <f t="shared" si="4"/>
        <v>687636.69000000006</v>
      </c>
      <c r="K61" s="154">
        <f t="shared" si="4"/>
        <v>564802.23</v>
      </c>
      <c r="L61" s="154">
        <f t="shared" si="4"/>
        <v>449411.23</v>
      </c>
      <c r="M61" s="154">
        <f t="shared" si="4"/>
        <v>620860.35</v>
      </c>
      <c r="N61" s="154">
        <f t="shared" si="4"/>
        <v>6353822.5899999999</v>
      </c>
      <c r="O61" s="154">
        <f>SUM(O12:O60)</f>
        <v>0.40999999961059075</v>
      </c>
      <c r="P61" s="154">
        <f>SUM(P12:P60)</f>
        <v>0</v>
      </c>
      <c r="Q61" s="154">
        <f>SUM(Q12:Q60)</f>
        <v>6353823</v>
      </c>
    </row>
    <row r="62" spans="1:17" ht="15" customHeight="1">
      <c r="A62" s="23"/>
      <c r="B62" s="25"/>
      <c r="C62" s="25"/>
      <c r="D62" s="25"/>
      <c r="E62" s="25"/>
      <c r="F62" s="25"/>
      <c r="G62" s="25"/>
      <c r="H62" s="25"/>
      <c r="I62" s="25"/>
      <c r="J62" s="25"/>
      <c r="K62" s="25"/>
      <c r="L62" s="25"/>
      <c r="M62" s="25"/>
      <c r="N62" s="25"/>
      <c r="O62" s="25"/>
      <c r="P62" s="25"/>
      <c r="Q62" s="25"/>
    </row>
    <row r="63" spans="1:17" ht="15" customHeight="1">
      <c r="A63" s="22" t="s">
        <v>17</v>
      </c>
      <c r="B63" s="25"/>
      <c r="C63" s="25"/>
      <c r="D63" s="25"/>
      <c r="E63" s="25"/>
      <c r="F63" s="25"/>
      <c r="G63" s="25"/>
      <c r="H63" s="25"/>
      <c r="I63" s="25"/>
      <c r="J63" s="25"/>
      <c r="K63" s="25"/>
      <c r="L63" s="25"/>
      <c r="M63" s="25"/>
      <c r="N63" s="25"/>
      <c r="O63" s="27"/>
      <c r="P63" s="27"/>
      <c r="Q63" s="25"/>
    </row>
    <row r="64" spans="1:17" ht="15" customHeight="1">
      <c r="A64" s="24" t="s">
        <v>619</v>
      </c>
      <c r="B64" s="25">
        <f>+'IS PBC (Disposal)'!H24</f>
        <v>0</v>
      </c>
      <c r="C64" s="25">
        <f>+'IS PBC (Disposal)'!I24</f>
        <v>0</v>
      </c>
      <c r="D64" s="25">
        <f>+'IS PBC (Disposal)'!J24</f>
        <v>0</v>
      </c>
      <c r="E64" s="25">
        <f>+'IS PBC (Disposal)'!K24</f>
        <v>0</v>
      </c>
      <c r="F64" s="25">
        <f>+'IS PBC (Disposal)'!L24</f>
        <v>0</v>
      </c>
      <c r="G64" s="25">
        <f>+'IS PBC (Disposal)'!M24</f>
        <v>0</v>
      </c>
      <c r="H64" s="25">
        <f>+'IS PBC (Disposal)'!N24</f>
        <v>0</v>
      </c>
      <c r="I64" s="25">
        <f>+'IS PBC (Disposal)'!O24</f>
        <v>0</v>
      </c>
      <c r="J64" s="25">
        <f>+'IS PBC (Disposal)'!P24</f>
        <v>139835.44</v>
      </c>
      <c r="K64" s="25">
        <f>+'IS PBC (Disposal)'!Q24</f>
        <v>0</v>
      </c>
      <c r="L64" s="25">
        <f>+'IS PBC (Disposal)'!R24</f>
        <v>0</v>
      </c>
      <c r="M64" s="25">
        <f>+'IS PBC (Disposal)'!S24</f>
        <v>122693.38</v>
      </c>
      <c r="N64" s="25">
        <f>SUM(B64:M64)</f>
        <v>262528.82</v>
      </c>
      <c r="O64" s="25">
        <v>0</v>
      </c>
      <c r="P64" s="27"/>
      <c r="Q64" s="25">
        <f>N64+O64</f>
        <v>262528.82</v>
      </c>
    </row>
    <row r="65" spans="1:17" ht="15" customHeight="1">
      <c r="A65" s="24" t="s">
        <v>620</v>
      </c>
      <c r="B65" s="25">
        <f>+'IS PBC (Disposal)'!H25</f>
        <v>413</v>
      </c>
      <c r="C65" s="25">
        <f>+'IS PBC (Disposal)'!I25</f>
        <v>399.16</v>
      </c>
      <c r="D65" s="25">
        <f>+'IS PBC (Disposal)'!J25</f>
        <v>256.22000000000003</v>
      </c>
      <c r="E65" s="25">
        <f>+'IS PBC (Disposal)'!K25</f>
        <v>993.94</v>
      </c>
      <c r="F65" s="25">
        <f>+'IS PBC (Disposal)'!L25</f>
        <v>401.84</v>
      </c>
      <c r="G65" s="25">
        <f>+'IS PBC (Disposal)'!M25</f>
        <v>258.38</v>
      </c>
      <c r="H65" s="25">
        <f>+'IS PBC (Disposal)'!N25</f>
        <v>548.91</v>
      </c>
      <c r="I65" s="25">
        <f>+'IS PBC (Disposal)'!O25</f>
        <v>404.78</v>
      </c>
      <c r="J65" s="25">
        <f>+'IS PBC (Disposal)'!P25</f>
        <v>547.22</v>
      </c>
      <c r="K65" s="25">
        <f>+'IS PBC (Disposal)'!Q25</f>
        <v>475.3</v>
      </c>
      <c r="L65" s="25">
        <f>+'IS PBC (Disposal)'!R25</f>
        <v>395.68</v>
      </c>
      <c r="M65" s="25">
        <f>+'IS PBC (Disposal)'!S25</f>
        <v>631.17999999999995</v>
      </c>
      <c r="N65" s="25">
        <f>SUM(B65:M65)</f>
        <v>5725.6100000000015</v>
      </c>
      <c r="O65" s="25">
        <v>0</v>
      </c>
      <c r="P65" s="27"/>
      <c r="Q65" s="25">
        <f>N65+O65</f>
        <v>5725.6100000000015</v>
      </c>
    </row>
    <row r="66" spans="1:17" ht="15" customHeight="1">
      <c r="A66" s="24" t="s">
        <v>621</v>
      </c>
      <c r="B66" s="25">
        <f>+'IS PBC (Disposal)'!H26</f>
        <v>0</v>
      </c>
      <c r="C66" s="25">
        <f>+'IS PBC (Disposal)'!I26</f>
        <v>3235</v>
      </c>
      <c r="D66" s="25">
        <f>+'IS PBC (Disposal)'!J26</f>
        <v>1127.5</v>
      </c>
      <c r="E66" s="25">
        <f>+'IS PBC (Disposal)'!K26</f>
        <v>0</v>
      </c>
      <c r="F66" s="25">
        <f>+'IS PBC (Disposal)'!L26</f>
        <v>0</v>
      </c>
      <c r="G66" s="25">
        <f>+'IS PBC (Disposal)'!M26</f>
        <v>0</v>
      </c>
      <c r="H66" s="25">
        <f>+'IS PBC (Disposal)'!N26</f>
        <v>0</v>
      </c>
      <c r="I66" s="25">
        <f>+'IS PBC (Disposal)'!O26</f>
        <v>337.5</v>
      </c>
      <c r="J66" s="25">
        <f>+'IS PBC (Disposal)'!P26</f>
        <v>375</v>
      </c>
      <c r="K66" s="25">
        <f>+'IS PBC (Disposal)'!Q26</f>
        <v>375</v>
      </c>
      <c r="L66" s="25">
        <f>+'IS PBC (Disposal)'!R26</f>
        <v>450</v>
      </c>
      <c r="M66" s="25">
        <f>+'IS PBC (Disposal)'!S26</f>
        <v>2184.1</v>
      </c>
      <c r="N66" s="25">
        <f>SUM(B66:M66)</f>
        <v>8084.1</v>
      </c>
      <c r="O66" s="25">
        <v>0</v>
      </c>
      <c r="P66" s="25"/>
      <c r="Q66" s="25">
        <f>N66+O66</f>
        <v>8084.1</v>
      </c>
    </row>
    <row r="67" spans="1:17" ht="15" customHeight="1">
      <c r="A67" s="24" t="s">
        <v>222</v>
      </c>
      <c r="B67" s="25">
        <f>+'IS PBC (Disposal)'!H27</f>
        <v>2873.03</v>
      </c>
      <c r="C67" s="25">
        <f>+'IS PBC (Disposal)'!I27</f>
        <v>5662.63</v>
      </c>
      <c r="D67" s="25">
        <f>+'IS PBC (Disposal)'!J27</f>
        <v>2555.35</v>
      </c>
      <c r="E67" s="25">
        <f>+'IS PBC (Disposal)'!K27</f>
        <v>2788.76</v>
      </c>
      <c r="F67" s="25">
        <f>+'IS PBC (Disposal)'!L27</f>
        <v>3585.33</v>
      </c>
      <c r="G67" s="25">
        <f>+'IS PBC (Disposal)'!M27</f>
        <v>2938.86</v>
      </c>
      <c r="H67" s="25">
        <f>+'IS PBC (Disposal)'!N27</f>
        <v>3870.65</v>
      </c>
      <c r="I67" s="25">
        <f>+'IS PBC (Disposal)'!O27</f>
        <v>3519.77</v>
      </c>
      <c r="J67" s="25">
        <f>+'IS PBC (Disposal)'!P27</f>
        <v>4075.37</v>
      </c>
      <c r="K67" s="25">
        <f>+'IS PBC (Disposal)'!Q27</f>
        <v>3447.79</v>
      </c>
      <c r="L67" s="25">
        <f>+'IS PBC (Disposal)'!R27</f>
        <v>3584.13</v>
      </c>
      <c r="M67" s="25">
        <f>+'IS PBC (Disposal)'!S27</f>
        <v>2265.64</v>
      </c>
      <c r="N67" s="25">
        <f t="shared" ref="N67:N128" si="5">SUM(B67:M67)</f>
        <v>41167.31</v>
      </c>
      <c r="O67" s="25">
        <v>0</v>
      </c>
      <c r="P67" s="25"/>
      <c r="Q67" s="25">
        <f t="shared" ref="Q67:Q109" si="6">N67+O67</f>
        <v>41167.31</v>
      </c>
    </row>
    <row r="68" spans="1:17" ht="15" customHeight="1">
      <c r="A68" s="24" t="s">
        <v>622</v>
      </c>
      <c r="B68" s="25">
        <f>+'IS PBC (Disposal)'!H28</f>
        <v>575.55999999999995</v>
      </c>
      <c r="C68" s="25">
        <f>+'IS PBC (Disposal)'!I28</f>
        <v>545.13</v>
      </c>
      <c r="D68" s="25">
        <f>+'IS PBC (Disposal)'!J28</f>
        <v>557.19000000000005</v>
      </c>
      <c r="E68" s="25">
        <f>+'IS PBC (Disposal)'!K28</f>
        <v>570</v>
      </c>
      <c r="F68" s="25">
        <f>+'IS PBC (Disposal)'!L28</f>
        <v>592.22</v>
      </c>
      <c r="G68" s="25">
        <f>+'IS PBC (Disposal)'!M28</f>
        <v>0</v>
      </c>
      <c r="H68" s="25">
        <f>+'IS PBC (Disposal)'!N28</f>
        <v>1356.43</v>
      </c>
      <c r="I68" s="25">
        <f>+'IS PBC (Disposal)'!O28</f>
        <v>685.95</v>
      </c>
      <c r="J68" s="25">
        <f>+'IS PBC (Disposal)'!P28</f>
        <v>0</v>
      </c>
      <c r="K68" s="25">
        <f>+'IS PBC (Disposal)'!Q28</f>
        <v>662.66</v>
      </c>
      <c r="L68" s="25">
        <f>+'IS PBC (Disposal)'!R28</f>
        <v>1307.82</v>
      </c>
      <c r="M68" s="25">
        <f>+'IS PBC (Disposal)'!S28</f>
        <v>568.54999999999995</v>
      </c>
      <c r="N68" s="25">
        <f t="shared" si="5"/>
        <v>7421.51</v>
      </c>
      <c r="O68" s="25">
        <v>0</v>
      </c>
      <c r="P68" s="25"/>
      <c r="Q68" s="25">
        <f t="shared" si="6"/>
        <v>7421.51</v>
      </c>
    </row>
    <row r="69" spans="1:17" ht="15" customHeight="1">
      <c r="A69" s="24" t="s">
        <v>224</v>
      </c>
      <c r="B69" s="25">
        <f>+'IS PBC (Disposal)'!H29</f>
        <v>945.58</v>
      </c>
      <c r="C69" s="25">
        <f>+'IS PBC (Disposal)'!I29</f>
        <v>1996.79</v>
      </c>
      <c r="D69" s="25">
        <f>+'IS PBC (Disposal)'!J29</f>
        <v>0</v>
      </c>
      <c r="E69" s="25">
        <f>+'IS PBC (Disposal)'!K29</f>
        <v>3201.69</v>
      </c>
      <c r="F69" s="25">
        <f>+'IS PBC (Disposal)'!L29</f>
        <v>0</v>
      </c>
      <c r="G69" s="25">
        <f>+'IS PBC (Disposal)'!M29</f>
        <v>18898.87</v>
      </c>
      <c r="H69" s="25">
        <f>+'IS PBC (Disposal)'!N29</f>
        <v>10689.59</v>
      </c>
      <c r="I69" s="25">
        <f>+'IS PBC (Disposal)'!O29</f>
        <v>1128.43</v>
      </c>
      <c r="J69" s="25">
        <f>+'IS PBC (Disposal)'!P29</f>
        <v>1433.56</v>
      </c>
      <c r="K69" s="25">
        <f>+'IS PBC (Disposal)'!Q29</f>
        <v>19612.2</v>
      </c>
      <c r="L69" s="25">
        <f>+'IS PBC (Disposal)'!R29</f>
        <v>0</v>
      </c>
      <c r="M69" s="25">
        <f>+'IS PBC (Disposal)'!S29</f>
        <v>1004.26</v>
      </c>
      <c r="N69" s="25">
        <f t="shared" si="5"/>
        <v>58910.970000000008</v>
      </c>
      <c r="O69" s="25">
        <v>0</v>
      </c>
      <c r="P69" s="25"/>
      <c r="Q69" s="25">
        <f t="shared" si="6"/>
        <v>58910.970000000008</v>
      </c>
    </row>
    <row r="70" spans="1:17" ht="15" customHeight="1">
      <c r="A70" s="24" t="s">
        <v>225</v>
      </c>
      <c r="B70" s="25">
        <f>+'IS PBC (Disposal)'!H30</f>
        <v>2778.37</v>
      </c>
      <c r="C70" s="25">
        <f>+'IS PBC (Disposal)'!I30</f>
        <v>434.22</v>
      </c>
      <c r="D70" s="25">
        <f>+'IS PBC (Disposal)'!J30</f>
        <v>3258.99</v>
      </c>
      <c r="E70" s="25">
        <f>+'IS PBC (Disposal)'!K30</f>
        <v>11724.9</v>
      </c>
      <c r="F70" s="25">
        <f>+'IS PBC (Disposal)'!L30</f>
        <v>6193.28</v>
      </c>
      <c r="G70" s="25">
        <f>+'IS PBC (Disposal)'!M30</f>
        <v>1539.87</v>
      </c>
      <c r="H70" s="25">
        <f>+'IS PBC (Disposal)'!N30</f>
        <v>8852.32</v>
      </c>
      <c r="I70" s="25">
        <f>+'IS PBC (Disposal)'!O30</f>
        <v>2875</v>
      </c>
      <c r="J70" s="25">
        <f>+'IS PBC (Disposal)'!P30</f>
        <v>3930.88</v>
      </c>
      <c r="K70" s="25">
        <f>+'IS PBC (Disposal)'!Q30</f>
        <v>6783.93</v>
      </c>
      <c r="L70" s="25">
        <f>+'IS PBC (Disposal)'!R30</f>
        <v>354.9</v>
      </c>
      <c r="M70" s="25">
        <f>+'IS PBC (Disposal)'!S30</f>
        <v>6182.83</v>
      </c>
      <c r="N70" s="25">
        <f t="shared" si="5"/>
        <v>54909.49</v>
      </c>
      <c r="O70" s="25">
        <v>0</v>
      </c>
      <c r="P70" s="25"/>
      <c r="Q70" s="25">
        <f t="shared" si="6"/>
        <v>54909.49</v>
      </c>
    </row>
    <row r="71" spans="1:17" ht="15" customHeight="1">
      <c r="A71" s="24" t="s">
        <v>226</v>
      </c>
      <c r="B71" s="25">
        <f>+'IS PBC (Disposal)'!H31</f>
        <v>1000</v>
      </c>
      <c r="C71" s="25">
        <f>+'IS PBC (Disposal)'!I31</f>
        <v>1000</v>
      </c>
      <c r="D71" s="25">
        <f>+'IS PBC (Disposal)'!J31</f>
        <v>1000</v>
      </c>
      <c r="E71" s="25">
        <f>+'IS PBC (Disposal)'!K31</f>
        <v>1000</v>
      </c>
      <c r="F71" s="25">
        <f>+'IS PBC (Disposal)'!L31</f>
        <v>1000</v>
      </c>
      <c r="G71" s="25">
        <f>+'IS PBC (Disposal)'!M31</f>
        <v>1000</v>
      </c>
      <c r="H71" s="25">
        <f>+'IS PBC (Disposal)'!N31</f>
        <v>1000</v>
      </c>
      <c r="I71" s="25">
        <f>+'IS PBC (Disposal)'!O31</f>
        <v>1000</v>
      </c>
      <c r="J71" s="25">
        <f>+'IS PBC (Disposal)'!P31</f>
        <v>1000</v>
      </c>
      <c r="K71" s="25">
        <f>+'IS PBC (Disposal)'!Q31</f>
        <v>1000</v>
      </c>
      <c r="L71" s="25">
        <f>+'IS PBC (Disposal)'!R31</f>
        <v>1000</v>
      </c>
      <c r="M71" s="25">
        <f>+'IS PBC (Disposal)'!S31</f>
        <v>1189.99</v>
      </c>
      <c r="N71" s="25">
        <f>SUM(B71:M71)</f>
        <v>12189.99</v>
      </c>
      <c r="O71" s="25">
        <v>0</v>
      </c>
      <c r="P71" s="25"/>
      <c r="Q71" s="25">
        <f>N71+O71</f>
        <v>12189.99</v>
      </c>
    </row>
    <row r="72" spans="1:17" ht="15" customHeight="1">
      <c r="A72" s="24" t="s">
        <v>271</v>
      </c>
      <c r="B72" s="25">
        <f>+'IS PBC (Disposal)'!H33</f>
        <v>24503.89</v>
      </c>
      <c r="C72" s="25">
        <f>+'IS PBC (Disposal)'!I33</f>
        <v>27786.87</v>
      </c>
      <c r="D72" s="25">
        <f>+'IS PBC (Disposal)'!J33</f>
        <v>32732.99</v>
      </c>
      <c r="E72" s="25">
        <f>+'IS PBC (Disposal)'!K33</f>
        <v>18170.419999999998</v>
      </c>
      <c r="F72" s="25">
        <f>+'IS PBC (Disposal)'!L33</f>
        <v>26463.74</v>
      </c>
      <c r="G72" s="25">
        <f>+'IS PBC (Disposal)'!M33</f>
        <v>24141.77</v>
      </c>
      <c r="H72" s="25">
        <f>+'IS PBC (Disposal)'!N33</f>
        <v>32505.1</v>
      </c>
      <c r="I72" s="25">
        <f>+'IS PBC (Disposal)'!O33</f>
        <v>25646.63</v>
      </c>
      <c r="J72" s="25">
        <f>+'IS PBC (Disposal)'!P33</f>
        <v>12172.16</v>
      </c>
      <c r="K72" s="25">
        <f>+'IS PBC (Disposal)'!Q33</f>
        <v>26106.36</v>
      </c>
      <c r="L72" s="25">
        <f>+'IS PBC (Disposal)'!R33</f>
        <v>45784.54</v>
      </c>
      <c r="M72" s="25">
        <f>+'IS PBC (Disposal)'!S33</f>
        <v>14948.35</v>
      </c>
      <c r="N72" s="25">
        <f t="shared" si="5"/>
        <v>310962.81999999995</v>
      </c>
      <c r="O72" s="25">
        <v>0</v>
      </c>
      <c r="P72" s="25"/>
      <c r="Q72" s="25">
        <f t="shared" si="6"/>
        <v>310962.81999999995</v>
      </c>
    </row>
    <row r="73" spans="1:17" ht="15" customHeight="1">
      <c r="A73" s="24" t="s">
        <v>274</v>
      </c>
      <c r="B73" s="25">
        <f>+'IS PBC (Disposal)'!H34</f>
        <v>11424.6</v>
      </c>
      <c r="C73" s="25">
        <f>+'IS PBC (Disposal)'!I34</f>
        <v>15645.37</v>
      </c>
      <c r="D73" s="25">
        <f>+'IS PBC (Disposal)'!J34</f>
        <v>14223.96</v>
      </c>
      <c r="E73" s="25">
        <f>+'IS PBC (Disposal)'!K34</f>
        <v>18464.400000000001</v>
      </c>
      <c r="F73" s="25">
        <f>+'IS PBC (Disposal)'!L34</f>
        <v>22404.48</v>
      </c>
      <c r="G73" s="25">
        <f>+'IS PBC (Disposal)'!M34</f>
        <v>17071.400000000001</v>
      </c>
      <c r="H73" s="25">
        <f>+'IS PBC (Disposal)'!N34</f>
        <v>18867.43</v>
      </c>
      <c r="I73" s="25">
        <f>+'IS PBC (Disposal)'!O34</f>
        <v>17745.560000000001</v>
      </c>
      <c r="J73" s="25">
        <f>+'IS PBC (Disposal)'!P34</f>
        <v>19559.71</v>
      </c>
      <c r="K73" s="25">
        <f>+'IS PBC (Disposal)'!Q34</f>
        <v>21866.03</v>
      </c>
      <c r="L73" s="25">
        <f>+'IS PBC (Disposal)'!R34</f>
        <v>11352.41</v>
      </c>
      <c r="M73" s="25">
        <f>+'IS PBC (Disposal)'!S34</f>
        <v>13655.3</v>
      </c>
      <c r="N73" s="25">
        <f t="shared" si="5"/>
        <v>202280.64999999997</v>
      </c>
      <c r="O73" s="25">
        <v>0</v>
      </c>
      <c r="P73" s="25"/>
      <c r="Q73" s="25">
        <f t="shared" si="6"/>
        <v>202280.64999999997</v>
      </c>
    </row>
    <row r="74" spans="1:17" ht="15" customHeight="1">
      <c r="A74" s="24" t="s">
        <v>227</v>
      </c>
      <c r="B74" s="25">
        <f>+'IS PBC (Disposal)'!H35</f>
        <v>78986.47</v>
      </c>
      <c r="C74" s="25">
        <f>+'IS PBC (Disposal)'!I35</f>
        <v>91823.29</v>
      </c>
      <c r="D74" s="25">
        <f>+'IS PBC (Disposal)'!J35</f>
        <v>90838.15</v>
      </c>
      <c r="E74" s="25">
        <f>+'IS PBC (Disposal)'!K35</f>
        <v>93831.71</v>
      </c>
      <c r="F74" s="25">
        <f>+'IS PBC (Disposal)'!L35</f>
        <v>86485.77</v>
      </c>
      <c r="G74" s="25">
        <f>+'IS PBC (Disposal)'!M35</f>
        <v>90338.23</v>
      </c>
      <c r="H74" s="25">
        <f>+'IS PBC (Disposal)'!N35</f>
        <v>111445.72</v>
      </c>
      <c r="I74" s="25">
        <f>+'IS PBC (Disposal)'!O35</f>
        <v>113842.92</v>
      </c>
      <c r="J74" s="25">
        <f>+'IS PBC (Disposal)'!P35</f>
        <v>87918.48</v>
      </c>
      <c r="K74" s="25">
        <f>+'IS PBC (Disposal)'!Q35</f>
        <v>111687.25</v>
      </c>
      <c r="L74" s="25">
        <f>+'IS PBC (Disposal)'!R35</f>
        <v>134862.42000000001</v>
      </c>
      <c r="M74" s="25">
        <f>+'IS PBC (Disposal)'!S35</f>
        <v>86044.4</v>
      </c>
      <c r="N74" s="25">
        <f t="shared" si="5"/>
        <v>1178104.8099999998</v>
      </c>
      <c r="O74" s="25">
        <v>0</v>
      </c>
      <c r="P74" s="25"/>
      <c r="Q74" s="25">
        <f t="shared" si="6"/>
        <v>1178104.8099999998</v>
      </c>
    </row>
    <row r="75" spans="1:17" ht="15" customHeight="1">
      <c r="A75" s="24" t="s">
        <v>228</v>
      </c>
      <c r="B75" s="25">
        <f>+'IS PBC (Disposal)'!H37</f>
        <v>480</v>
      </c>
      <c r="C75" s="25">
        <f>+'IS PBC (Disposal)'!I37</f>
        <v>0</v>
      </c>
      <c r="D75" s="25">
        <f>+'IS PBC (Disposal)'!J37</f>
        <v>2100</v>
      </c>
      <c r="E75" s="25">
        <f>+'IS PBC (Disposal)'!K37</f>
        <v>60</v>
      </c>
      <c r="F75" s="25">
        <f>+'IS PBC (Disposal)'!L37</f>
        <v>0</v>
      </c>
      <c r="G75" s="25">
        <f>+'IS PBC (Disposal)'!M37</f>
        <v>0</v>
      </c>
      <c r="H75" s="25">
        <f>+'IS PBC (Disposal)'!N37</f>
        <v>0</v>
      </c>
      <c r="I75" s="25">
        <f>+'IS PBC (Disposal)'!O37</f>
        <v>60</v>
      </c>
      <c r="J75" s="25">
        <f>+'IS PBC (Disposal)'!P37</f>
        <v>0</v>
      </c>
      <c r="K75" s="25">
        <f>+'IS PBC (Disposal)'!Q37</f>
        <v>3062</v>
      </c>
      <c r="L75" s="25">
        <f>+'IS PBC (Disposal)'!R37</f>
        <v>0</v>
      </c>
      <c r="M75" s="25">
        <f>+'IS PBC (Disposal)'!S37</f>
        <v>480</v>
      </c>
      <c r="N75" s="25">
        <f t="shared" si="5"/>
        <v>6242</v>
      </c>
      <c r="O75" s="25">
        <v>0</v>
      </c>
      <c r="P75" s="25"/>
      <c r="Q75" s="25">
        <f t="shared" si="6"/>
        <v>6242</v>
      </c>
    </row>
    <row r="76" spans="1:17" ht="15" customHeight="1">
      <c r="A76" s="24" t="s">
        <v>229</v>
      </c>
      <c r="B76" s="25">
        <f>+'IS PBC (Disposal)'!H38</f>
        <v>28582.94</v>
      </c>
      <c r="C76" s="25">
        <f>+'IS PBC (Disposal)'!I38</f>
        <v>34903.230000000003</v>
      </c>
      <c r="D76" s="25">
        <f>+'IS PBC (Disposal)'!J38</f>
        <v>33550.870000000003</v>
      </c>
      <c r="E76" s="25">
        <f>+'IS PBC (Disposal)'!K38</f>
        <v>42009.84</v>
      </c>
      <c r="F76" s="25">
        <f>+'IS PBC (Disposal)'!L38</f>
        <v>44739.51</v>
      </c>
      <c r="G76" s="25">
        <f>+'IS PBC (Disposal)'!M38</f>
        <v>43741</v>
      </c>
      <c r="H76" s="25">
        <f>+'IS PBC (Disposal)'!N38</f>
        <v>55733.48</v>
      </c>
      <c r="I76" s="25">
        <f>+'IS PBC (Disposal)'!O38</f>
        <v>59766.98</v>
      </c>
      <c r="J76" s="25">
        <f>+'IS PBC (Disposal)'!P38</f>
        <v>24692.53</v>
      </c>
      <c r="K76" s="25">
        <f>+'IS PBC (Disposal)'!Q38</f>
        <v>58370.63</v>
      </c>
      <c r="L76" s="25">
        <f>+'IS PBC (Disposal)'!R38</f>
        <v>41539.94</v>
      </c>
      <c r="M76" s="25">
        <f>+'IS PBC (Disposal)'!S38</f>
        <v>41277.699999999997</v>
      </c>
      <c r="N76" s="25">
        <f t="shared" si="5"/>
        <v>508908.65</v>
      </c>
      <c r="O76" s="25">
        <v>0</v>
      </c>
      <c r="P76" s="25"/>
      <c r="Q76" s="25">
        <f t="shared" si="6"/>
        <v>508908.65</v>
      </c>
    </row>
    <row r="77" spans="1:17" ht="15" customHeight="1">
      <c r="A77" s="24" t="s">
        <v>12</v>
      </c>
      <c r="B77" s="25">
        <f>+'IS PBC (Disposal)'!H42</f>
        <v>10940</v>
      </c>
      <c r="C77" s="25">
        <f>+'IS PBC (Disposal)'!I42</f>
        <v>10670</v>
      </c>
      <c r="D77" s="25">
        <f>+'IS PBC (Disposal)'!J42</f>
        <v>10400</v>
      </c>
      <c r="E77" s="25">
        <f>+'IS PBC (Disposal)'!K42</f>
        <v>10400</v>
      </c>
      <c r="F77" s="25">
        <f>+'IS PBC (Disposal)'!L42</f>
        <v>10400</v>
      </c>
      <c r="G77" s="25">
        <f>+'IS PBC (Disposal)'!M42</f>
        <v>15600</v>
      </c>
      <c r="H77" s="25">
        <f>+'IS PBC (Disposal)'!N42</f>
        <v>10400</v>
      </c>
      <c r="I77" s="25">
        <f>+'IS PBC (Disposal)'!O42</f>
        <v>10400</v>
      </c>
      <c r="J77" s="25">
        <f>+'IS PBC (Disposal)'!P42</f>
        <v>10400</v>
      </c>
      <c r="K77" s="25">
        <f>+'IS PBC (Disposal)'!Q42</f>
        <v>10400</v>
      </c>
      <c r="L77" s="25">
        <f>+'IS PBC (Disposal)'!R42</f>
        <v>10600</v>
      </c>
      <c r="M77" s="25">
        <f>+'IS PBC (Disposal)'!S42</f>
        <v>16200</v>
      </c>
      <c r="N77" s="25">
        <f t="shared" si="5"/>
        <v>136810</v>
      </c>
      <c r="O77" s="25">
        <v>0</v>
      </c>
      <c r="P77" s="25"/>
      <c r="Q77" s="25">
        <f t="shared" si="6"/>
        <v>136810</v>
      </c>
    </row>
    <row r="78" spans="1:17" ht="15" customHeight="1">
      <c r="A78" s="24" t="s">
        <v>629</v>
      </c>
      <c r="B78" s="25">
        <f>+'IS PBC (Disposal)'!H43</f>
        <v>13553.68</v>
      </c>
      <c r="C78" s="25">
        <f>+'IS PBC (Disposal)'!I43</f>
        <v>476</v>
      </c>
      <c r="D78" s="25">
        <f>+'IS PBC (Disposal)'!J43</f>
        <v>428</v>
      </c>
      <c r="E78" s="25">
        <f>+'IS PBC (Disposal)'!K43</f>
        <v>576</v>
      </c>
      <c r="F78" s="25">
        <f>+'IS PBC (Disposal)'!L43</f>
        <v>1987.24</v>
      </c>
      <c r="G78" s="25">
        <f>+'IS PBC (Disposal)'!M43</f>
        <v>2833.5</v>
      </c>
      <c r="H78" s="25">
        <f>+'IS PBC (Disposal)'!N43</f>
        <v>652</v>
      </c>
      <c r="I78" s="25">
        <f>+'IS PBC (Disposal)'!O43</f>
        <v>1612</v>
      </c>
      <c r="J78" s="25">
        <f>+'IS PBC (Disposal)'!P43</f>
        <v>2087.3200000000002</v>
      </c>
      <c r="K78" s="25">
        <f>+'IS PBC (Disposal)'!Q43</f>
        <v>826</v>
      </c>
      <c r="L78" s="25">
        <f>+'IS PBC (Disposal)'!R43</f>
        <v>2118.5</v>
      </c>
      <c r="M78" s="25">
        <f>+'IS PBC (Disposal)'!S43</f>
        <v>99504.07</v>
      </c>
      <c r="N78" s="25">
        <f t="shared" si="5"/>
        <v>126654.31000000001</v>
      </c>
      <c r="O78" s="25">
        <v>0</v>
      </c>
      <c r="P78" s="25"/>
      <c r="Q78" s="25">
        <f t="shared" si="6"/>
        <v>126654.31000000001</v>
      </c>
    </row>
    <row r="79" spans="1:17" ht="15" customHeight="1">
      <c r="A79" s="24" t="s">
        <v>77</v>
      </c>
      <c r="B79" s="25">
        <f>+'IS PBC (Disposal)'!H41</f>
        <v>3337.36</v>
      </c>
      <c r="C79" s="25">
        <f>+'IS PBC (Disposal)'!I41</f>
        <v>1692.41</v>
      </c>
      <c r="D79" s="25">
        <f>+'IS PBC (Disposal)'!J41</f>
        <v>580.78</v>
      </c>
      <c r="E79" s="25">
        <f>+'IS PBC (Disposal)'!K41</f>
        <v>1037.94</v>
      </c>
      <c r="F79" s="25">
        <f>+'IS PBC (Disposal)'!L41</f>
        <v>587.28</v>
      </c>
      <c r="G79" s="25">
        <f>+'IS PBC (Disposal)'!M41</f>
        <v>7447.27</v>
      </c>
      <c r="H79" s="25">
        <f>+'IS PBC (Disposal)'!N41</f>
        <v>6281.51</v>
      </c>
      <c r="I79" s="25">
        <f>+'IS PBC (Disposal)'!O41</f>
        <v>1039.71</v>
      </c>
      <c r="J79" s="25">
        <f>+'IS PBC (Disposal)'!P41</f>
        <v>1232.0999999999999</v>
      </c>
      <c r="K79" s="25">
        <f>+'IS PBC (Disposal)'!Q41</f>
        <v>747.07</v>
      </c>
      <c r="L79" s="25">
        <f>+'IS PBC (Disposal)'!R41</f>
        <v>803.17</v>
      </c>
      <c r="M79" s="25">
        <f>+'IS PBC (Disposal)'!S41</f>
        <v>1647.89</v>
      </c>
      <c r="N79" s="25">
        <f t="shared" si="5"/>
        <v>26434.489999999998</v>
      </c>
      <c r="O79" s="25">
        <v>0</v>
      </c>
      <c r="P79" s="25"/>
      <c r="Q79" s="25">
        <f t="shared" si="6"/>
        <v>26434.489999999998</v>
      </c>
    </row>
    <row r="80" spans="1:17" ht="15" customHeight="1">
      <c r="A80" s="24" t="s">
        <v>230</v>
      </c>
      <c r="B80" s="25">
        <f>+'IS PBC (Disposal)'!H44</f>
        <v>86742.57</v>
      </c>
      <c r="C80" s="25">
        <f>+'IS PBC (Disposal)'!I44</f>
        <v>109203.63</v>
      </c>
      <c r="D80" s="25">
        <f>+'IS PBC (Disposal)'!J44</f>
        <v>104369.71</v>
      </c>
      <c r="E80" s="25">
        <f>+'IS PBC (Disposal)'!K44</f>
        <v>109634.92</v>
      </c>
      <c r="F80" s="25">
        <f>+'IS PBC (Disposal)'!L44</f>
        <v>106645.64</v>
      </c>
      <c r="G80" s="25">
        <f>+'IS PBC (Disposal)'!M44</f>
        <v>162773.21</v>
      </c>
      <c r="H80" s="25">
        <f>+'IS PBC (Disposal)'!N44</f>
        <v>107447.61</v>
      </c>
      <c r="I80" s="25">
        <f>+'IS PBC (Disposal)'!O44</f>
        <v>108580.27</v>
      </c>
      <c r="J80" s="25">
        <f>+'IS PBC (Disposal)'!P44</f>
        <v>108149.75</v>
      </c>
      <c r="K80" s="25">
        <f>+'IS PBC (Disposal)'!Q44</f>
        <v>112597.31</v>
      </c>
      <c r="L80" s="25">
        <f>+'IS PBC (Disposal)'!R44</f>
        <v>114779.84</v>
      </c>
      <c r="M80" s="25">
        <f>+'IS PBC (Disposal)'!S44</f>
        <v>149936.85999999999</v>
      </c>
      <c r="N80" s="25">
        <f t="shared" si="5"/>
        <v>1380861.3200000003</v>
      </c>
      <c r="O80" s="25">
        <v>0</v>
      </c>
      <c r="P80" s="25"/>
      <c r="Q80" s="25">
        <f t="shared" si="6"/>
        <v>1380861.3200000003</v>
      </c>
    </row>
    <row r="81" spans="1:17" ht="15" customHeight="1">
      <c r="A81" s="98" t="s">
        <v>9</v>
      </c>
      <c r="B81" s="25">
        <v>0</v>
      </c>
      <c r="C81" s="25">
        <v>0</v>
      </c>
      <c r="D81" s="25">
        <v>0</v>
      </c>
      <c r="E81" s="25">
        <v>0</v>
      </c>
      <c r="F81" s="25">
        <v>0</v>
      </c>
      <c r="G81" s="25">
        <v>0</v>
      </c>
      <c r="H81" s="25">
        <v>0</v>
      </c>
      <c r="I81" s="25">
        <v>0</v>
      </c>
      <c r="J81" s="25">
        <v>0</v>
      </c>
      <c r="K81" s="25">
        <v>0</v>
      </c>
      <c r="L81" s="25">
        <v>0</v>
      </c>
      <c r="M81" s="25">
        <v>0</v>
      </c>
      <c r="N81" s="25">
        <f t="shared" si="5"/>
        <v>0</v>
      </c>
      <c r="O81" s="25">
        <v>0</v>
      </c>
      <c r="P81" s="25"/>
      <c r="Q81" s="25">
        <f t="shared" si="6"/>
        <v>0</v>
      </c>
    </row>
    <row r="82" spans="1:17" ht="15" customHeight="1">
      <c r="A82" s="98" t="s">
        <v>10</v>
      </c>
      <c r="B82" s="25">
        <v>0</v>
      </c>
      <c r="C82" s="25">
        <v>0</v>
      </c>
      <c r="D82" s="25">
        <v>0</v>
      </c>
      <c r="E82" s="25">
        <v>0</v>
      </c>
      <c r="F82" s="25">
        <v>0</v>
      </c>
      <c r="G82" s="25">
        <v>0</v>
      </c>
      <c r="H82" s="25">
        <v>0</v>
      </c>
      <c r="I82" s="25">
        <v>0</v>
      </c>
      <c r="J82" s="25">
        <v>0</v>
      </c>
      <c r="K82" s="25">
        <v>0</v>
      </c>
      <c r="L82" s="25">
        <v>0</v>
      </c>
      <c r="M82" s="25">
        <v>0</v>
      </c>
      <c r="N82" s="25">
        <f t="shared" si="5"/>
        <v>0</v>
      </c>
      <c r="O82" s="25">
        <v>0</v>
      </c>
      <c r="P82" s="25"/>
      <c r="Q82" s="25">
        <f t="shared" si="6"/>
        <v>0</v>
      </c>
    </row>
    <row r="83" spans="1:17" ht="15" customHeight="1">
      <c r="A83" s="98" t="s">
        <v>498</v>
      </c>
      <c r="B83" s="25">
        <v>0</v>
      </c>
      <c r="C83" s="25">
        <v>0</v>
      </c>
      <c r="D83" s="25">
        <v>0</v>
      </c>
      <c r="E83" s="25">
        <v>0</v>
      </c>
      <c r="F83" s="25">
        <v>0</v>
      </c>
      <c r="G83" s="25">
        <v>0</v>
      </c>
      <c r="H83" s="25">
        <v>0</v>
      </c>
      <c r="I83" s="25">
        <v>0</v>
      </c>
      <c r="J83" s="25">
        <v>0</v>
      </c>
      <c r="K83" s="25">
        <v>0</v>
      </c>
      <c r="L83" s="25">
        <v>0</v>
      </c>
      <c r="M83" s="25">
        <v>0</v>
      </c>
      <c r="N83" s="25">
        <f t="shared" si="5"/>
        <v>0</v>
      </c>
      <c r="O83" s="25">
        <v>0</v>
      </c>
      <c r="P83" s="25"/>
      <c r="Q83" s="25">
        <f t="shared" si="6"/>
        <v>0</v>
      </c>
    </row>
    <row r="84" spans="1:17" ht="15" customHeight="1">
      <c r="A84" s="98" t="s">
        <v>499</v>
      </c>
      <c r="B84" s="25">
        <v>0</v>
      </c>
      <c r="C84" s="25">
        <v>0</v>
      </c>
      <c r="D84" s="25">
        <v>0</v>
      </c>
      <c r="E84" s="25">
        <v>0</v>
      </c>
      <c r="F84" s="25">
        <v>0</v>
      </c>
      <c r="G84" s="25">
        <v>0</v>
      </c>
      <c r="H84" s="25">
        <v>0</v>
      </c>
      <c r="I84" s="25">
        <v>0</v>
      </c>
      <c r="J84" s="25">
        <v>0</v>
      </c>
      <c r="K84" s="25">
        <v>0</v>
      </c>
      <c r="L84" s="25">
        <v>0</v>
      </c>
      <c r="M84" s="25">
        <v>0</v>
      </c>
      <c r="N84" s="25">
        <f t="shared" si="5"/>
        <v>0</v>
      </c>
      <c r="O84" s="25">
        <v>0</v>
      </c>
      <c r="P84" s="25"/>
      <c r="Q84" s="25">
        <f t="shared" si="6"/>
        <v>0</v>
      </c>
    </row>
    <row r="85" spans="1:17" ht="15" customHeight="1">
      <c r="A85" s="98" t="s">
        <v>52</v>
      </c>
      <c r="B85" s="25">
        <v>0</v>
      </c>
      <c r="C85" s="25">
        <v>0</v>
      </c>
      <c r="D85" s="25">
        <v>0</v>
      </c>
      <c r="E85" s="25">
        <v>0</v>
      </c>
      <c r="F85" s="25">
        <v>0</v>
      </c>
      <c r="G85" s="25">
        <v>0</v>
      </c>
      <c r="H85" s="25">
        <v>0</v>
      </c>
      <c r="I85" s="25">
        <v>0</v>
      </c>
      <c r="J85" s="25">
        <v>0</v>
      </c>
      <c r="K85" s="25">
        <v>0</v>
      </c>
      <c r="L85" s="25">
        <v>0</v>
      </c>
      <c r="M85" s="25">
        <v>0</v>
      </c>
      <c r="N85" s="25">
        <f t="shared" si="5"/>
        <v>0</v>
      </c>
      <c r="O85" s="25">
        <v>0</v>
      </c>
      <c r="P85" s="25"/>
      <c r="Q85" s="25">
        <f t="shared" si="6"/>
        <v>0</v>
      </c>
    </row>
    <row r="86" spans="1:17" ht="15" customHeight="1">
      <c r="A86" s="24" t="s">
        <v>500</v>
      </c>
      <c r="B86" s="25">
        <v>0</v>
      </c>
      <c r="C86" s="25">
        <v>0</v>
      </c>
      <c r="D86" s="25">
        <v>0</v>
      </c>
      <c r="E86" s="25">
        <v>0</v>
      </c>
      <c r="F86" s="25">
        <v>0</v>
      </c>
      <c r="G86" s="25">
        <v>0</v>
      </c>
      <c r="H86" s="25">
        <v>0</v>
      </c>
      <c r="I86" s="25">
        <v>0</v>
      </c>
      <c r="J86" s="25">
        <v>0</v>
      </c>
      <c r="K86" s="25">
        <v>0</v>
      </c>
      <c r="L86" s="25">
        <v>0</v>
      </c>
      <c r="M86" s="25">
        <v>0</v>
      </c>
      <c r="N86" s="25">
        <f t="shared" si="5"/>
        <v>0</v>
      </c>
      <c r="O86" s="25">
        <v>0</v>
      </c>
      <c r="P86" s="25"/>
      <c r="Q86" s="25">
        <f t="shared" si="6"/>
        <v>0</v>
      </c>
    </row>
    <row r="87" spans="1:17" ht="15" customHeight="1">
      <c r="A87" s="24" t="s">
        <v>231</v>
      </c>
      <c r="B87" s="25">
        <f>+'IS PBC (Disposal)'!H45</f>
        <v>3445.74</v>
      </c>
      <c r="C87" s="25">
        <f>+'IS PBC (Disposal)'!I45</f>
        <v>5186.97</v>
      </c>
      <c r="D87" s="25">
        <f>+'IS PBC (Disposal)'!J45</f>
        <v>3963.1</v>
      </c>
      <c r="E87" s="25">
        <f>+'IS PBC (Disposal)'!K45</f>
        <v>-13228.23</v>
      </c>
      <c r="F87" s="25">
        <f>+'IS PBC (Disposal)'!L45</f>
        <v>3878.79</v>
      </c>
      <c r="G87" s="25">
        <f>+'IS PBC (Disposal)'!M45</f>
        <v>23255.33</v>
      </c>
      <c r="H87" s="25">
        <f>+'IS PBC (Disposal)'!N45</f>
        <v>4970.87</v>
      </c>
      <c r="I87" s="25">
        <f>+'IS PBC (Disposal)'!O45</f>
        <v>4163.97</v>
      </c>
      <c r="J87" s="25">
        <f>+'IS PBC (Disposal)'!P45</f>
        <v>7653.26</v>
      </c>
      <c r="K87" s="25">
        <f>+'IS PBC (Disposal)'!Q45</f>
        <v>5136.3100000000004</v>
      </c>
      <c r="L87" s="25">
        <f>+'IS PBC (Disposal)'!R45</f>
        <v>5044.21</v>
      </c>
      <c r="M87" s="25">
        <f>+'IS PBC (Disposal)'!S45</f>
        <v>3005.96</v>
      </c>
      <c r="N87" s="25">
        <f t="shared" si="5"/>
        <v>56476.28</v>
      </c>
      <c r="O87" s="25">
        <v>0</v>
      </c>
      <c r="P87" s="25"/>
      <c r="Q87" s="25">
        <f t="shared" si="6"/>
        <v>56476.28</v>
      </c>
    </row>
    <row r="88" spans="1:17" ht="15" customHeight="1">
      <c r="A88" s="24" t="s">
        <v>232</v>
      </c>
      <c r="B88" s="25">
        <f>+'IS PBC (Disposal)'!H46</f>
        <v>2062.35</v>
      </c>
      <c r="C88" s="25">
        <f>+'IS PBC (Disposal)'!I46</f>
        <v>1843.3</v>
      </c>
      <c r="D88" s="25">
        <f>+'IS PBC (Disposal)'!J46</f>
        <v>39492.44</v>
      </c>
      <c r="E88" s="25">
        <f>+'IS PBC (Disposal)'!K46</f>
        <v>1843.3</v>
      </c>
      <c r="F88" s="25">
        <f>+'IS PBC (Disposal)'!L46</f>
        <v>1515.6</v>
      </c>
      <c r="G88" s="25">
        <f>+'IS PBC (Disposal)'!M46</f>
        <v>-3404.05</v>
      </c>
      <c r="H88" s="25">
        <f>+'IS PBC (Disposal)'!N46</f>
        <v>1785.65</v>
      </c>
      <c r="I88" s="25">
        <f>+'IS PBC (Disposal)'!O46</f>
        <v>1785.65</v>
      </c>
      <c r="J88" s="25">
        <f>+'IS PBC (Disposal)'!P46</f>
        <v>57100.75</v>
      </c>
      <c r="K88" s="25">
        <f>+'IS PBC (Disposal)'!Q46</f>
        <v>1785.65</v>
      </c>
      <c r="L88" s="25">
        <f>+'IS PBC (Disposal)'!R46</f>
        <v>1785.65</v>
      </c>
      <c r="M88" s="25">
        <f>+'IS PBC (Disposal)'!S46</f>
        <v>32495.39</v>
      </c>
      <c r="N88" s="25">
        <f t="shared" si="5"/>
        <v>140091.68</v>
      </c>
      <c r="O88" s="25">
        <v>0</v>
      </c>
      <c r="P88" s="25"/>
      <c r="Q88" s="25">
        <f t="shared" si="6"/>
        <v>140091.68</v>
      </c>
    </row>
    <row r="89" spans="1:17">
      <c r="A89" s="24" t="s">
        <v>233</v>
      </c>
      <c r="B89" s="25">
        <f>+'IS PBC (Disposal)'!H47</f>
        <v>1052.03</v>
      </c>
      <c r="C89" s="25">
        <f>+'IS PBC (Disposal)'!I47</f>
        <v>1061.1600000000001</v>
      </c>
      <c r="D89" s="25">
        <f>+'IS PBC (Disposal)'!J47</f>
        <v>1048.8599999999999</v>
      </c>
      <c r="E89" s="25">
        <f>+'IS PBC (Disposal)'!K47</f>
        <v>1186.53</v>
      </c>
      <c r="F89" s="25">
        <f>+'IS PBC (Disposal)'!L47</f>
        <v>1060.2</v>
      </c>
      <c r="G89" s="25">
        <f>+'IS PBC (Disposal)'!M47</f>
        <v>1643.64</v>
      </c>
      <c r="H89" s="25">
        <f>+'IS PBC (Disposal)'!N47</f>
        <v>1116.71</v>
      </c>
      <c r="I89" s="25">
        <f>+'IS PBC (Disposal)'!O47</f>
        <v>1131.6600000000001</v>
      </c>
      <c r="J89" s="25">
        <f>+'IS PBC (Disposal)'!P47</f>
        <v>1154.4000000000001</v>
      </c>
      <c r="K89" s="25">
        <f>+'IS PBC (Disposal)'!Q47</f>
        <v>1144.1199999999999</v>
      </c>
      <c r="L89" s="25">
        <f>+'IS PBC (Disposal)'!R47</f>
        <v>1303.9100000000001</v>
      </c>
      <c r="M89" s="25">
        <f>+'IS PBC (Disposal)'!S47</f>
        <v>23829.8</v>
      </c>
      <c r="N89" s="25">
        <f t="shared" si="5"/>
        <v>36733.020000000004</v>
      </c>
      <c r="O89" s="25">
        <v>0</v>
      </c>
      <c r="P89" s="25"/>
      <c r="Q89" s="25">
        <f>N89+O89</f>
        <v>36733.020000000004</v>
      </c>
    </row>
    <row r="90" spans="1:17" ht="15" customHeight="1">
      <c r="A90" s="24" t="s">
        <v>1001</v>
      </c>
      <c r="B90" s="25">
        <f>+'IS PBC (Disposal)'!H49</f>
        <v>529.11</v>
      </c>
      <c r="C90" s="25">
        <f>+'IS PBC (Disposal)'!I49</f>
        <v>542.07000000000005</v>
      </c>
      <c r="D90" s="25">
        <f>+'IS PBC (Disposal)'!J49</f>
        <v>534.01</v>
      </c>
      <c r="E90" s="25">
        <f>+'IS PBC (Disposal)'!K49</f>
        <v>491.78</v>
      </c>
      <c r="F90" s="25">
        <f>+'IS PBC (Disposal)'!L49</f>
        <v>402.78</v>
      </c>
      <c r="G90" s="25">
        <f>+'IS PBC (Disposal)'!M49</f>
        <v>642.08000000000004</v>
      </c>
      <c r="H90" s="25">
        <f>+'IS PBC (Disposal)'!N49</f>
        <v>451.32</v>
      </c>
      <c r="I90" s="25">
        <f>+'IS PBC (Disposal)'!O49</f>
        <v>435.36</v>
      </c>
      <c r="J90" s="25">
        <f>+'IS PBC (Disposal)'!P49</f>
        <v>433.89</v>
      </c>
      <c r="K90" s="25">
        <f>+'IS PBC (Disposal)'!Q49</f>
        <v>409.35</v>
      </c>
      <c r="L90" s="25">
        <f>+'IS PBC (Disposal)'!R49</f>
        <v>388.68</v>
      </c>
      <c r="M90" s="25">
        <f>+'IS PBC (Disposal)'!S49</f>
        <v>403.49</v>
      </c>
      <c r="N90" s="25">
        <f>SUM(B90:M90)</f>
        <v>5663.920000000001</v>
      </c>
      <c r="O90" s="25">
        <v>0</v>
      </c>
      <c r="P90" s="25"/>
      <c r="Q90" s="25">
        <f>N90+O90</f>
        <v>5663.920000000001</v>
      </c>
    </row>
    <row r="91" spans="1:17" ht="15" customHeight="1">
      <c r="A91" s="24" t="s">
        <v>1002</v>
      </c>
      <c r="B91" s="25">
        <f>+'IS PBC (Disposal)'!H50</f>
        <v>715.85</v>
      </c>
      <c r="C91" s="25">
        <f>+'IS PBC (Disposal)'!I50</f>
        <v>312.99</v>
      </c>
      <c r="D91" s="25">
        <f>+'IS PBC (Disposal)'!J50</f>
        <v>16.66</v>
      </c>
      <c r="E91" s="25">
        <f>+'IS PBC (Disposal)'!K50</f>
        <v>32.79</v>
      </c>
      <c r="F91" s="25">
        <f>+'IS PBC (Disposal)'!L50</f>
        <v>20.170000000000002</v>
      </c>
      <c r="G91" s="25">
        <f>+'IS PBC (Disposal)'!M50</f>
        <v>48.11</v>
      </c>
      <c r="H91" s="25">
        <f>+'IS PBC (Disposal)'!N50</f>
        <v>29.37</v>
      </c>
      <c r="I91" s="25">
        <f>+'IS PBC (Disposal)'!O50</f>
        <v>36.67</v>
      </c>
      <c r="J91" s="25">
        <f>+'IS PBC (Disposal)'!P50</f>
        <v>32.619999999999997</v>
      </c>
      <c r="K91" s="25">
        <f>+'IS PBC (Disposal)'!Q50</f>
        <v>26.23</v>
      </c>
      <c r="L91" s="25">
        <f>+'IS PBC (Disposal)'!R50</f>
        <v>13.92</v>
      </c>
      <c r="M91" s="25">
        <f>+'IS PBC (Disposal)'!S50</f>
        <v>1.01</v>
      </c>
      <c r="N91" s="25">
        <f t="shared" ref="N91:N93" si="7">SUM(B91:M91)</f>
        <v>1286.3900000000001</v>
      </c>
      <c r="O91" s="25">
        <v>0</v>
      </c>
      <c r="P91" s="25"/>
      <c r="Q91" s="25">
        <f t="shared" ref="Q91:Q93" si="8">N91+O91</f>
        <v>1286.3900000000001</v>
      </c>
    </row>
    <row r="92" spans="1:17" ht="15" customHeight="1">
      <c r="A92" s="24" t="s">
        <v>1003</v>
      </c>
      <c r="B92" s="25">
        <f>+'IS PBC (Disposal)'!H51</f>
        <v>9428.64</v>
      </c>
      <c r="C92" s="25">
        <f>+'IS PBC (Disposal)'!I51</f>
        <v>9636.36</v>
      </c>
      <c r="D92" s="25">
        <f>+'IS PBC (Disposal)'!J51</f>
        <v>9481.35</v>
      </c>
      <c r="E92" s="25">
        <f>+'IS PBC (Disposal)'!K51</f>
        <v>9840.14</v>
      </c>
      <c r="F92" s="25">
        <f>+'IS PBC (Disposal)'!L51</f>
        <v>9447.82</v>
      </c>
      <c r="G92" s="25">
        <f>+'IS PBC (Disposal)'!M51</f>
        <v>14961.53</v>
      </c>
      <c r="H92" s="25">
        <f>+'IS PBC (Disposal)'!N51</f>
        <v>10366.67</v>
      </c>
      <c r="I92" s="25">
        <f>+'IS PBC (Disposal)'!O51</f>
        <v>10131.209999999999</v>
      </c>
      <c r="J92" s="25">
        <f>+'IS PBC (Disposal)'!P51</f>
        <v>10135.9</v>
      </c>
      <c r="K92" s="25">
        <f>+'IS PBC (Disposal)'!Q51</f>
        <v>9930.56</v>
      </c>
      <c r="L92" s="25">
        <f>+'IS PBC (Disposal)'!R51</f>
        <v>9875.08</v>
      </c>
      <c r="M92" s="25">
        <f>+'IS PBC (Disposal)'!S51</f>
        <v>21098.23</v>
      </c>
      <c r="N92" s="25">
        <f t="shared" si="7"/>
        <v>134333.49</v>
      </c>
      <c r="O92" s="25">
        <v>0</v>
      </c>
      <c r="P92" s="25"/>
      <c r="Q92" s="25">
        <f t="shared" si="8"/>
        <v>134333.49</v>
      </c>
    </row>
    <row r="93" spans="1:17" ht="15" customHeight="1">
      <c r="A93" s="24" t="s">
        <v>1004</v>
      </c>
      <c r="B93" s="25">
        <f>+'IS PBC (Disposal)'!H52</f>
        <v>0</v>
      </c>
      <c r="C93" s="25">
        <f>+'IS PBC (Disposal)'!I52</f>
        <v>0</v>
      </c>
      <c r="D93" s="25">
        <f>+'IS PBC (Disposal)'!J52</f>
        <v>2.54</v>
      </c>
      <c r="E93" s="25">
        <f>+'IS PBC (Disposal)'!K52</f>
        <v>0</v>
      </c>
      <c r="F93" s="25">
        <f>+'IS PBC (Disposal)'!L52</f>
        <v>0</v>
      </c>
      <c r="G93" s="25">
        <f>+'IS PBC (Disposal)'!M52</f>
        <v>0</v>
      </c>
      <c r="H93" s="25">
        <f>+'IS PBC (Disposal)'!N52</f>
        <v>0</v>
      </c>
      <c r="I93" s="25">
        <f>+'IS PBC (Disposal)'!O52</f>
        <v>0</v>
      </c>
      <c r="J93" s="25">
        <f>+'IS PBC (Disposal)'!P52</f>
        <v>0</v>
      </c>
      <c r="K93" s="25">
        <f>+'IS PBC (Disposal)'!Q52</f>
        <v>0</v>
      </c>
      <c r="L93" s="25">
        <f>+'IS PBC (Disposal)'!R52</f>
        <v>0</v>
      </c>
      <c r="M93" s="25">
        <f>+'IS PBC (Disposal)'!S52</f>
        <v>0</v>
      </c>
      <c r="N93" s="25">
        <f t="shared" si="7"/>
        <v>2.54</v>
      </c>
      <c r="O93" s="25">
        <v>0</v>
      </c>
      <c r="P93" s="25"/>
      <c r="Q93" s="25">
        <f t="shared" si="8"/>
        <v>2.54</v>
      </c>
    </row>
    <row r="94" spans="1:17" ht="15" customHeight="1">
      <c r="A94" s="24" t="s">
        <v>628</v>
      </c>
      <c r="B94" s="25">
        <f>+'IS PBC (Disposal)'!H40</f>
        <v>9187.16</v>
      </c>
      <c r="C94" s="25">
        <f>+'IS PBC (Disposal)'!I40</f>
        <v>4434.5</v>
      </c>
      <c r="D94" s="25">
        <f>+'IS PBC (Disposal)'!J40</f>
        <v>8671.2000000000007</v>
      </c>
      <c r="E94" s="25">
        <f>+'IS PBC (Disposal)'!K40</f>
        <v>7491.34</v>
      </c>
      <c r="F94" s="25">
        <f>+'IS PBC (Disposal)'!L40</f>
        <v>4392</v>
      </c>
      <c r="G94" s="25">
        <f>+'IS PBC (Disposal)'!M40</f>
        <v>7688.18</v>
      </c>
      <c r="H94" s="25">
        <f>+'IS PBC (Disposal)'!N40</f>
        <v>11242.48</v>
      </c>
      <c r="I94" s="25">
        <f>+'IS PBC (Disposal)'!O40</f>
        <v>11313.34</v>
      </c>
      <c r="J94" s="25">
        <f>+'IS PBC (Disposal)'!P40</f>
        <v>11137.48</v>
      </c>
      <c r="K94" s="25">
        <f>+'IS PBC (Disposal)'!Q40</f>
        <v>5752</v>
      </c>
      <c r="L94" s="25">
        <f>+'IS PBC (Disposal)'!R40</f>
        <v>1296</v>
      </c>
      <c r="M94" s="25">
        <f>+'IS PBC (Disposal)'!S40</f>
        <v>9270.64</v>
      </c>
      <c r="N94" s="25">
        <f t="shared" si="5"/>
        <v>91876.319999999992</v>
      </c>
      <c r="O94" s="25">
        <v>0</v>
      </c>
      <c r="P94" s="25"/>
      <c r="Q94" s="25">
        <f t="shared" ref="Q94:Q100" si="9">N94+O94</f>
        <v>91876.319999999992</v>
      </c>
    </row>
    <row r="95" spans="1:17" ht="15" customHeight="1">
      <c r="A95" s="24" t="s">
        <v>236</v>
      </c>
      <c r="B95" s="25">
        <f>+'IS PBC (Disposal)'!H55</f>
        <v>268.51</v>
      </c>
      <c r="C95" s="25">
        <f>+'IS PBC (Disposal)'!I55</f>
        <v>110.88</v>
      </c>
      <c r="D95" s="25">
        <f>+'IS PBC (Disposal)'!J55</f>
        <v>0</v>
      </c>
      <c r="E95" s="25">
        <f>+'IS PBC (Disposal)'!K55</f>
        <v>133.33000000000001</v>
      </c>
      <c r="F95" s="25">
        <f>+'IS PBC (Disposal)'!L55</f>
        <v>0</v>
      </c>
      <c r="G95" s="25">
        <f>+'IS PBC (Disposal)'!M55</f>
        <v>0</v>
      </c>
      <c r="H95" s="25">
        <f>+'IS PBC (Disposal)'!N55</f>
        <v>0</v>
      </c>
      <c r="I95" s="25">
        <f>+'IS PBC (Disposal)'!O55</f>
        <v>0</v>
      </c>
      <c r="J95" s="25">
        <f>+'IS PBC (Disposal)'!P55</f>
        <v>0</v>
      </c>
      <c r="K95" s="25">
        <f>+'IS PBC (Disposal)'!Q55</f>
        <v>0</v>
      </c>
      <c r="L95" s="25">
        <f>+'IS PBC (Disposal)'!R55</f>
        <v>0</v>
      </c>
      <c r="M95" s="25">
        <f>+'IS PBC (Disposal)'!S55</f>
        <v>0</v>
      </c>
      <c r="N95" s="25">
        <f t="shared" si="5"/>
        <v>512.72</v>
      </c>
      <c r="O95" s="25">
        <v>0</v>
      </c>
      <c r="P95" s="25"/>
      <c r="Q95" s="25">
        <f t="shared" si="9"/>
        <v>512.72</v>
      </c>
    </row>
    <row r="96" spans="1:17" ht="15" customHeight="1">
      <c r="A96" s="24" t="s">
        <v>237</v>
      </c>
      <c r="B96" s="25">
        <f>+'IS PBC (Disposal)'!H56</f>
        <v>0</v>
      </c>
      <c r="C96" s="25">
        <f>+'IS PBC (Disposal)'!I56</f>
        <v>0</v>
      </c>
      <c r="D96" s="25">
        <f>+'IS PBC (Disposal)'!J56</f>
        <v>0</v>
      </c>
      <c r="E96" s="25">
        <f>+'IS PBC (Disposal)'!K56</f>
        <v>0</v>
      </c>
      <c r="F96" s="25">
        <f>+'IS PBC (Disposal)'!L56</f>
        <v>0</v>
      </c>
      <c r="G96" s="25">
        <f>+'IS PBC (Disposal)'!M56</f>
        <v>0</v>
      </c>
      <c r="H96" s="25">
        <f>+'IS PBC (Disposal)'!N56</f>
        <v>0</v>
      </c>
      <c r="I96" s="25">
        <f>+'IS PBC (Disposal)'!O56</f>
        <v>0</v>
      </c>
      <c r="J96" s="25">
        <f>+'IS PBC (Disposal)'!P56</f>
        <v>0</v>
      </c>
      <c r="K96" s="25">
        <f>+'IS PBC (Disposal)'!Q56</f>
        <v>6178.18</v>
      </c>
      <c r="L96" s="25">
        <f>+'IS PBC (Disposal)'!R56</f>
        <v>0</v>
      </c>
      <c r="M96" s="25">
        <f>+'IS PBC (Disposal)'!S56</f>
        <v>0</v>
      </c>
      <c r="N96" s="25">
        <f t="shared" si="5"/>
        <v>6178.18</v>
      </c>
      <c r="O96" s="25">
        <v>0</v>
      </c>
      <c r="P96" s="25"/>
      <c r="Q96" s="25">
        <f t="shared" si="9"/>
        <v>6178.18</v>
      </c>
    </row>
    <row r="97" spans="1:17" ht="15" customHeight="1">
      <c r="A97" s="24" t="s">
        <v>633</v>
      </c>
      <c r="B97" s="25">
        <f>+'IS PBC (Disposal)'!H57</f>
        <v>0</v>
      </c>
      <c r="C97" s="25">
        <f>+'IS PBC (Disposal)'!I57</f>
        <v>169</v>
      </c>
      <c r="D97" s="25">
        <f>+'IS PBC (Disposal)'!J57</f>
        <v>1035.6600000000001</v>
      </c>
      <c r="E97" s="25">
        <f>+'IS PBC (Disposal)'!K57</f>
        <v>614.28</v>
      </c>
      <c r="F97" s="25">
        <f>+'IS PBC (Disposal)'!L57</f>
        <v>98</v>
      </c>
      <c r="G97" s="25">
        <f>+'IS PBC (Disposal)'!M57</f>
        <v>550.71</v>
      </c>
      <c r="H97" s="25">
        <f>+'IS PBC (Disposal)'!N57</f>
        <v>409.89</v>
      </c>
      <c r="I97" s="25">
        <f>+'IS PBC (Disposal)'!O57</f>
        <v>80</v>
      </c>
      <c r="J97" s="25">
        <f>+'IS PBC (Disposal)'!P57</f>
        <v>1511.32</v>
      </c>
      <c r="K97" s="25">
        <f>+'IS PBC (Disposal)'!Q57</f>
        <v>972.78</v>
      </c>
      <c r="L97" s="25">
        <f>+'IS PBC (Disposal)'!R57</f>
        <v>67.650000000000006</v>
      </c>
      <c r="M97" s="25">
        <f>+'IS PBC (Disposal)'!S57</f>
        <v>2202.14</v>
      </c>
      <c r="N97" s="25">
        <f t="shared" si="5"/>
        <v>7711.4299999999985</v>
      </c>
      <c r="O97" s="25">
        <v>0</v>
      </c>
      <c r="P97" s="25"/>
      <c r="Q97" s="25">
        <f t="shared" si="9"/>
        <v>7711.4299999999985</v>
      </c>
    </row>
    <row r="98" spans="1:17" ht="15" customHeight="1">
      <c r="A98" s="24" t="s">
        <v>239</v>
      </c>
      <c r="B98" s="25">
        <f>+'IS PBC (Disposal)'!H58</f>
        <v>1774.46</v>
      </c>
      <c r="C98" s="25">
        <f>+'IS PBC (Disposal)'!I58</f>
        <v>1262.07</v>
      </c>
      <c r="D98" s="25">
        <f>+'IS PBC (Disposal)'!J58</f>
        <v>2117.81</v>
      </c>
      <c r="E98" s="25">
        <f>+'IS PBC (Disposal)'!K58</f>
        <v>6570.57</v>
      </c>
      <c r="F98" s="25">
        <f>+'IS PBC (Disposal)'!L58</f>
        <v>1299.95</v>
      </c>
      <c r="G98" s="25">
        <f>+'IS PBC (Disposal)'!M58</f>
        <v>3180.34</v>
      </c>
      <c r="H98" s="25">
        <f>+'IS PBC (Disposal)'!N58</f>
        <v>2265.79</v>
      </c>
      <c r="I98" s="25">
        <f>+'IS PBC (Disposal)'!O58</f>
        <v>2419.6799999999998</v>
      </c>
      <c r="J98" s="25">
        <f>+'IS PBC (Disposal)'!P58</f>
        <v>2163.52</v>
      </c>
      <c r="K98" s="25">
        <f>+'IS PBC (Disposal)'!Q58</f>
        <v>4808.74</v>
      </c>
      <c r="L98" s="25">
        <f>+'IS PBC (Disposal)'!R58</f>
        <v>6588.79</v>
      </c>
      <c r="M98" s="25">
        <f>+'IS PBC (Disposal)'!S58</f>
        <v>1593.91</v>
      </c>
      <c r="N98" s="25">
        <f t="shared" si="5"/>
        <v>36045.630000000005</v>
      </c>
      <c r="O98" s="25">
        <v>0</v>
      </c>
      <c r="P98" s="25"/>
      <c r="Q98" s="25">
        <f t="shared" si="9"/>
        <v>36045.630000000005</v>
      </c>
    </row>
    <row r="99" spans="1:17" ht="15" customHeight="1">
      <c r="A99" s="24" t="s">
        <v>240</v>
      </c>
      <c r="B99" s="25">
        <f>+'IS PBC (Disposal)'!H59</f>
        <v>121.73</v>
      </c>
      <c r="C99" s="25">
        <f>+'IS PBC (Disposal)'!I59</f>
        <v>0</v>
      </c>
      <c r="D99" s="25">
        <f>+'IS PBC (Disposal)'!J59</f>
        <v>5744.03</v>
      </c>
      <c r="E99" s="25">
        <f>+'IS PBC (Disposal)'!K59</f>
        <v>0</v>
      </c>
      <c r="F99" s="25">
        <f>+'IS PBC (Disposal)'!L59</f>
        <v>0</v>
      </c>
      <c r="G99" s="25">
        <f>+'IS PBC (Disposal)'!M59</f>
        <v>0</v>
      </c>
      <c r="H99" s="25">
        <f>+'IS PBC (Disposal)'!N59</f>
        <v>0</v>
      </c>
      <c r="I99" s="25">
        <f>+'IS PBC (Disposal)'!O59</f>
        <v>790.14</v>
      </c>
      <c r="J99" s="25">
        <f>+'IS PBC (Disposal)'!P59</f>
        <v>3293.75</v>
      </c>
      <c r="K99" s="25">
        <f>+'IS PBC (Disposal)'!Q59</f>
        <v>0</v>
      </c>
      <c r="L99" s="25">
        <f>+'IS PBC (Disposal)'!R59</f>
        <v>0</v>
      </c>
      <c r="M99" s="25">
        <f>+'IS PBC (Disposal)'!S59</f>
        <v>0</v>
      </c>
      <c r="N99" s="25">
        <f t="shared" si="5"/>
        <v>9949.65</v>
      </c>
      <c r="O99" s="25">
        <v>0</v>
      </c>
      <c r="P99" s="25"/>
      <c r="Q99" s="25">
        <f t="shared" si="9"/>
        <v>9949.65</v>
      </c>
    </row>
    <row r="100" spans="1:17" ht="15" customHeight="1">
      <c r="A100" s="24" t="s">
        <v>691</v>
      </c>
      <c r="B100" s="25">
        <f>+'IS PBC (Disposal)'!H60</f>
        <v>0</v>
      </c>
      <c r="C100" s="25">
        <f>+'IS PBC (Disposal)'!I60</f>
        <v>0</v>
      </c>
      <c r="D100" s="25">
        <f>+'IS PBC (Disposal)'!J60</f>
        <v>0</v>
      </c>
      <c r="E100" s="25">
        <f>+'IS PBC (Disposal)'!K60</f>
        <v>22.46</v>
      </c>
      <c r="F100" s="25">
        <f>+'IS PBC (Disposal)'!L60</f>
        <v>0</v>
      </c>
      <c r="G100" s="25">
        <f>+'IS PBC (Disposal)'!M60</f>
        <v>336.32</v>
      </c>
      <c r="H100" s="25">
        <f>+'IS PBC (Disposal)'!N60</f>
        <v>683.26</v>
      </c>
      <c r="I100" s="25">
        <f>+'IS PBC (Disposal)'!O60</f>
        <v>0</v>
      </c>
      <c r="J100" s="25">
        <f>+'IS PBC (Disposal)'!P60</f>
        <v>0</v>
      </c>
      <c r="K100" s="25">
        <f>+'IS PBC (Disposal)'!Q60</f>
        <v>0</v>
      </c>
      <c r="L100" s="25">
        <f>+'IS PBC (Disposal)'!R60</f>
        <v>0</v>
      </c>
      <c r="M100" s="25">
        <f>+'IS PBC (Disposal)'!S60</f>
        <v>199.28</v>
      </c>
      <c r="N100" s="25">
        <f t="shared" si="5"/>
        <v>1241.32</v>
      </c>
      <c r="O100" s="25">
        <v>0</v>
      </c>
      <c r="P100" s="25"/>
      <c r="Q100" s="25">
        <f t="shared" si="9"/>
        <v>1241.32</v>
      </c>
    </row>
    <row r="101" spans="1:17" ht="15" customHeight="1">
      <c r="A101" s="24" t="s">
        <v>43</v>
      </c>
      <c r="B101" s="25">
        <f>+'IS PBC (Disposal)'!H64</f>
        <v>100</v>
      </c>
      <c r="C101" s="25">
        <f>+'IS PBC (Disposal)'!I64</f>
        <v>0</v>
      </c>
      <c r="D101" s="25">
        <f>+'IS PBC (Disposal)'!J64</f>
        <v>0</v>
      </c>
      <c r="E101" s="25">
        <f>+'IS PBC (Disposal)'!K64</f>
        <v>0</v>
      </c>
      <c r="F101" s="25">
        <f>+'IS PBC (Disposal)'!L64</f>
        <v>100</v>
      </c>
      <c r="G101" s="25">
        <f>+'IS PBC (Disposal)'!M64</f>
        <v>100</v>
      </c>
      <c r="H101" s="25">
        <f>+'IS PBC (Disposal)'!N64</f>
        <v>200</v>
      </c>
      <c r="I101" s="25">
        <f>+'IS PBC (Disposal)'!O64</f>
        <v>0</v>
      </c>
      <c r="J101" s="25">
        <f>+'IS PBC (Disposal)'!P64</f>
        <v>102.48</v>
      </c>
      <c r="K101" s="25">
        <f>+'IS PBC (Disposal)'!Q64</f>
        <v>200</v>
      </c>
      <c r="L101" s="25">
        <f>+'IS PBC (Disposal)'!R64</f>
        <v>0</v>
      </c>
      <c r="M101" s="25">
        <f>+'IS PBC (Disposal)'!S64</f>
        <v>0</v>
      </c>
      <c r="N101" s="25">
        <f t="shared" si="5"/>
        <v>802.48</v>
      </c>
      <c r="O101" s="25">
        <v>0</v>
      </c>
      <c r="P101" s="25"/>
      <c r="Q101" s="25">
        <f t="shared" si="6"/>
        <v>802.48</v>
      </c>
    </row>
    <row r="102" spans="1:17" ht="15" customHeight="1">
      <c r="A102" s="24" t="s">
        <v>275</v>
      </c>
      <c r="B102" s="25">
        <f>+'IS PBC (Disposal)'!H66</f>
        <v>0</v>
      </c>
      <c r="C102" s="25">
        <f>+'IS PBC (Disposal)'!I66</f>
        <v>0</v>
      </c>
      <c r="D102" s="25">
        <f>+'IS PBC (Disposal)'!J66</f>
        <v>0</v>
      </c>
      <c r="E102" s="25">
        <f>+'IS PBC (Disposal)'!K66</f>
        <v>0</v>
      </c>
      <c r="F102" s="25">
        <f>+'IS PBC (Disposal)'!L66</f>
        <v>0</v>
      </c>
      <c r="G102" s="25">
        <f>+'IS PBC (Disposal)'!M66</f>
        <v>0</v>
      </c>
      <c r="H102" s="25">
        <f>+'IS PBC (Disposal)'!N66</f>
        <v>3339.99</v>
      </c>
      <c r="I102" s="25">
        <f>+'IS PBC (Disposal)'!O66</f>
        <v>0</v>
      </c>
      <c r="J102" s="25">
        <f>+'IS PBC (Disposal)'!P66</f>
        <v>0</v>
      </c>
      <c r="K102" s="25">
        <f>+'IS PBC (Disposal)'!Q66</f>
        <v>0</v>
      </c>
      <c r="L102" s="25">
        <f>+'IS PBC (Disposal)'!R66</f>
        <v>0</v>
      </c>
      <c r="M102" s="25">
        <f>+'IS PBC (Disposal)'!S66</f>
        <v>0</v>
      </c>
      <c r="N102" s="25">
        <f t="shared" si="5"/>
        <v>3339.99</v>
      </c>
      <c r="O102" s="25">
        <v>0</v>
      </c>
      <c r="P102" s="25"/>
      <c r="Q102" s="25">
        <f t="shared" si="6"/>
        <v>3339.99</v>
      </c>
    </row>
    <row r="103" spans="1:17" ht="15" customHeight="1">
      <c r="A103" s="24" t="s">
        <v>276</v>
      </c>
      <c r="B103" s="25">
        <f>+'IS PBC (Disposal)'!H67</f>
        <v>0</v>
      </c>
      <c r="C103" s="25">
        <f>+'IS PBC (Disposal)'!I67</f>
        <v>0</v>
      </c>
      <c r="D103" s="25">
        <f>+'IS PBC (Disposal)'!J67</f>
        <v>0</v>
      </c>
      <c r="E103" s="25">
        <f>+'IS PBC (Disposal)'!K67</f>
        <v>2392.14</v>
      </c>
      <c r="F103" s="25">
        <f>+'IS PBC (Disposal)'!L67</f>
        <v>0</v>
      </c>
      <c r="G103" s="25">
        <f>+'IS PBC (Disposal)'!M67</f>
        <v>0</v>
      </c>
      <c r="H103" s="25">
        <f>+'IS PBC (Disposal)'!N67</f>
        <v>0</v>
      </c>
      <c r="I103" s="25">
        <f>+'IS PBC (Disposal)'!O67</f>
        <v>0</v>
      </c>
      <c r="J103" s="25">
        <f>+'IS PBC (Disposal)'!P67</f>
        <v>0</v>
      </c>
      <c r="K103" s="25">
        <f>+'IS PBC (Disposal)'!Q67</f>
        <v>0</v>
      </c>
      <c r="L103" s="25">
        <f>+'IS PBC (Disposal)'!R67</f>
        <v>140</v>
      </c>
      <c r="M103" s="25">
        <f>+'IS PBC (Disposal)'!S67</f>
        <v>0</v>
      </c>
      <c r="N103" s="25">
        <f t="shared" si="5"/>
        <v>2532.14</v>
      </c>
      <c r="O103" s="25">
        <v>0</v>
      </c>
      <c r="P103" s="25"/>
      <c r="Q103" s="25">
        <f t="shared" si="6"/>
        <v>2532.14</v>
      </c>
    </row>
    <row r="104" spans="1:17" ht="15" customHeight="1">
      <c r="A104" s="24" t="s">
        <v>277</v>
      </c>
      <c r="B104" s="25">
        <f>+'IS PBC (Disposal)'!H68</f>
        <v>0</v>
      </c>
      <c r="C104" s="25">
        <f>+'IS PBC (Disposal)'!I68</f>
        <v>0</v>
      </c>
      <c r="D104" s="25">
        <f>+'IS PBC (Disposal)'!J68</f>
        <v>0</v>
      </c>
      <c r="E104" s="25">
        <f>+'IS PBC (Disposal)'!K68</f>
        <v>20548.8</v>
      </c>
      <c r="F104" s="25">
        <f>+'IS PBC (Disposal)'!L68</f>
        <v>0</v>
      </c>
      <c r="G104" s="25">
        <f>+'IS PBC (Disposal)'!M68</f>
        <v>0</v>
      </c>
      <c r="H104" s="25">
        <f>+'IS PBC (Disposal)'!N68</f>
        <v>0</v>
      </c>
      <c r="I104" s="25">
        <f>+'IS PBC (Disposal)'!O68</f>
        <v>0</v>
      </c>
      <c r="J104" s="25">
        <f>+'IS PBC (Disposal)'!P68</f>
        <v>0</v>
      </c>
      <c r="K104" s="25">
        <f>+'IS PBC (Disposal)'!Q68</f>
        <v>0</v>
      </c>
      <c r="L104" s="25">
        <f>+'IS PBC (Disposal)'!R68</f>
        <v>0</v>
      </c>
      <c r="M104" s="25">
        <f>+'IS PBC (Disposal)'!S68</f>
        <v>0</v>
      </c>
      <c r="N104" s="25">
        <f t="shared" si="5"/>
        <v>20548.8</v>
      </c>
      <c r="O104" s="25">
        <v>0</v>
      </c>
      <c r="P104" s="25"/>
      <c r="Q104" s="25">
        <f t="shared" si="6"/>
        <v>20548.8</v>
      </c>
    </row>
    <row r="105" spans="1:17" ht="15" customHeight="1">
      <c r="A105" s="24" t="s">
        <v>278</v>
      </c>
      <c r="B105" s="25">
        <f>+'IS PBC (Disposal)'!H69</f>
        <v>0</v>
      </c>
      <c r="C105" s="25">
        <f>+'IS PBC (Disposal)'!I69</f>
        <v>0</v>
      </c>
      <c r="D105" s="25">
        <f>+'IS PBC (Disposal)'!J69</f>
        <v>0</v>
      </c>
      <c r="E105" s="25">
        <f>+'IS PBC (Disposal)'!K69</f>
        <v>7792.15</v>
      </c>
      <c r="F105" s="25">
        <f>+'IS PBC (Disposal)'!L69</f>
        <v>0</v>
      </c>
      <c r="G105" s="25">
        <f>+'IS PBC (Disposal)'!M69</f>
        <v>0</v>
      </c>
      <c r="H105" s="25">
        <f>+'IS PBC (Disposal)'!N69</f>
        <v>0</v>
      </c>
      <c r="I105" s="25">
        <f>+'IS PBC (Disposal)'!O69</f>
        <v>0</v>
      </c>
      <c r="J105" s="25">
        <f>+'IS PBC (Disposal)'!P69</f>
        <v>0</v>
      </c>
      <c r="K105" s="25">
        <f>+'IS PBC (Disposal)'!Q69</f>
        <v>7792.15</v>
      </c>
      <c r="L105" s="25">
        <f>+'IS PBC (Disposal)'!R69</f>
        <v>0</v>
      </c>
      <c r="M105" s="25">
        <f>+'IS PBC (Disposal)'!S69</f>
        <v>0</v>
      </c>
      <c r="N105" s="25">
        <f t="shared" si="5"/>
        <v>15584.3</v>
      </c>
      <c r="O105" s="25">
        <v>0</v>
      </c>
      <c r="P105" s="25"/>
      <c r="Q105" s="25">
        <f t="shared" si="6"/>
        <v>15584.3</v>
      </c>
    </row>
    <row r="106" spans="1:17" ht="15" customHeight="1">
      <c r="A106" s="24" t="s">
        <v>279</v>
      </c>
      <c r="B106" s="25">
        <f>+'IS PBC (Disposal)'!H70</f>
        <v>5127.83</v>
      </c>
      <c r="C106" s="25">
        <f>+'IS PBC (Disposal)'!I70</f>
        <v>10393.99</v>
      </c>
      <c r="D106" s="25">
        <f>+'IS PBC (Disposal)'!J70</f>
        <v>8155.9</v>
      </c>
      <c r="E106" s="25">
        <f>+'IS PBC (Disposal)'!K70</f>
        <v>8554.08</v>
      </c>
      <c r="F106" s="25">
        <f>+'IS PBC (Disposal)'!L70</f>
        <v>8360.02</v>
      </c>
      <c r="G106" s="25">
        <f>+'IS PBC (Disposal)'!M70</f>
        <v>9374.02</v>
      </c>
      <c r="H106" s="25">
        <f>+'IS PBC (Disposal)'!N70</f>
        <v>8759.83</v>
      </c>
      <c r="I106" s="25">
        <f>+'IS PBC (Disposal)'!O70</f>
        <v>7562.23</v>
      </c>
      <c r="J106" s="25">
        <f>+'IS PBC (Disposal)'!P70</f>
        <v>11477.81</v>
      </c>
      <c r="K106" s="25">
        <f>+'IS PBC (Disposal)'!Q70</f>
        <v>9376.5400000000009</v>
      </c>
      <c r="L106" s="25">
        <f>+'IS PBC (Disposal)'!R70</f>
        <v>7579.42</v>
      </c>
      <c r="M106" s="25">
        <f>+'IS PBC (Disposal)'!S70</f>
        <v>10453.5</v>
      </c>
      <c r="N106" s="25">
        <f t="shared" si="5"/>
        <v>105175.17</v>
      </c>
      <c r="O106" s="25">
        <v>0</v>
      </c>
      <c r="P106" s="25"/>
      <c r="Q106" s="25">
        <f t="shared" si="6"/>
        <v>105175.17</v>
      </c>
    </row>
    <row r="107" spans="1:17" ht="15" customHeight="1">
      <c r="A107" s="24" t="s">
        <v>648</v>
      </c>
      <c r="B107" s="25">
        <f>+'IS PBC (Disposal)'!H81</f>
        <v>4004.73</v>
      </c>
      <c r="C107" s="25">
        <f>+'IS PBC (Disposal)'!I81</f>
        <v>3708.31</v>
      </c>
      <c r="D107" s="25">
        <f>+'IS PBC (Disposal)'!J81</f>
        <v>0</v>
      </c>
      <c r="E107" s="25">
        <f>+'IS PBC (Disposal)'!K81</f>
        <v>6134.4</v>
      </c>
      <c r="F107" s="25">
        <f>+'IS PBC (Disposal)'!L81</f>
        <v>6420.8</v>
      </c>
      <c r="G107" s="25">
        <f>+'IS PBC (Disposal)'!M81</f>
        <v>1554.83</v>
      </c>
      <c r="H107" s="25">
        <f>+'IS PBC (Disposal)'!N81</f>
        <v>1342.54</v>
      </c>
      <c r="I107" s="25">
        <f>+'IS PBC (Disposal)'!O81</f>
        <v>3192.28</v>
      </c>
      <c r="J107" s="25">
        <f>+'IS PBC (Disposal)'!P81</f>
        <v>1658.66</v>
      </c>
      <c r="K107" s="25">
        <f>+'IS PBC (Disposal)'!Q81</f>
        <v>8658.65</v>
      </c>
      <c r="L107" s="25">
        <f>+'IS PBC (Disposal)'!R81</f>
        <v>10538.6</v>
      </c>
      <c r="M107" s="25">
        <f>+'IS PBC (Disposal)'!S81</f>
        <v>2335.0500000000002</v>
      </c>
      <c r="N107" s="25">
        <f t="shared" si="5"/>
        <v>49548.85</v>
      </c>
      <c r="O107" s="25">
        <v>0</v>
      </c>
      <c r="P107" s="25"/>
      <c r="Q107" s="25">
        <f t="shared" si="6"/>
        <v>49548.85</v>
      </c>
    </row>
    <row r="108" spans="1:17" ht="15" customHeight="1">
      <c r="A108" s="24" t="s">
        <v>241</v>
      </c>
      <c r="B108" s="25">
        <f>+'IS PBC (Disposal)'!H72</f>
        <v>0</v>
      </c>
      <c r="C108" s="25">
        <f>+'IS PBC (Disposal)'!I72</f>
        <v>0</v>
      </c>
      <c r="D108" s="25">
        <f>+'IS PBC (Disposal)'!J72</f>
        <v>0</v>
      </c>
      <c r="E108" s="25">
        <f>+'IS PBC (Disposal)'!K72</f>
        <v>0</v>
      </c>
      <c r="F108" s="25">
        <f>+'IS PBC (Disposal)'!L72</f>
        <v>0</v>
      </c>
      <c r="G108" s="25">
        <f>+'IS PBC (Disposal)'!M72</f>
        <v>550</v>
      </c>
      <c r="H108" s="25">
        <f>+'IS PBC (Disposal)'!N72</f>
        <v>0</v>
      </c>
      <c r="I108" s="25">
        <f>+'IS PBC (Disposal)'!O72</f>
        <v>0</v>
      </c>
      <c r="J108" s="25">
        <f>+'IS PBC (Disposal)'!P72</f>
        <v>6187</v>
      </c>
      <c r="K108" s="25">
        <f>+'IS PBC (Disposal)'!Q72</f>
        <v>0</v>
      </c>
      <c r="L108" s="25">
        <f>+'IS PBC (Disposal)'!R72</f>
        <v>0</v>
      </c>
      <c r="M108" s="25">
        <f>+'IS PBC (Disposal)'!S72</f>
        <v>0</v>
      </c>
      <c r="N108" s="25">
        <f>SUM(B108:M108)</f>
        <v>6737</v>
      </c>
      <c r="O108" s="25">
        <v>0</v>
      </c>
      <c r="P108" s="25"/>
      <c r="Q108" s="25">
        <f t="shared" si="6"/>
        <v>6737</v>
      </c>
    </row>
    <row r="109" spans="1:17" ht="15" customHeight="1">
      <c r="A109" s="24" t="s">
        <v>645</v>
      </c>
      <c r="B109" s="25">
        <f>+'IS PBC (Disposal)'!H73</f>
        <v>0</v>
      </c>
      <c r="C109" s="25">
        <f>+'IS PBC (Disposal)'!I73</f>
        <v>0</v>
      </c>
      <c r="D109" s="25">
        <f>+'IS PBC (Disposal)'!J73</f>
        <v>0</v>
      </c>
      <c r="E109" s="25">
        <f>+'IS PBC (Disposal)'!K73</f>
        <v>0</v>
      </c>
      <c r="F109" s="25">
        <f>+'IS PBC (Disposal)'!L73</f>
        <v>0</v>
      </c>
      <c r="G109" s="25">
        <f>+'IS PBC (Disposal)'!M73</f>
        <v>0</v>
      </c>
      <c r="H109" s="25">
        <f>+'IS PBC (Disposal)'!N73</f>
        <v>0</v>
      </c>
      <c r="I109" s="25">
        <f>+'IS PBC (Disposal)'!O73</f>
        <v>907.56</v>
      </c>
      <c r="J109" s="25">
        <f>+'IS PBC (Disposal)'!P73</f>
        <v>907.56</v>
      </c>
      <c r="K109" s="25">
        <f>+'IS PBC (Disposal)'!Q73</f>
        <v>0</v>
      </c>
      <c r="L109" s="25">
        <f>+'IS PBC (Disposal)'!R73</f>
        <v>0</v>
      </c>
      <c r="M109" s="25">
        <f>+'IS PBC (Disposal)'!S73</f>
        <v>0</v>
      </c>
      <c r="N109" s="25">
        <f>SUM(B109:M109)</f>
        <v>1815.12</v>
      </c>
      <c r="O109" s="25">
        <v>0</v>
      </c>
      <c r="P109" s="25"/>
      <c r="Q109" s="25">
        <f t="shared" si="6"/>
        <v>1815.12</v>
      </c>
    </row>
    <row r="110" spans="1:17" ht="15" customHeight="1">
      <c r="A110" s="24" t="s">
        <v>242</v>
      </c>
      <c r="B110" s="25">
        <f>+'IS PBC (Disposal)'!H74</f>
        <v>21.75</v>
      </c>
      <c r="C110" s="25">
        <f>+'IS PBC (Disposal)'!I74</f>
        <v>900</v>
      </c>
      <c r="D110" s="25">
        <f>+'IS PBC (Disposal)'!J74</f>
        <v>0</v>
      </c>
      <c r="E110" s="25">
        <f>+'IS PBC (Disposal)'!K74</f>
        <v>1530.65</v>
      </c>
      <c r="F110" s="25">
        <f>+'IS PBC (Disposal)'!L74</f>
        <v>0</v>
      </c>
      <c r="G110" s="25">
        <f>+'IS PBC (Disposal)'!M74</f>
        <v>1500</v>
      </c>
      <c r="H110" s="25">
        <f>+'IS PBC (Disposal)'!N74</f>
        <v>600</v>
      </c>
      <c r="I110" s="25">
        <f>+'IS PBC (Disposal)'!O74</f>
        <v>0</v>
      </c>
      <c r="J110" s="25">
        <f>+'IS PBC (Disposal)'!P74</f>
        <v>971.4</v>
      </c>
      <c r="K110" s="25">
        <f>+'IS PBC (Disposal)'!Q74</f>
        <v>1878.65</v>
      </c>
      <c r="L110" s="25">
        <f>+'IS PBC (Disposal)'!R74</f>
        <v>6.5</v>
      </c>
      <c r="M110" s="25">
        <f>+'IS PBC (Disposal)'!S74</f>
        <v>1267.55</v>
      </c>
      <c r="N110" s="25">
        <f t="shared" si="5"/>
        <v>8676.4999999999982</v>
      </c>
      <c r="O110" s="25">
        <v>0</v>
      </c>
      <c r="P110" s="25"/>
      <c r="Q110" s="25">
        <f t="shared" ref="Q110:Q129" si="10">N110+O110</f>
        <v>8676.4999999999982</v>
      </c>
    </row>
    <row r="111" spans="1:17" ht="15" customHeight="1">
      <c r="A111" s="24" t="s">
        <v>243</v>
      </c>
      <c r="B111" s="25">
        <f>+'IS PBC (Disposal)'!H75</f>
        <v>1727.92</v>
      </c>
      <c r="C111" s="25">
        <f>+'IS PBC (Disposal)'!I75</f>
        <v>0</v>
      </c>
      <c r="D111" s="25">
        <f>+'IS PBC (Disposal)'!J75</f>
        <v>1749.09</v>
      </c>
      <c r="E111" s="25">
        <f>+'IS PBC (Disposal)'!K75</f>
        <v>715.3</v>
      </c>
      <c r="F111" s="25">
        <f>+'IS PBC (Disposal)'!L75</f>
        <v>0</v>
      </c>
      <c r="G111" s="25">
        <f>+'IS PBC (Disposal)'!M75</f>
        <v>1374.93</v>
      </c>
      <c r="H111" s="25">
        <f>+'IS PBC (Disposal)'!N75</f>
        <v>559</v>
      </c>
      <c r="I111" s="25">
        <f>+'IS PBC (Disposal)'!O75</f>
        <v>0</v>
      </c>
      <c r="J111" s="25">
        <f>+'IS PBC (Disposal)'!P75</f>
        <v>711.93</v>
      </c>
      <c r="K111" s="25">
        <f>+'IS PBC (Disposal)'!Q75</f>
        <v>1223.44</v>
      </c>
      <c r="L111" s="25">
        <f>+'IS PBC (Disposal)'!R75</f>
        <v>0</v>
      </c>
      <c r="M111" s="25">
        <f>+'IS PBC (Disposal)'!S75</f>
        <v>2110.9699999999998</v>
      </c>
      <c r="N111" s="25">
        <f t="shared" si="5"/>
        <v>10172.58</v>
      </c>
      <c r="O111" s="25">
        <v>0</v>
      </c>
      <c r="P111" s="25"/>
      <c r="Q111" s="25">
        <f t="shared" si="10"/>
        <v>10172.58</v>
      </c>
    </row>
    <row r="112" spans="1:17" ht="15" customHeight="1">
      <c r="A112" s="24" t="s">
        <v>244</v>
      </c>
      <c r="B112" s="25">
        <f>+'IS PBC (Disposal)'!H76</f>
        <v>26045.18</v>
      </c>
      <c r="C112" s="25">
        <f>+'IS PBC (Disposal)'!I76</f>
        <v>17774.3</v>
      </c>
      <c r="D112" s="25">
        <f>+'IS PBC (Disposal)'!J76</f>
        <v>8569.93</v>
      </c>
      <c r="E112" s="25">
        <f>+'IS PBC (Disposal)'!K76</f>
        <v>30281.86</v>
      </c>
      <c r="F112" s="25">
        <f>+'IS PBC (Disposal)'!L76</f>
        <v>21531.65</v>
      </c>
      <c r="G112" s="25">
        <f>+'IS PBC (Disposal)'!M76</f>
        <v>19373.41</v>
      </c>
      <c r="H112" s="25">
        <f>+'IS PBC (Disposal)'!N76</f>
        <v>15467.38</v>
      </c>
      <c r="I112" s="25">
        <f>+'IS PBC (Disposal)'!O76</f>
        <v>34217.67</v>
      </c>
      <c r="J112" s="25">
        <f>+'IS PBC (Disposal)'!P76</f>
        <v>26974.28</v>
      </c>
      <c r="K112" s="25">
        <f>+'IS PBC (Disposal)'!Q76</f>
        <v>23656.32</v>
      </c>
      <c r="L112" s="25">
        <f>+'IS PBC (Disposal)'!R76</f>
        <v>15329.42</v>
      </c>
      <c r="M112" s="25">
        <f>+'IS PBC (Disposal)'!S76</f>
        <v>56433.83</v>
      </c>
      <c r="N112" s="25">
        <f t="shared" si="5"/>
        <v>295655.23000000004</v>
      </c>
      <c r="O112" s="25">
        <v>0</v>
      </c>
      <c r="P112" s="25"/>
      <c r="Q112" s="25">
        <f t="shared" si="10"/>
        <v>295655.23000000004</v>
      </c>
    </row>
    <row r="113" spans="1:17" ht="15" customHeight="1">
      <c r="A113" s="24" t="s">
        <v>245</v>
      </c>
      <c r="B113" s="25">
        <f>+'IS PBC (Disposal)'!H77</f>
        <v>0</v>
      </c>
      <c r="C113" s="25">
        <f>+'IS PBC (Disposal)'!I77</f>
        <v>0</v>
      </c>
      <c r="D113" s="25">
        <f>+'IS PBC (Disposal)'!J77</f>
        <v>0</v>
      </c>
      <c r="E113" s="25">
        <f>+'IS PBC (Disposal)'!K77</f>
        <v>0</v>
      </c>
      <c r="F113" s="25">
        <f>+'IS PBC (Disposal)'!L77</f>
        <v>0</v>
      </c>
      <c r="G113" s="25">
        <f>+'IS PBC (Disposal)'!M77</f>
        <v>5722.5</v>
      </c>
      <c r="H113" s="25">
        <f>+'IS PBC (Disposal)'!N77</f>
        <v>0</v>
      </c>
      <c r="I113" s="25">
        <f>+'IS PBC (Disposal)'!O77</f>
        <v>0</v>
      </c>
      <c r="J113" s="25">
        <f>+'IS PBC (Disposal)'!P77</f>
        <v>0</v>
      </c>
      <c r="K113" s="25">
        <f>+'IS PBC (Disposal)'!Q77</f>
        <v>0</v>
      </c>
      <c r="L113" s="25">
        <f>+'IS PBC (Disposal)'!R77</f>
        <v>0</v>
      </c>
      <c r="M113" s="25">
        <f>+'IS PBC (Disposal)'!S77</f>
        <v>0</v>
      </c>
      <c r="N113" s="25">
        <f t="shared" si="5"/>
        <v>5722.5</v>
      </c>
      <c r="O113" s="25">
        <v>0</v>
      </c>
      <c r="P113" s="25"/>
      <c r="Q113" s="25">
        <f t="shared" si="10"/>
        <v>5722.5</v>
      </c>
    </row>
    <row r="114" spans="1:17" ht="15" customHeight="1">
      <c r="A114" s="24" t="s">
        <v>246</v>
      </c>
      <c r="B114" s="25">
        <f>+'IS PBC (Disposal)'!H79</f>
        <v>0</v>
      </c>
      <c r="C114" s="25">
        <f>+'IS PBC (Disposal)'!I79</f>
        <v>0</v>
      </c>
      <c r="D114" s="25">
        <f>+'IS PBC (Disposal)'!J79</f>
        <v>0</v>
      </c>
      <c r="E114" s="25">
        <f>+'IS PBC (Disposal)'!K79</f>
        <v>0</v>
      </c>
      <c r="F114" s="25">
        <f>+'IS PBC (Disposal)'!L79</f>
        <v>0</v>
      </c>
      <c r="G114" s="25">
        <f>+'IS PBC (Disposal)'!M79</f>
        <v>0</v>
      </c>
      <c r="H114" s="25">
        <f>+'IS PBC (Disposal)'!N79</f>
        <v>0</v>
      </c>
      <c r="I114" s="25">
        <f>+'IS PBC (Disposal)'!O79</f>
        <v>0</v>
      </c>
      <c r="J114" s="25">
        <f>+'IS PBC (Disposal)'!P79</f>
        <v>4058.4</v>
      </c>
      <c r="K114" s="25">
        <f>+'IS PBC (Disposal)'!Q79</f>
        <v>0</v>
      </c>
      <c r="L114" s="25">
        <f>+'IS PBC (Disposal)'!R79</f>
        <v>0</v>
      </c>
      <c r="M114" s="25">
        <f>+'IS PBC (Disposal)'!S79</f>
        <v>0</v>
      </c>
      <c r="N114" s="25">
        <f t="shared" si="5"/>
        <v>4058.4</v>
      </c>
      <c r="O114" s="25">
        <v>0</v>
      </c>
      <c r="P114" s="25"/>
      <c r="Q114" s="25">
        <f t="shared" si="10"/>
        <v>4058.4</v>
      </c>
    </row>
    <row r="115" spans="1:17" ht="15" customHeight="1">
      <c r="A115" s="24" t="s">
        <v>247</v>
      </c>
      <c r="B115" s="25">
        <f>+'IS PBC (Disposal)'!H82</f>
        <v>0</v>
      </c>
      <c r="C115" s="25">
        <f>+'IS PBC (Disposal)'!I82</f>
        <v>0</v>
      </c>
      <c r="D115" s="25">
        <f>+'IS PBC (Disposal)'!J82</f>
        <v>0</v>
      </c>
      <c r="E115" s="25">
        <f>+'IS PBC (Disposal)'!K82</f>
        <v>0</v>
      </c>
      <c r="F115" s="25">
        <f>+'IS PBC (Disposal)'!L82</f>
        <v>56.74</v>
      </c>
      <c r="G115" s="25">
        <f>+'IS PBC (Disposal)'!M82</f>
        <v>0</v>
      </c>
      <c r="H115" s="25">
        <f>+'IS PBC (Disposal)'!N82</f>
        <v>0</v>
      </c>
      <c r="I115" s="25">
        <f>+'IS PBC (Disposal)'!O82</f>
        <v>0</v>
      </c>
      <c r="J115" s="25">
        <f>+'IS PBC (Disposal)'!P82</f>
        <v>0</v>
      </c>
      <c r="K115" s="25">
        <f>+'IS PBC (Disposal)'!Q82</f>
        <v>0</v>
      </c>
      <c r="L115" s="25">
        <f>+'IS PBC (Disposal)'!R82</f>
        <v>0</v>
      </c>
      <c r="M115" s="25">
        <f>+'IS PBC (Disposal)'!S82</f>
        <v>0</v>
      </c>
      <c r="N115" s="25">
        <f t="shared" si="5"/>
        <v>56.74</v>
      </c>
      <c r="O115" s="25">
        <v>0</v>
      </c>
      <c r="P115" s="25"/>
      <c r="Q115" s="25">
        <f t="shared" si="10"/>
        <v>56.74</v>
      </c>
    </row>
    <row r="116" spans="1:17" ht="15" customHeight="1">
      <c r="A116" s="24" t="s">
        <v>248</v>
      </c>
      <c r="B116" s="25">
        <f>+'IS PBC (Disposal)'!H83</f>
        <v>192770.85</v>
      </c>
      <c r="C116" s="25">
        <f>+'IS PBC (Disposal)'!I83</f>
        <v>0</v>
      </c>
      <c r="D116" s="25">
        <f>+'IS PBC (Disposal)'!J83</f>
        <v>-144578</v>
      </c>
      <c r="E116" s="25">
        <f>+'IS PBC (Disposal)'!K83</f>
        <v>0</v>
      </c>
      <c r="F116" s="25">
        <f>+'IS PBC (Disposal)'!L83</f>
        <v>0</v>
      </c>
      <c r="G116" s="25">
        <f>+'IS PBC (Disposal)'!M83</f>
        <v>0</v>
      </c>
      <c r="H116" s="25">
        <f>+'IS PBC (Disposal)'!N83</f>
        <v>0</v>
      </c>
      <c r="I116" s="25">
        <f>+'IS PBC (Disposal)'!O83</f>
        <v>0</v>
      </c>
      <c r="J116" s="25">
        <f>+'IS PBC (Disposal)'!P83</f>
        <v>96979.25</v>
      </c>
      <c r="K116" s="25">
        <f>+'IS PBC (Disposal)'!Q83</f>
        <v>594.25</v>
      </c>
      <c r="L116" s="25">
        <f>+'IS PBC (Disposal)'!R83</f>
        <v>4565</v>
      </c>
      <c r="M116" s="25">
        <f>+'IS PBC (Disposal)'!S83</f>
        <v>48268</v>
      </c>
      <c r="N116" s="25">
        <f t="shared" si="5"/>
        <v>198599.35</v>
      </c>
      <c r="O116" s="25">
        <v>0</v>
      </c>
      <c r="P116" s="25"/>
      <c r="Q116" s="25">
        <f t="shared" si="10"/>
        <v>198599.35</v>
      </c>
    </row>
    <row r="117" spans="1:17" ht="15" customHeight="1">
      <c r="A117" s="24" t="s">
        <v>249</v>
      </c>
      <c r="B117" s="25">
        <f>+'IS PBC (Disposal)'!H84</f>
        <v>4550.6400000000003</v>
      </c>
      <c r="C117" s="25">
        <f>+'IS PBC (Disposal)'!I84</f>
        <v>1225.92</v>
      </c>
      <c r="D117" s="25">
        <f>+'IS PBC (Disposal)'!J84</f>
        <v>0</v>
      </c>
      <c r="E117" s="25">
        <f>+'IS PBC (Disposal)'!K84</f>
        <v>53.76</v>
      </c>
      <c r="F117" s="25">
        <f>+'IS PBC (Disposal)'!L84</f>
        <v>0</v>
      </c>
      <c r="G117" s="25">
        <f>+'IS PBC (Disposal)'!M84</f>
        <v>-157.47999999999999</v>
      </c>
      <c r="H117" s="25">
        <f>+'IS PBC (Disposal)'!N84</f>
        <v>529.36</v>
      </c>
      <c r="I117" s="25">
        <f>+'IS PBC (Disposal)'!O84</f>
        <v>0</v>
      </c>
      <c r="J117" s="25">
        <f>+'IS PBC (Disposal)'!P84</f>
        <v>529.36</v>
      </c>
      <c r="K117" s="25">
        <f>+'IS PBC (Disposal)'!Q84</f>
        <v>828.79</v>
      </c>
      <c r="L117" s="25">
        <f>+'IS PBC (Disposal)'!R84</f>
        <v>1031.94</v>
      </c>
      <c r="M117" s="25">
        <f>+'IS PBC (Disposal)'!S84</f>
        <v>804.73</v>
      </c>
      <c r="N117" s="25">
        <f t="shared" si="5"/>
        <v>9397.02</v>
      </c>
      <c r="O117" s="25">
        <v>0</v>
      </c>
      <c r="P117" s="25"/>
      <c r="Q117" s="25">
        <f t="shared" si="10"/>
        <v>9397.02</v>
      </c>
    </row>
    <row r="118" spans="1:17" ht="15" customHeight="1">
      <c r="A118" s="24" t="s">
        <v>649</v>
      </c>
      <c r="B118" s="25">
        <f>+'IS PBC (Disposal)'!H85</f>
        <v>0</v>
      </c>
      <c r="C118" s="25">
        <f>+'IS PBC (Disposal)'!I85</f>
        <v>103.65</v>
      </c>
      <c r="D118" s="25">
        <f>+'IS PBC (Disposal)'!J85</f>
        <v>0</v>
      </c>
      <c r="E118" s="25">
        <f>+'IS PBC (Disposal)'!K85</f>
        <v>0</v>
      </c>
      <c r="F118" s="25">
        <f>+'IS PBC (Disposal)'!L85</f>
        <v>0</v>
      </c>
      <c r="G118" s="25">
        <f>+'IS PBC (Disposal)'!M85</f>
        <v>0</v>
      </c>
      <c r="H118" s="25">
        <f>+'IS PBC (Disposal)'!N85</f>
        <v>0</v>
      </c>
      <c r="I118" s="25">
        <f>+'IS PBC (Disposal)'!O85</f>
        <v>0</v>
      </c>
      <c r="J118" s="25">
        <f>+'IS PBC (Disposal)'!P85</f>
        <v>0</v>
      </c>
      <c r="K118" s="25">
        <f>+'IS PBC (Disposal)'!Q85</f>
        <v>158.34</v>
      </c>
      <c r="L118" s="25">
        <f>+'IS PBC (Disposal)'!R85</f>
        <v>81.900000000000006</v>
      </c>
      <c r="M118" s="25">
        <f>+'IS PBC (Disposal)'!S85</f>
        <v>0</v>
      </c>
      <c r="N118" s="25">
        <f t="shared" si="5"/>
        <v>343.89</v>
      </c>
      <c r="O118" s="25">
        <v>0</v>
      </c>
      <c r="P118" s="25"/>
      <c r="Q118" s="25">
        <f t="shared" si="10"/>
        <v>343.89</v>
      </c>
    </row>
    <row r="119" spans="1:17" ht="15" customHeight="1">
      <c r="A119" s="24" t="s">
        <v>250</v>
      </c>
      <c r="B119" s="25">
        <f>+'IS PBC (Disposal)'!H86</f>
        <v>1194.1300000000001</v>
      </c>
      <c r="C119" s="25">
        <f>+'IS PBC (Disposal)'!I86</f>
        <v>1127.8900000000001</v>
      </c>
      <c r="D119" s="25">
        <f>+'IS PBC (Disposal)'!J86</f>
        <v>1175.49</v>
      </c>
      <c r="E119" s="25">
        <f>+'IS PBC (Disposal)'!K86</f>
        <v>1193.6400000000001</v>
      </c>
      <c r="F119" s="25">
        <f>+'IS PBC (Disposal)'!L86</f>
        <v>1134.1300000000001</v>
      </c>
      <c r="G119" s="25">
        <f>+'IS PBC (Disposal)'!M86</f>
        <v>432</v>
      </c>
      <c r="H119" s="25">
        <f>+'IS PBC (Disposal)'!N86</f>
        <v>2343.69</v>
      </c>
      <c r="I119" s="25">
        <f>+'IS PBC (Disposal)'!O86</f>
        <v>1306.7</v>
      </c>
      <c r="J119" s="25">
        <f>+'IS PBC (Disposal)'!P86</f>
        <v>0</v>
      </c>
      <c r="K119" s="25">
        <f>+'IS PBC (Disposal)'!Q86</f>
        <v>1315.97</v>
      </c>
      <c r="L119" s="25">
        <f>+'IS PBC (Disposal)'!R86</f>
        <v>2661.33</v>
      </c>
      <c r="M119" s="25">
        <f>+'IS PBC (Disposal)'!S86</f>
        <v>1254.6600000000001</v>
      </c>
      <c r="N119" s="25">
        <f t="shared" si="5"/>
        <v>15139.630000000001</v>
      </c>
      <c r="O119" s="25">
        <v>0</v>
      </c>
      <c r="P119" s="25"/>
      <c r="Q119" s="25">
        <f t="shared" si="10"/>
        <v>15139.630000000001</v>
      </c>
    </row>
    <row r="120" spans="1:17" ht="15" customHeight="1">
      <c r="A120" s="24" t="s">
        <v>690</v>
      </c>
      <c r="B120" s="25">
        <f>+'IS PBC (Disposal)'!H87</f>
        <v>1831.5</v>
      </c>
      <c r="C120" s="25">
        <f>+'IS PBC (Disposal)'!I87</f>
        <v>10257.5</v>
      </c>
      <c r="D120" s="25">
        <f>+'IS PBC (Disposal)'!J87</f>
        <v>103</v>
      </c>
      <c r="E120" s="25">
        <f>+'IS PBC (Disposal)'!K87</f>
        <v>1675.48</v>
      </c>
      <c r="F120" s="25">
        <f>+'IS PBC (Disposal)'!L87</f>
        <v>0</v>
      </c>
      <c r="G120" s="25">
        <f>+'IS PBC (Disposal)'!M87</f>
        <v>0</v>
      </c>
      <c r="H120" s="25">
        <f>+'IS PBC (Disposal)'!N87</f>
        <v>0</v>
      </c>
      <c r="I120" s="25">
        <f>+'IS PBC (Disposal)'!O87</f>
        <v>0</v>
      </c>
      <c r="J120" s="25">
        <f>+'IS PBC (Disposal)'!P87</f>
        <v>566.5</v>
      </c>
      <c r="K120" s="25">
        <f>+'IS PBC (Disposal)'!Q87</f>
        <v>0</v>
      </c>
      <c r="L120" s="25">
        <f>+'IS PBC (Disposal)'!R87</f>
        <v>0</v>
      </c>
      <c r="M120" s="25">
        <f>+'IS PBC (Disposal)'!S87</f>
        <v>0</v>
      </c>
      <c r="N120" s="25">
        <f>SUM(B120:M120)</f>
        <v>14433.98</v>
      </c>
      <c r="O120" s="25">
        <v>0</v>
      </c>
      <c r="P120" s="25"/>
      <c r="Q120" s="25">
        <f>N120+O120</f>
        <v>14433.98</v>
      </c>
    </row>
    <row r="121" spans="1:17" ht="15" customHeight="1">
      <c r="A121" s="24" t="s">
        <v>252</v>
      </c>
      <c r="B121" s="25">
        <f>+'IS PBC (Disposal)'!H88</f>
        <v>1082</v>
      </c>
      <c r="C121" s="25">
        <f>+'IS PBC (Disposal)'!I88</f>
        <v>832</v>
      </c>
      <c r="D121" s="25">
        <f>+'IS PBC (Disposal)'!J88</f>
        <v>257.8</v>
      </c>
      <c r="E121" s="25">
        <f>+'IS PBC (Disposal)'!K88</f>
        <v>832</v>
      </c>
      <c r="F121" s="25">
        <f>+'IS PBC (Disposal)'!L88</f>
        <v>984</v>
      </c>
      <c r="G121" s="25">
        <f>+'IS PBC (Disposal)'!M88</f>
        <v>3616.6</v>
      </c>
      <c r="H121" s="25">
        <f>+'IS PBC (Disposal)'!N88</f>
        <v>792</v>
      </c>
      <c r="I121" s="25">
        <f>+'IS PBC (Disposal)'!O88</f>
        <v>0</v>
      </c>
      <c r="J121" s="25">
        <f>+'IS PBC (Disposal)'!P88</f>
        <v>862</v>
      </c>
      <c r="K121" s="25">
        <f>+'IS PBC (Disposal)'!Q88</f>
        <v>3292</v>
      </c>
      <c r="L121" s="25">
        <f>+'IS PBC (Disposal)'!R88</f>
        <v>3871.5</v>
      </c>
      <c r="M121" s="25">
        <f>+'IS PBC (Disposal)'!S88</f>
        <v>1792</v>
      </c>
      <c r="N121" s="25">
        <f t="shared" si="5"/>
        <v>18213.900000000001</v>
      </c>
      <c r="O121" s="25">
        <v>0</v>
      </c>
      <c r="P121" s="25"/>
      <c r="Q121" s="25">
        <f t="shared" si="10"/>
        <v>18213.900000000001</v>
      </c>
    </row>
    <row r="122" spans="1:17" ht="15" customHeight="1">
      <c r="A122" s="24" t="s">
        <v>253</v>
      </c>
      <c r="B122" s="25">
        <f>+'IS PBC (Disposal)'!H89</f>
        <v>947.74</v>
      </c>
      <c r="C122" s="25">
        <f>+'IS PBC (Disposal)'!I89</f>
        <v>1086.1500000000001</v>
      </c>
      <c r="D122" s="25">
        <f>+'IS PBC (Disposal)'!J89</f>
        <v>377.15</v>
      </c>
      <c r="E122" s="25">
        <f>+'IS PBC (Disposal)'!K89</f>
        <v>1464.06</v>
      </c>
      <c r="F122" s="25">
        <f>+'IS PBC (Disposal)'!L89</f>
        <v>266.88</v>
      </c>
      <c r="G122" s="25">
        <f>+'IS PBC (Disposal)'!M89</f>
        <v>1229.0899999999999</v>
      </c>
      <c r="H122" s="25">
        <f>+'IS PBC (Disposal)'!N89</f>
        <v>721.28</v>
      </c>
      <c r="I122" s="25">
        <f>+'IS PBC (Disposal)'!O89</f>
        <v>435.3</v>
      </c>
      <c r="J122" s="25">
        <f>+'IS PBC (Disposal)'!P89</f>
        <v>1213.54</v>
      </c>
      <c r="K122" s="25">
        <f>+'IS PBC (Disposal)'!Q89</f>
        <v>1164.48</v>
      </c>
      <c r="L122" s="25">
        <f>+'IS PBC (Disposal)'!R89</f>
        <v>93.4</v>
      </c>
      <c r="M122" s="25">
        <f>+'IS PBC (Disposal)'!S89</f>
        <v>1469.68</v>
      </c>
      <c r="N122" s="25">
        <f t="shared" si="5"/>
        <v>10468.75</v>
      </c>
      <c r="O122" s="25">
        <v>0</v>
      </c>
      <c r="P122" s="25"/>
      <c r="Q122" s="25">
        <f t="shared" si="10"/>
        <v>10468.75</v>
      </c>
    </row>
    <row r="123" spans="1:17" ht="15" customHeight="1">
      <c r="A123" s="24" t="s">
        <v>13</v>
      </c>
      <c r="B123" s="25">
        <f>+'IS PBC (Disposal)'!H90</f>
        <v>2071.23</v>
      </c>
      <c r="C123" s="25">
        <f>+'IS PBC (Disposal)'!I90</f>
        <v>1444.1</v>
      </c>
      <c r="D123" s="25">
        <f>+'IS PBC (Disposal)'!J90</f>
        <v>1044.03</v>
      </c>
      <c r="E123" s="25">
        <f>+'IS PBC (Disposal)'!K90</f>
        <v>1348.38</v>
      </c>
      <c r="F123" s="25">
        <f>+'IS PBC (Disposal)'!L90</f>
        <v>596.72</v>
      </c>
      <c r="G123" s="25">
        <f>+'IS PBC (Disposal)'!M90</f>
        <v>720.88</v>
      </c>
      <c r="H123" s="25">
        <f>+'IS PBC (Disposal)'!N90</f>
        <v>684.81</v>
      </c>
      <c r="I123" s="25">
        <f>+'IS PBC (Disposal)'!O90</f>
        <v>813.35</v>
      </c>
      <c r="J123" s="25">
        <f>+'IS PBC (Disposal)'!P90</f>
        <v>214.63</v>
      </c>
      <c r="K123" s="25">
        <f>+'IS PBC (Disposal)'!Q90</f>
        <v>1061.3800000000001</v>
      </c>
      <c r="L123" s="25">
        <f>+'IS PBC (Disposal)'!R90</f>
        <v>788.81</v>
      </c>
      <c r="M123" s="25">
        <f>+'IS PBC (Disposal)'!S90</f>
        <v>1474.09</v>
      </c>
      <c r="N123" s="25">
        <f t="shared" si="5"/>
        <v>12262.409999999998</v>
      </c>
      <c r="O123" s="25">
        <v>0</v>
      </c>
      <c r="P123" s="25"/>
      <c r="Q123" s="25">
        <f t="shared" si="10"/>
        <v>12262.409999999998</v>
      </c>
    </row>
    <row r="124" spans="1:17" ht="15" customHeight="1">
      <c r="A124" s="24" t="s">
        <v>650</v>
      </c>
      <c r="B124" s="25">
        <f>+'IS PBC (Disposal)'!H91</f>
        <v>5673.5</v>
      </c>
      <c r="C124" s="25">
        <f>+'IS PBC (Disposal)'!I91</f>
        <v>222.5</v>
      </c>
      <c r="D124" s="25">
        <f>+'IS PBC (Disposal)'!J91</f>
        <v>0</v>
      </c>
      <c r="E124" s="25">
        <f>+'IS PBC (Disposal)'!K91</f>
        <v>0</v>
      </c>
      <c r="F124" s="25">
        <f>+'IS PBC (Disposal)'!L91</f>
        <v>3918.5</v>
      </c>
      <c r="G124" s="25">
        <f>+'IS PBC (Disposal)'!M91</f>
        <v>1031</v>
      </c>
      <c r="H124" s="25">
        <f>+'IS PBC (Disposal)'!N91</f>
        <v>6941.5</v>
      </c>
      <c r="I124" s="25">
        <f>+'IS PBC (Disposal)'!O91</f>
        <v>0</v>
      </c>
      <c r="J124" s="25">
        <f>+'IS PBC (Disposal)'!P91</f>
        <v>871</v>
      </c>
      <c r="K124" s="25">
        <f>+'IS PBC (Disposal)'!Q91</f>
        <v>3360.15</v>
      </c>
      <c r="L124" s="25">
        <f>+'IS PBC (Disposal)'!R91</f>
        <v>3371.5</v>
      </c>
      <c r="M124" s="25">
        <f>+'IS PBC (Disposal)'!S91</f>
        <v>3073.6</v>
      </c>
      <c r="N124" s="25">
        <f t="shared" si="5"/>
        <v>28463.25</v>
      </c>
      <c r="O124" s="25">
        <v>0</v>
      </c>
      <c r="P124" s="25"/>
      <c r="Q124" s="25">
        <f t="shared" si="10"/>
        <v>28463.25</v>
      </c>
    </row>
    <row r="125" spans="1:17" ht="15" customHeight="1">
      <c r="A125" s="24" t="s">
        <v>256</v>
      </c>
      <c r="B125" s="25">
        <f>+'IS PBC (Disposal)'!H93</f>
        <v>5000</v>
      </c>
      <c r="C125" s="25">
        <f>+'IS PBC (Disposal)'!I93</f>
        <v>5000</v>
      </c>
      <c r="D125" s="25">
        <f>+'IS PBC (Disposal)'!J93</f>
        <v>5000</v>
      </c>
      <c r="E125" s="25">
        <f>+'IS PBC (Disposal)'!K93</f>
        <v>5000</v>
      </c>
      <c r="F125" s="25">
        <f>+'IS PBC (Disposal)'!L93</f>
        <v>5000</v>
      </c>
      <c r="G125" s="25">
        <f>+'IS PBC (Disposal)'!M93</f>
        <v>5000</v>
      </c>
      <c r="H125" s="25">
        <f>+'IS PBC (Disposal)'!N93</f>
        <v>5000</v>
      </c>
      <c r="I125" s="25">
        <f>+'IS PBC (Disposal)'!O93</f>
        <v>5000</v>
      </c>
      <c r="J125" s="25">
        <f>+'IS PBC (Disposal)'!P93</f>
        <v>5000</v>
      </c>
      <c r="K125" s="25">
        <f>+'IS PBC (Disposal)'!Q93</f>
        <v>5000</v>
      </c>
      <c r="L125" s="25">
        <f>+'IS PBC (Disposal)'!R93</f>
        <v>0</v>
      </c>
      <c r="M125" s="25">
        <f>+'IS PBC (Disposal)'!S93</f>
        <v>10000</v>
      </c>
      <c r="N125" s="25">
        <f t="shared" si="5"/>
        <v>60000</v>
      </c>
      <c r="O125" s="25">
        <v>0</v>
      </c>
      <c r="P125" s="25"/>
      <c r="Q125" s="25">
        <f t="shared" si="10"/>
        <v>60000</v>
      </c>
    </row>
    <row r="126" spans="1:17" ht="15" customHeight="1">
      <c r="A126" s="24" t="s">
        <v>257</v>
      </c>
      <c r="B126" s="25">
        <f>+'IS PBC (Disposal)'!H94</f>
        <v>204.83</v>
      </c>
      <c r="C126" s="25">
        <f>+'IS PBC (Disposal)'!I94</f>
        <v>0</v>
      </c>
      <c r="D126" s="25">
        <f>+'IS PBC (Disposal)'!J94</f>
        <v>0</v>
      </c>
      <c r="E126" s="25">
        <f>+'IS PBC (Disposal)'!K94</f>
        <v>205.01</v>
      </c>
      <c r="F126" s="25">
        <f>+'IS PBC (Disposal)'!L94</f>
        <v>0</v>
      </c>
      <c r="G126" s="25">
        <f>+'IS PBC (Disposal)'!M94</f>
        <v>0</v>
      </c>
      <c r="H126" s="25">
        <f>+'IS PBC (Disposal)'!N94</f>
        <v>205.01</v>
      </c>
      <c r="I126" s="25">
        <f>+'IS PBC (Disposal)'!O94</f>
        <v>0</v>
      </c>
      <c r="J126" s="25">
        <f>+'IS PBC (Disposal)'!P94</f>
        <v>0</v>
      </c>
      <c r="K126" s="25">
        <f>+'IS PBC (Disposal)'!Q94</f>
        <v>205.01</v>
      </c>
      <c r="L126" s="25">
        <f>+'IS PBC (Disposal)'!R94</f>
        <v>0</v>
      </c>
      <c r="M126" s="25">
        <f>+'IS PBC (Disposal)'!S94</f>
        <v>0</v>
      </c>
      <c r="N126" s="25">
        <f t="shared" si="5"/>
        <v>819.86</v>
      </c>
      <c r="O126" s="25">
        <v>0</v>
      </c>
      <c r="P126" s="25"/>
      <c r="Q126" s="25">
        <f t="shared" si="10"/>
        <v>819.86</v>
      </c>
    </row>
    <row r="127" spans="1:17" ht="15" customHeight="1">
      <c r="A127" s="24" t="s">
        <v>258</v>
      </c>
      <c r="B127" s="25">
        <f>+'IS PBC (Disposal)'!H95</f>
        <v>1581.64</v>
      </c>
      <c r="C127" s="25">
        <f>+'IS PBC (Disposal)'!I95</f>
        <v>1537.47</v>
      </c>
      <c r="D127" s="25">
        <f>+'IS PBC (Disposal)'!J95</f>
        <v>1349.36</v>
      </c>
      <c r="E127" s="25">
        <f>+'IS PBC (Disposal)'!K95</f>
        <v>1450.42</v>
      </c>
      <c r="F127" s="25">
        <f>+'IS PBC (Disposal)'!L95</f>
        <v>1361.92</v>
      </c>
      <c r="G127" s="25">
        <f>+'IS PBC (Disposal)'!M95</f>
        <v>1364.09</v>
      </c>
      <c r="H127" s="25">
        <f>+'IS PBC (Disposal)'!N95</f>
        <v>1280.1199999999999</v>
      </c>
      <c r="I127" s="25">
        <f>+'IS PBC (Disposal)'!O95</f>
        <v>1276.6600000000001</v>
      </c>
      <c r="J127" s="25">
        <f>+'IS PBC (Disposal)'!P95</f>
        <v>1232.9100000000001</v>
      </c>
      <c r="K127" s="25">
        <f>+'IS PBC (Disposal)'!Q95</f>
        <v>1151.79</v>
      </c>
      <c r="L127" s="25">
        <f>+'IS PBC (Disposal)'!R95</f>
        <v>1145.28</v>
      </c>
      <c r="M127" s="25">
        <f>+'IS PBC (Disposal)'!S95</f>
        <v>1068.55</v>
      </c>
      <c r="N127" s="25">
        <f t="shared" si="5"/>
        <v>15800.210000000001</v>
      </c>
      <c r="O127" s="25">
        <v>0</v>
      </c>
      <c r="P127" s="25"/>
      <c r="Q127" s="25">
        <f t="shared" si="10"/>
        <v>15800.210000000001</v>
      </c>
    </row>
    <row r="128" spans="1:17" ht="15" customHeight="1">
      <c r="A128" s="24" t="s">
        <v>263</v>
      </c>
      <c r="B128" s="25">
        <f>+'IS PBC (Disposal)'!H106</f>
        <v>0</v>
      </c>
      <c r="C128" s="25">
        <f>+'IS PBC (Disposal)'!I106</f>
        <v>0</v>
      </c>
      <c r="D128" s="25">
        <f>+'IS PBC (Disposal)'!J106</f>
        <v>1000</v>
      </c>
      <c r="E128" s="25">
        <f>+'IS PBC (Disposal)'!K106</f>
        <v>3000</v>
      </c>
      <c r="F128" s="25">
        <f>+'IS PBC (Disposal)'!L106</f>
        <v>1000</v>
      </c>
      <c r="G128" s="25">
        <f>+'IS PBC (Disposal)'!M106</f>
        <v>1500</v>
      </c>
      <c r="H128" s="25">
        <f>+'IS PBC (Disposal)'!N106</f>
        <v>0</v>
      </c>
      <c r="I128" s="25">
        <f>+'IS PBC (Disposal)'!O106</f>
        <v>0</v>
      </c>
      <c r="J128" s="25">
        <f>+'IS PBC (Disposal)'!P106</f>
        <v>0</v>
      </c>
      <c r="K128" s="25">
        <f>+'IS PBC (Disposal)'!Q106</f>
        <v>500</v>
      </c>
      <c r="L128" s="25">
        <f>+'IS PBC (Disposal)'!R106</f>
        <v>200</v>
      </c>
      <c r="M128" s="25">
        <f>+'IS PBC (Disposal)'!S106</f>
        <v>0</v>
      </c>
      <c r="N128" s="25">
        <f t="shared" si="5"/>
        <v>7200</v>
      </c>
      <c r="O128" s="25">
        <v>0</v>
      </c>
      <c r="P128" s="25"/>
      <c r="Q128" s="25">
        <f t="shared" si="10"/>
        <v>7200</v>
      </c>
    </row>
    <row r="129" spans="1:17" ht="15" customHeight="1">
      <c r="A129" s="24" t="s">
        <v>265</v>
      </c>
      <c r="B129" s="25">
        <f>+'IS PBC (Disposal)'!H107</f>
        <v>0</v>
      </c>
      <c r="C129" s="25">
        <f>+'IS PBC (Disposal)'!I107</f>
        <v>0</v>
      </c>
      <c r="D129" s="25">
        <f>+'IS PBC (Disposal)'!J107</f>
        <v>0</v>
      </c>
      <c r="E129" s="25">
        <f>+'IS PBC (Disposal)'!K107</f>
        <v>0</v>
      </c>
      <c r="F129" s="25">
        <f>+'IS PBC (Disposal)'!L107</f>
        <v>0</v>
      </c>
      <c r="G129" s="25">
        <f>+'IS PBC (Disposal)'!M107</f>
        <v>69.349999999999994</v>
      </c>
      <c r="H129" s="25">
        <f>+'IS PBC (Disposal)'!N107</f>
        <v>0</v>
      </c>
      <c r="I129" s="25">
        <f>+'IS PBC (Disposal)'!O107</f>
        <v>0</v>
      </c>
      <c r="J129" s="25">
        <f>+'IS PBC (Disposal)'!P107</f>
        <v>0</v>
      </c>
      <c r="K129" s="25">
        <f>+'IS PBC (Disposal)'!Q107</f>
        <v>0</v>
      </c>
      <c r="L129" s="25">
        <f>+'IS PBC (Disposal)'!R107</f>
        <v>0</v>
      </c>
      <c r="M129" s="25">
        <f>+'IS PBC (Disposal)'!S107</f>
        <v>230.63</v>
      </c>
      <c r="N129" s="25">
        <f>SUM(B129:M129)</f>
        <v>299.98</v>
      </c>
      <c r="O129" s="25">
        <v>0</v>
      </c>
      <c r="P129" s="25"/>
      <c r="Q129" s="25">
        <f t="shared" si="10"/>
        <v>299.98</v>
      </c>
    </row>
    <row r="130" spans="1:17" ht="15" customHeight="1">
      <c r="A130" s="24" t="s">
        <v>266</v>
      </c>
      <c r="B130" s="25">
        <f>+'IS PBC (Disposal)'!H108</f>
        <v>31900</v>
      </c>
      <c r="C130" s="25">
        <f>+'IS PBC (Disposal)'!I108</f>
        <v>31900</v>
      </c>
      <c r="D130" s="25">
        <f>+'IS PBC (Disposal)'!J108</f>
        <v>31900</v>
      </c>
      <c r="E130" s="25">
        <f>+'IS PBC (Disposal)'!K108</f>
        <v>31900</v>
      </c>
      <c r="F130" s="25">
        <f>+'IS PBC (Disposal)'!L108</f>
        <v>31900</v>
      </c>
      <c r="G130" s="25">
        <f>+'IS PBC (Disposal)'!M108</f>
        <v>31900</v>
      </c>
      <c r="H130" s="25">
        <f>+'IS PBC (Disposal)'!N108</f>
        <v>31900</v>
      </c>
      <c r="I130" s="25">
        <f>+'IS PBC (Disposal)'!O108</f>
        <v>31900</v>
      </c>
      <c r="J130" s="25">
        <f>+'IS PBC (Disposal)'!P108</f>
        <v>31900</v>
      </c>
      <c r="K130" s="25">
        <f>+'IS PBC (Disposal)'!Q108</f>
        <v>31900</v>
      </c>
      <c r="L130" s="25">
        <f>+'IS PBC (Disposal)'!R108</f>
        <v>31900</v>
      </c>
      <c r="M130" s="25">
        <f>+'IS PBC (Disposal)'!S108</f>
        <v>63309.07</v>
      </c>
      <c r="N130" s="25">
        <f>SUM(B130:M130)</f>
        <v>414209.07</v>
      </c>
      <c r="O130" s="25">
        <v>0</v>
      </c>
      <c r="P130" s="25"/>
      <c r="Q130" s="25">
        <f>N130+O130</f>
        <v>414209.07</v>
      </c>
    </row>
    <row r="131" spans="1:17" ht="15" customHeight="1">
      <c r="A131" s="24"/>
      <c r="B131" s="26"/>
      <c r="C131" s="26"/>
      <c r="D131" s="26"/>
      <c r="E131" s="26"/>
      <c r="F131" s="26"/>
      <c r="G131" s="26"/>
      <c r="H131" s="26"/>
      <c r="I131" s="26"/>
      <c r="J131" s="26"/>
      <c r="K131" s="26"/>
      <c r="L131" s="26"/>
      <c r="M131" s="26"/>
      <c r="N131" s="26"/>
      <c r="O131" s="213"/>
      <c r="P131" s="213"/>
      <c r="Q131" s="26"/>
    </row>
    <row r="132" spans="1:17" ht="15" customHeight="1">
      <c r="A132" s="23"/>
      <c r="B132" s="25">
        <f t="shared" ref="B132:O132" si="11">SUM(B64:B130)</f>
        <v>581558.09999999986</v>
      </c>
      <c r="C132" s="25">
        <f t="shared" si="11"/>
        <v>417546.80999999988</v>
      </c>
      <c r="D132" s="25">
        <f t="shared" si="11"/>
        <v>286191.11999999994</v>
      </c>
      <c r="E132" s="25">
        <f t="shared" si="11"/>
        <v>455534.94000000024</v>
      </c>
      <c r="F132" s="25">
        <f t="shared" si="11"/>
        <v>416233</v>
      </c>
      <c r="G132" s="25">
        <f t="shared" si="11"/>
        <v>523739.77000000014</v>
      </c>
      <c r="H132" s="25">
        <f t="shared" si="11"/>
        <v>483639.27</v>
      </c>
      <c r="I132" s="25">
        <f t="shared" si="11"/>
        <v>467544.92999999993</v>
      </c>
      <c r="J132" s="25">
        <f t="shared" si="11"/>
        <v>704445.12000000023</v>
      </c>
      <c r="K132" s="25">
        <f t="shared" si="11"/>
        <v>517481.36000000004</v>
      </c>
      <c r="L132" s="25">
        <f t="shared" si="11"/>
        <v>478601.84000000008</v>
      </c>
      <c r="M132" s="25">
        <f t="shared" si="11"/>
        <v>859860.26000000013</v>
      </c>
      <c r="N132" s="671">
        <f t="shared" si="11"/>
        <v>6192376.5200000005</v>
      </c>
      <c r="O132" s="25">
        <f t="shared" si="11"/>
        <v>0</v>
      </c>
      <c r="P132" s="25"/>
      <c r="Q132" s="25">
        <f>SUM(Q64:Q130)</f>
        <v>6192376.5200000005</v>
      </c>
    </row>
    <row r="133" spans="1:17" ht="15" customHeight="1">
      <c r="A133" s="22" t="s">
        <v>18</v>
      </c>
      <c r="B133" s="32">
        <f t="shared" ref="B133:O133" si="12">B61-B132</f>
        <v>-238302.27999999991</v>
      </c>
      <c r="C133" s="32">
        <f t="shared" si="12"/>
        <v>186369.47000000015</v>
      </c>
      <c r="D133" s="32">
        <f t="shared" si="12"/>
        <v>209516.1100000001</v>
      </c>
      <c r="E133" s="32">
        <f t="shared" si="12"/>
        <v>62063.789999999804</v>
      </c>
      <c r="F133" s="32">
        <f t="shared" si="12"/>
        <v>58114.930000000051</v>
      </c>
      <c r="G133" s="32">
        <f t="shared" si="12"/>
        <v>43789.729999999981</v>
      </c>
      <c r="H133" s="32">
        <f t="shared" si="12"/>
        <v>81374.099999999977</v>
      </c>
      <c r="I133" s="32">
        <f t="shared" si="12"/>
        <v>-3801.6999999999534</v>
      </c>
      <c r="J133" s="32">
        <f t="shared" si="12"/>
        <v>-16808.430000000168</v>
      </c>
      <c r="K133" s="32">
        <f t="shared" si="12"/>
        <v>47320.869999999937</v>
      </c>
      <c r="L133" s="32">
        <f t="shared" si="12"/>
        <v>-29190.610000000102</v>
      </c>
      <c r="M133" s="32">
        <f t="shared" si="12"/>
        <v>-238999.91000000015</v>
      </c>
      <c r="N133" s="32">
        <f t="shared" si="12"/>
        <v>161446.06999999937</v>
      </c>
      <c r="O133" s="32">
        <f t="shared" si="12"/>
        <v>0.40999999961059075</v>
      </c>
      <c r="P133" s="32"/>
      <c r="Q133" s="32">
        <f>Q61-Q132</f>
        <v>161446.47999999952</v>
      </c>
    </row>
    <row r="134" spans="1:17" ht="15" customHeight="1">
      <c r="A134" s="23"/>
      <c r="B134" s="25"/>
      <c r="C134" s="25"/>
      <c r="D134" s="25"/>
      <c r="E134" s="25"/>
      <c r="F134" s="25"/>
      <c r="G134" s="25"/>
      <c r="H134" s="25"/>
      <c r="I134" s="25"/>
      <c r="J134" s="25"/>
      <c r="K134" s="25"/>
      <c r="L134" s="25"/>
      <c r="M134" s="25"/>
      <c r="N134" s="25"/>
      <c r="O134" s="25"/>
      <c r="P134" s="25"/>
      <c r="Q134" s="25"/>
    </row>
    <row r="135" spans="1:17" ht="15" customHeight="1" thickBot="1">
      <c r="A135" s="22" t="s">
        <v>102</v>
      </c>
      <c r="B135" s="31">
        <f t="shared" ref="B135:O135" si="13">+B61-B132</f>
        <v>-238302.27999999991</v>
      </c>
      <c r="C135" s="31">
        <f t="shared" si="13"/>
        <v>186369.47000000015</v>
      </c>
      <c r="D135" s="31">
        <f t="shared" si="13"/>
        <v>209516.1100000001</v>
      </c>
      <c r="E135" s="31">
        <f t="shared" si="13"/>
        <v>62063.789999999804</v>
      </c>
      <c r="F135" s="31">
        <f t="shared" si="13"/>
        <v>58114.930000000051</v>
      </c>
      <c r="G135" s="31">
        <f t="shared" si="13"/>
        <v>43789.729999999981</v>
      </c>
      <c r="H135" s="31">
        <f t="shared" si="13"/>
        <v>81374.099999999977</v>
      </c>
      <c r="I135" s="31">
        <f t="shared" si="13"/>
        <v>-3801.6999999999534</v>
      </c>
      <c r="J135" s="31">
        <f t="shared" si="13"/>
        <v>-16808.430000000168</v>
      </c>
      <c r="K135" s="31">
        <f t="shared" si="13"/>
        <v>47320.869999999937</v>
      </c>
      <c r="L135" s="31">
        <f t="shared" si="13"/>
        <v>-29190.610000000102</v>
      </c>
      <c r="M135" s="31">
        <f t="shared" si="13"/>
        <v>-238999.91000000015</v>
      </c>
      <c r="N135" s="31">
        <f t="shared" si="13"/>
        <v>161446.06999999937</v>
      </c>
      <c r="O135" s="31">
        <f t="shared" si="13"/>
        <v>0.40999999961059075</v>
      </c>
      <c r="P135" s="31"/>
      <c r="Q135" s="31">
        <f>+Q61-Q132</f>
        <v>161446.47999999952</v>
      </c>
    </row>
    <row r="136" spans="1:17" ht="15" customHeight="1" thickTop="1">
      <c r="B136" s="25"/>
      <c r="C136" s="25"/>
      <c r="D136" s="25"/>
      <c r="E136" s="25"/>
      <c r="F136" s="25"/>
      <c r="G136" s="25"/>
      <c r="H136" s="25"/>
      <c r="I136" s="25"/>
      <c r="J136" s="25"/>
      <c r="K136" s="25"/>
      <c r="L136" s="25"/>
      <c r="M136" s="25"/>
      <c r="N136" s="25"/>
      <c r="O136" s="25"/>
      <c r="P136" s="25"/>
      <c r="Q136" s="25"/>
    </row>
    <row r="137" spans="1:17" ht="15" customHeight="1">
      <c r="B137" s="25"/>
      <c r="C137" s="25"/>
      <c r="D137" s="25"/>
      <c r="E137" s="25"/>
      <c r="F137" s="25"/>
      <c r="G137" s="25"/>
      <c r="H137" s="25"/>
      <c r="I137" s="25"/>
      <c r="J137" s="25"/>
      <c r="K137" s="25"/>
      <c r="L137" s="25"/>
      <c r="M137" s="25"/>
      <c r="N137" s="25"/>
      <c r="O137" s="25"/>
      <c r="P137" s="25"/>
      <c r="Q137" s="25"/>
    </row>
    <row r="138" spans="1:17" ht="15" customHeight="1">
      <c r="B138" s="25"/>
      <c r="C138" s="25"/>
      <c r="D138" s="25"/>
      <c r="E138" s="25"/>
      <c r="F138" s="25"/>
      <c r="G138" s="25"/>
      <c r="H138" s="25"/>
      <c r="I138" s="25"/>
      <c r="J138" s="25"/>
      <c r="K138" s="25"/>
      <c r="L138" s="25"/>
      <c r="M138" s="25"/>
      <c r="N138" s="25"/>
      <c r="O138" s="25"/>
      <c r="P138" s="25"/>
      <c r="Q138" s="25"/>
    </row>
    <row r="139" spans="1:17" ht="15" customHeight="1">
      <c r="B139" s="25"/>
      <c r="C139" s="25"/>
      <c r="D139" s="25"/>
      <c r="E139" s="25"/>
      <c r="F139" s="25"/>
      <c r="G139" s="25"/>
      <c r="H139" s="25"/>
      <c r="I139" s="25"/>
      <c r="J139" s="25"/>
      <c r="K139" s="25"/>
      <c r="L139" s="25"/>
      <c r="M139" s="25"/>
      <c r="N139" s="25"/>
      <c r="O139" s="25"/>
      <c r="P139" s="25"/>
      <c r="Q139" s="25"/>
    </row>
    <row r="140" spans="1:17" ht="15" customHeight="1">
      <c r="B140" s="25"/>
      <c r="C140" s="25"/>
      <c r="D140" s="25"/>
      <c r="E140" s="25"/>
      <c r="F140" s="25"/>
      <c r="G140" s="25"/>
      <c r="H140" s="25"/>
      <c r="I140" s="25"/>
      <c r="J140" s="25"/>
      <c r="K140" s="25"/>
      <c r="L140" s="25"/>
      <c r="M140" s="25"/>
      <c r="N140" s="25"/>
      <c r="O140" s="25"/>
      <c r="P140" s="25"/>
      <c r="Q140" s="25"/>
    </row>
    <row r="141" spans="1:17" ht="15" customHeight="1">
      <c r="B141" s="25"/>
      <c r="C141" s="25"/>
      <c r="D141" s="25"/>
      <c r="E141" s="25"/>
      <c r="F141" s="25"/>
      <c r="G141" s="25"/>
      <c r="H141" s="25"/>
      <c r="I141" s="25"/>
      <c r="J141" s="25"/>
      <c r="K141" s="25"/>
      <c r="L141" s="25"/>
      <c r="M141" s="25"/>
      <c r="N141" s="25"/>
      <c r="O141" s="25"/>
      <c r="P141" s="25"/>
      <c r="Q141" s="25"/>
    </row>
    <row r="142" spans="1:17" ht="15" customHeight="1">
      <c r="B142" s="25"/>
      <c r="C142" s="25"/>
      <c r="D142" s="25"/>
      <c r="E142" s="25"/>
      <c r="F142" s="25"/>
      <c r="G142" s="25"/>
      <c r="H142" s="25"/>
      <c r="I142" s="25"/>
      <c r="J142" s="25"/>
      <c r="K142" s="25"/>
      <c r="L142" s="25"/>
      <c r="M142" s="25"/>
      <c r="N142" s="25"/>
      <c r="O142" s="25"/>
      <c r="P142" s="25"/>
      <c r="Q142" s="25"/>
    </row>
    <row r="143" spans="1:17" ht="15" customHeight="1">
      <c r="B143" s="25"/>
      <c r="C143" s="25"/>
      <c r="D143" s="25"/>
      <c r="E143" s="25"/>
      <c r="F143" s="25"/>
      <c r="G143" s="25"/>
      <c r="H143" s="25"/>
      <c r="I143" s="25"/>
      <c r="J143" s="25"/>
      <c r="K143" s="25"/>
      <c r="L143" s="25"/>
      <c r="M143" s="25"/>
      <c r="N143" s="25"/>
      <c r="O143" s="25"/>
      <c r="P143" s="25"/>
      <c r="Q143" s="25"/>
    </row>
    <row r="144" spans="1:17" ht="15" customHeight="1">
      <c r="B144" s="25"/>
      <c r="C144" s="25"/>
      <c r="D144" s="25"/>
      <c r="E144" s="25"/>
      <c r="F144" s="25"/>
      <c r="G144" s="25"/>
      <c r="H144" s="25"/>
      <c r="I144" s="25"/>
      <c r="J144" s="25"/>
      <c r="K144" s="25"/>
      <c r="L144" s="25"/>
      <c r="M144" s="25"/>
      <c r="N144" s="25"/>
      <c r="O144" s="25"/>
      <c r="P144" s="25"/>
      <c r="Q144" s="25"/>
    </row>
    <row r="145" spans="2:17" ht="15" customHeight="1">
      <c r="B145" s="25"/>
      <c r="C145" s="25"/>
      <c r="D145" s="25"/>
      <c r="E145" s="25"/>
      <c r="F145" s="25"/>
      <c r="G145" s="25"/>
      <c r="H145" s="25"/>
      <c r="I145" s="25"/>
      <c r="J145" s="25"/>
      <c r="K145" s="25"/>
      <c r="L145" s="25"/>
      <c r="M145" s="25"/>
      <c r="N145" s="25"/>
      <c r="O145" s="25"/>
      <c r="P145" s="25"/>
      <c r="Q145" s="25"/>
    </row>
    <row r="146" spans="2:17" ht="15" customHeight="1">
      <c r="B146" s="25"/>
      <c r="C146" s="25"/>
      <c r="D146" s="25"/>
      <c r="E146" s="25"/>
      <c r="F146" s="25"/>
      <c r="G146" s="25"/>
      <c r="H146" s="25"/>
      <c r="I146" s="25"/>
      <c r="J146" s="25"/>
      <c r="K146" s="25"/>
      <c r="L146" s="25"/>
      <c r="M146" s="25"/>
      <c r="N146" s="25"/>
      <c r="O146" s="25"/>
      <c r="P146" s="25"/>
      <c r="Q146" s="25"/>
    </row>
    <row r="147" spans="2:17" ht="15" customHeight="1">
      <c r="B147" s="25"/>
      <c r="C147" s="25"/>
      <c r="D147" s="25"/>
      <c r="E147" s="25"/>
      <c r="F147" s="25"/>
      <c r="G147" s="25"/>
      <c r="H147" s="25"/>
      <c r="I147" s="25"/>
      <c r="J147" s="25"/>
      <c r="K147" s="25"/>
      <c r="L147" s="25"/>
      <c r="M147" s="25"/>
      <c r="N147" s="25"/>
      <c r="O147" s="25"/>
      <c r="P147" s="25"/>
      <c r="Q147" s="25"/>
    </row>
    <row r="148" spans="2:17" ht="15" customHeight="1">
      <c r="B148" s="25"/>
      <c r="C148" s="25"/>
      <c r="D148" s="25"/>
      <c r="E148" s="25"/>
      <c r="F148" s="25"/>
      <c r="G148" s="25"/>
      <c r="H148" s="25"/>
      <c r="I148" s="25"/>
      <c r="J148" s="25"/>
      <c r="K148" s="25"/>
      <c r="L148" s="25"/>
      <c r="M148" s="25"/>
      <c r="N148" s="25"/>
      <c r="O148" s="25"/>
      <c r="P148" s="25"/>
      <c r="Q148" s="25"/>
    </row>
    <row r="149" spans="2:17" ht="15" customHeight="1">
      <c r="B149" s="25"/>
      <c r="C149" s="25"/>
      <c r="D149" s="25"/>
      <c r="E149" s="25"/>
      <c r="F149" s="25"/>
      <c r="G149" s="25"/>
      <c r="H149" s="25"/>
      <c r="I149" s="25"/>
      <c r="J149" s="25"/>
      <c r="K149" s="25"/>
      <c r="L149" s="25"/>
      <c r="M149" s="25"/>
      <c r="N149" s="25"/>
      <c r="O149" s="25"/>
      <c r="P149" s="25"/>
      <c r="Q149" s="25"/>
    </row>
    <row r="150" spans="2:17" ht="15" customHeight="1">
      <c r="B150" s="25"/>
      <c r="C150" s="25"/>
      <c r="D150" s="25"/>
      <c r="E150" s="25"/>
      <c r="F150" s="25"/>
      <c r="G150" s="25"/>
      <c r="H150" s="25"/>
      <c r="I150" s="25"/>
      <c r="J150" s="25"/>
      <c r="K150" s="25"/>
      <c r="L150" s="25"/>
      <c r="M150" s="25"/>
      <c r="N150" s="25"/>
      <c r="O150" s="25"/>
      <c r="P150" s="25"/>
      <c r="Q150" s="25"/>
    </row>
    <row r="151" spans="2:17" ht="15" customHeight="1">
      <c r="B151" s="25"/>
      <c r="C151" s="25"/>
      <c r="D151" s="25"/>
      <c r="E151" s="25"/>
      <c r="F151" s="25"/>
      <c r="G151" s="25"/>
      <c r="H151" s="25"/>
      <c r="I151" s="25"/>
      <c r="J151" s="25"/>
      <c r="K151" s="25"/>
      <c r="L151" s="25"/>
      <c r="M151" s="25"/>
      <c r="N151" s="25"/>
      <c r="O151" s="25"/>
      <c r="P151" s="25"/>
      <c r="Q151" s="25"/>
    </row>
    <row r="152" spans="2:17" ht="15" customHeight="1">
      <c r="B152" s="25"/>
      <c r="C152" s="25"/>
      <c r="D152" s="25"/>
      <c r="E152" s="25"/>
      <c r="F152" s="25"/>
      <c r="G152" s="25"/>
      <c r="H152" s="25"/>
      <c r="I152" s="25"/>
      <c r="J152" s="25"/>
      <c r="K152" s="25"/>
      <c r="L152" s="25"/>
      <c r="M152" s="25"/>
      <c r="N152" s="25"/>
      <c r="O152" s="25"/>
      <c r="P152" s="25"/>
      <c r="Q152" s="25"/>
    </row>
    <row r="153" spans="2:17" ht="15" customHeight="1">
      <c r="B153" s="25"/>
      <c r="C153" s="25"/>
      <c r="D153" s="25"/>
      <c r="E153" s="25"/>
      <c r="F153" s="25"/>
      <c r="G153" s="25"/>
      <c r="H153" s="25"/>
      <c r="I153" s="25"/>
      <c r="J153" s="25"/>
      <c r="K153" s="25"/>
      <c r="L153" s="25"/>
      <c r="M153" s="25"/>
      <c r="N153" s="25"/>
      <c r="O153" s="25"/>
      <c r="P153" s="25"/>
      <c r="Q153" s="25"/>
    </row>
    <row r="154" spans="2:17" ht="15" customHeight="1">
      <c r="B154" s="25"/>
      <c r="C154" s="25"/>
      <c r="D154" s="25"/>
      <c r="E154" s="25"/>
      <c r="F154" s="25"/>
      <c r="G154" s="25"/>
      <c r="H154" s="25"/>
      <c r="I154" s="25"/>
      <c r="J154" s="25"/>
      <c r="K154" s="25"/>
      <c r="L154" s="25"/>
      <c r="M154" s="25"/>
      <c r="N154" s="25"/>
      <c r="O154" s="25"/>
      <c r="P154" s="25"/>
      <c r="Q154" s="25"/>
    </row>
    <row r="155" spans="2:17" ht="15" customHeight="1">
      <c r="B155" s="25"/>
      <c r="C155" s="25"/>
      <c r="D155" s="25"/>
      <c r="E155" s="25"/>
      <c r="F155" s="25"/>
      <c r="G155" s="25"/>
      <c r="H155" s="25"/>
      <c r="I155" s="25"/>
      <c r="J155" s="25"/>
      <c r="K155" s="25"/>
      <c r="L155" s="25"/>
      <c r="M155" s="25"/>
      <c r="N155" s="25"/>
      <c r="O155" s="25"/>
      <c r="P155" s="25"/>
      <c r="Q155" s="25"/>
    </row>
    <row r="156" spans="2:17" ht="15" customHeight="1">
      <c r="B156" s="25"/>
      <c r="C156" s="25"/>
      <c r="D156" s="25"/>
      <c r="E156" s="25"/>
      <c r="F156" s="25"/>
      <c r="G156" s="25"/>
      <c r="H156" s="25"/>
      <c r="I156" s="25"/>
      <c r="J156" s="25"/>
      <c r="K156" s="25"/>
      <c r="L156" s="25"/>
      <c r="M156" s="25"/>
      <c r="N156" s="25"/>
      <c r="O156" s="25"/>
      <c r="P156" s="25"/>
      <c r="Q156" s="25"/>
    </row>
    <row r="157" spans="2:17" ht="15" customHeight="1">
      <c r="B157" s="25"/>
      <c r="C157" s="25"/>
      <c r="D157" s="25"/>
      <c r="E157" s="25"/>
      <c r="F157" s="25"/>
      <c r="G157" s="25"/>
      <c r="H157" s="25"/>
      <c r="I157" s="25"/>
      <c r="J157" s="25"/>
      <c r="K157" s="25"/>
      <c r="L157" s="25"/>
      <c r="M157" s="25"/>
      <c r="N157" s="25"/>
      <c r="O157" s="25"/>
      <c r="P157" s="25"/>
      <c r="Q157" s="25"/>
    </row>
    <row r="158" spans="2:17" ht="15" customHeight="1">
      <c r="B158" s="25"/>
      <c r="C158" s="25"/>
      <c r="D158" s="25"/>
      <c r="E158" s="25"/>
      <c r="F158" s="25"/>
      <c r="G158" s="25"/>
      <c r="H158" s="25"/>
      <c r="I158" s="25"/>
      <c r="J158" s="25"/>
      <c r="K158" s="25"/>
      <c r="L158" s="25"/>
      <c r="M158" s="25"/>
      <c r="N158" s="25"/>
      <c r="O158" s="25"/>
      <c r="P158" s="25"/>
      <c r="Q158" s="25"/>
    </row>
    <row r="159" spans="2:17" ht="15" customHeight="1">
      <c r="B159" s="25"/>
      <c r="C159" s="25"/>
      <c r="D159" s="25"/>
      <c r="E159" s="25"/>
      <c r="F159" s="25"/>
      <c r="G159" s="25"/>
      <c r="H159" s="25"/>
      <c r="I159" s="25"/>
      <c r="J159" s="25"/>
      <c r="K159" s="25"/>
      <c r="L159" s="25"/>
      <c r="M159" s="25"/>
      <c r="N159" s="25"/>
      <c r="O159" s="25"/>
      <c r="P159" s="25"/>
      <c r="Q159" s="25"/>
    </row>
    <row r="160" spans="2:17" ht="15" customHeight="1">
      <c r="B160" s="25"/>
      <c r="C160" s="25"/>
      <c r="D160" s="25"/>
      <c r="E160" s="25"/>
      <c r="F160" s="25"/>
      <c r="G160" s="25"/>
      <c r="H160" s="25"/>
      <c r="I160" s="25"/>
      <c r="J160" s="25"/>
      <c r="K160" s="25"/>
      <c r="L160" s="25"/>
      <c r="M160" s="25"/>
      <c r="N160" s="25"/>
      <c r="O160" s="25"/>
      <c r="P160" s="25"/>
      <c r="Q160" s="25"/>
    </row>
    <row r="161" spans="2:17" ht="15" customHeight="1">
      <c r="B161" s="25"/>
      <c r="C161" s="25"/>
      <c r="D161" s="25"/>
      <c r="E161" s="25"/>
      <c r="F161" s="25"/>
      <c r="G161" s="25"/>
      <c r="H161" s="25"/>
      <c r="I161" s="25"/>
      <c r="J161" s="25"/>
      <c r="K161" s="25"/>
      <c r="L161" s="25"/>
      <c r="M161" s="25"/>
      <c r="N161" s="25"/>
      <c r="O161" s="25"/>
      <c r="P161" s="25"/>
      <c r="Q161" s="25"/>
    </row>
    <row r="162" spans="2:17" ht="15" customHeight="1">
      <c r="B162" s="25"/>
      <c r="C162" s="25"/>
      <c r="D162" s="25"/>
      <c r="E162" s="25"/>
      <c r="F162" s="25"/>
      <c r="G162" s="25"/>
      <c r="H162" s="25"/>
      <c r="I162" s="25"/>
      <c r="J162" s="25"/>
      <c r="K162" s="25"/>
      <c r="L162" s="25"/>
      <c r="M162" s="25"/>
      <c r="N162" s="25"/>
      <c r="O162" s="25"/>
      <c r="P162" s="25"/>
      <c r="Q162" s="25"/>
    </row>
    <row r="163" spans="2:17" ht="15" customHeight="1">
      <c r="B163" s="25"/>
      <c r="C163" s="25"/>
      <c r="D163" s="25"/>
      <c r="E163" s="25"/>
      <c r="F163" s="25"/>
      <c r="G163" s="25"/>
      <c r="H163" s="25"/>
      <c r="I163" s="25"/>
      <c r="J163" s="25"/>
      <c r="K163" s="25"/>
      <c r="L163" s="25"/>
      <c r="M163" s="25"/>
      <c r="N163" s="25"/>
      <c r="O163" s="25"/>
      <c r="P163" s="25"/>
      <c r="Q163" s="25"/>
    </row>
    <row r="164" spans="2:17" ht="15" customHeight="1">
      <c r="B164" s="25"/>
      <c r="C164" s="25"/>
      <c r="D164" s="25"/>
      <c r="E164" s="25"/>
      <c r="F164" s="25"/>
      <c r="G164" s="25"/>
      <c r="H164" s="25"/>
      <c r="I164" s="25"/>
      <c r="J164" s="25"/>
      <c r="K164" s="25"/>
      <c r="L164" s="25"/>
      <c r="M164" s="25"/>
      <c r="N164" s="25"/>
      <c r="O164" s="25"/>
      <c r="P164" s="25"/>
      <c r="Q164" s="25"/>
    </row>
    <row r="165" spans="2:17" ht="15" customHeight="1">
      <c r="B165" s="25"/>
      <c r="C165" s="25"/>
      <c r="D165" s="25"/>
      <c r="E165" s="25"/>
      <c r="F165" s="25"/>
      <c r="G165" s="25"/>
      <c r="H165" s="25"/>
      <c r="I165" s="25"/>
      <c r="J165" s="25"/>
      <c r="K165" s="25"/>
      <c r="L165" s="25"/>
      <c r="M165" s="25"/>
      <c r="N165" s="25"/>
      <c r="O165" s="25"/>
      <c r="P165" s="25"/>
      <c r="Q165" s="25"/>
    </row>
    <row r="166" spans="2:17" ht="15" customHeight="1">
      <c r="B166" s="25"/>
      <c r="C166" s="25"/>
      <c r="D166" s="25"/>
      <c r="E166" s="25"/>
      <c r="F166" s="25"/>
      <c r="G166" s="25"/>
      <c r="H166" s="25"/>
      <c r="I166" s="25"/>
      <c r="J166" s="25"/>
      <c r="K166" s="25"/>
      <c r="L166" s="25"/>
      <c r="M166" s="25"/>
      <c r="N166" s="25"/>
      <c r="O166" s="25"/>
      <c r="P166" s="25"/>
      <c r="Q166" s="25"/>
    </row>
    <row r="167" spans="2:17" ht="15" customHeight="1">
      <c r="B167" s="25"/>
      <c r="C167" s="25"/>
      <c r="D167" s="25"/>
      <c r="E167" s="25"/>
      <c r="F167" s="25"/>
      <c r="G167" s="25"/>
      <c r="H167" s="25"/>
      <c r="I167" s="25"/>
      <c r="J167" s="25"/>
      <c r="K167" s="25"/>
      <c r="L167" s="25"/>
      <c r="M167" s="25"/>
      <c r="N167" s="25"/>
      <c r="O167" s="25"/>
      <c r="P167" s="25"/>
      <c r="Q167" s="25"/>
    </row>
    <row r="168" spans="2:17" ht="15" customHeight="1">
      <c r="B168" s="25"/>
      <c r="C168" s="25"/>
      <c r="D168" s="25"/>
      <c r="E168" s="25"/>
      <c r="F168" s="25"/>
      <c r="G168" s="25"/>
      <c r="H168" s="25"/>
      <c r="I168" s="25"/>
      <c r="J168" s="25"/>
      <c r="K168" s="25"/>
      <c r="L168" s="25"/>
      <c r="M168" s="25"/>
      <c r="N168" s="25"/>
      <c r="O168" s="25"/>
      <c r="P168" s="25"/>
      <c r="Q168" s="25"/>
    </row>
    <row r="169" spans="2:17" ht="15" customHeight="1">
      <c r="B169" s="25"/>
      <c r="C169" s="25"/>
      <c r="D169" s="25"/>
      <c r="E169" s="25"/>
      <c r="F169" s="25"/>
      <c r="G169" s="25"/>
      <c r="H169" s="25"/>
      <c r="I169" s="25"/>
      <c r="J169" s="25"/>
      <c r="K169" s="25"/>
      <c r="L169" s="25"/>
      <c r="M169" s="25"/>
      <c r="N169" s="25"/>
      <c r="O169" s="25"/>
      <c r="P169" s="25"/>
      <c r="Q169" s="25"/>
    </row>
    <row r="170" spans="2:17" ht="15" customHeight="1">
      <c r="B170" s="25"/>
      <c r="C170" s="25"/>
      <c r="D170" s="25"/>
      <c r="E170" s="25"/>
      <c r="F170" s="25"/>
      <c r="G170" s="25"/>
      <c r="H170" s="25"/>
      <c r="I170" s="25"/>
      <c r="J170" s="25"/>
      <c r="K170" s="25"/>
      <c r="L170" s="25"/>
      <c r="M170" s="25"/>
      <c r="N170" s="25"/>
      <c r="O170" s="25"/>
      <c r="P170" s="25"/>
      <c r="Q170" s="25"/>
    </row>
    <row r="171" spans="2:17" ht="15" customHeight="1">
      <c r="B171" s="25"/>
      <c r="C171" s="25"/>
      <c r="D171" s="25"/>
      <c r="E171" s="25"/>
      <c r="F171" s="25"/>
      <c r="G171" s="25"/>
      <c r="H171" s="25"/>
      <c r="I171" s="25"/>
      <c r="J171" s="25"/>
      <c r="K171" s="25"/>
      <c r="L171" s="25"/>
      <c r="M171" s="25"/>
      <c r="N171" s="25"/>
      <c r="O171" s="25"/>
      <c r="P171" s="25"/>
      <c r="Q171" s="25"/>
    </row>
    <row r="172" spans="2:17" ht="15" customHeight="1">
      <c r="B172" s="25"/>
      <c r="C172" s="25"/>
      <c r="D172" s="25"/>
      <c r="E172" s="25"/>
      <c r="F172" s="25"/>
      <c r="G172" s="25"/>
      <c r="H172" s="25"/>
      <c r="I172" s="25"/>
      <c r="J172" s="25"/>
      <c r="K172" s="25"/>
      <c r="L172" s="25"/>
      <c r="M172" s="25"/>
      <c r="N172" s="25"/>
      <c r="O172" s="25"/>
      <c r="P172" s="25"/>
      <c r="Q172" s="25"/>
    </row>
    <row r="173" spans="2:17" ht="15" customHeight="1">
      <c r="B173" s="25"/>
      <c r="C173" s="25"/>
      <c r="D173" s="25"/>
      <c r="E173" s="25"/>
      <c r="F173" s="25"/>
      <c r="G173" s="25"/>
      <c r="H173" s="25"/>
      <c r="I173" s="25"/>
      <c r="J173" s="25"/>
      <c r="K173" s="25"/>
      <c r="L173" s="25"/>
      <c r="M173" s="25"/>
      <c r="N173" s="25"/>
      <c r="O173" s="25"/>
      <c r="P173" s="25"/>
      <c r="Q173" s="25"/>
    </row>
    <row r="174" spans="2:17" ht="15" customHeight="1">
      <c r="B174" s="25"/>
      <c r="C174" s="25"/>
      <c r="D174" s="25"/>
      <c r="E174" s="25"/>
      <c r="F174" s="25"/>
      <c r="G174" s="25"/>
      <c r="H174" s="25"/>
      <c r="I174" s="25"/>
      <c r="J174" s="25"/>
      <c r="K174" s="25"/>
      <c r="L174" s="25"/>
      <c r="M174" s="25"/>
      <c r="N174" s="25"/>
      <c r="O174" s="25"/>
      <c r="P174" s="25"/>
      <c r="Q174" s="25"/>
    </row>
    <row r="175" spans="2:17" ht="15" customHeight="1">
      <c r="B175" s="25"/>
      <c r="C175" s="25"/>
      <c r="D175" s="25"/>
      <c r="E175" s="25"/>
      <c r="F175" s="25"/>
      <c r="G175" s="25"/>
      <c r="H175" s="25"/>
      <c r="I175" s="25"/>
      <c r="J175" s="25"/>
      <c r="K175" s="25"/>
      <c r="L175" s="25"/>
      <c r="M175" s="25"/>
      <c r="N175" s="25"/>
      <c r="O175" s="25"/>
      <c r="P175" s="25"/>
      <c r="Q175" s="25"/>
    </row>
    <row r="176" spans="2:17" ht="15" customHeight="1">
      <c r="B176" s="25"/>
      <c r="C176" s="25"/>
      <c r="D176" s="25"/>
      <c r="E176" s="25"/>
      <c r="F176" s="25"/>
      <c r="G176" s="25"/>
      <c r="H176" s="25"/>
      <c r="I176" s="25"/>
      <c r="J176" s="25"/>
      <c r="K176" s="25"/>
      <c r="L176" s="25"/>
      <c r="M176" s="25"/>
      <c r="N176" s="25"/>
      <c r="O176" s="25"/>
      <c r="P176" s="25"/>
      <c r="Q176" s="25"/>
    </row>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sheetData>
  <mergeCells count="4">
    <mergeCell ref="A1:Q1"/>
    <mergeCell ref="A3:Q3"/>
    <mergeCell ref="A6:Q6"/>
    <mergeCell ref="A5:Q5"/>
  </mergeCells>
  <phoneticPr fontId="0" type="noConversion"/>
  <pageMargins left="0.25" right="0.25" top="0.75" bottom="0.5" header="0" footer="0.25"/>
  <pageSetup scale="48" fitToHeight="3" orientation="landscape" r:id="rId1"/>
  <headerFooter alignWithMargins="0">
    <oddFooter xml:space="preserve">&amp;C&amp;9
&amp;"Times New Roman,Regular"&amp;10See accompanying summary of significant forecast  assumptions. </oddFooter>
  </headerFooter>
  <rowBreaks count="2" manualBreakCount="2">
    <brk id="61" max="16383" man="1"/>
    <brk id="96"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dimension ref="A1:H17"/>
  <sheetViews>
    <sheetView zoomScaleNormal="100" workbookViewId="0"/>
  </sheetViews>
  <sheetFormatPr defaultRowHeight="15"/>
  <sheetData>
    <row r="1" spans="1:8" ht="15.75">
      <c r="D1" s="2"/>
    </row>
    <row r="2" spans="1:8" ht="15.75">
      <c r="C2" s="2"/>
    </row>
    <row r="3" spans="1:8" ht="15.75">
      <c r="C3" s="2"/>
    </row>
    <row r="4" spans="1:8" ht="15.75">
      <c r="C4" s="2"/>
    </row>
    <row r="5" spans="1:8" ht="15.75">
      <c r="C5" s="2"/>
    </row>
    <row r="6" spans="1:8" ht="15.75">
      <c r="C6" s="2"/>
    </row>
    <row r="7" spans="1:8" ht="15.75">
      <c r="C7" s="2"/>
    </row>
    <row r="8" spans="1:8" ht="15.75">
      <c r="C8" s="2"/>
    </row>
    <row r="9" spans="1:8" ht="15.75">
      <c r="C9" s="2"/>
    </row>
    <row r="10" spans="1:8" ht="15.75">
      <c r="C10" s="2"/>
    </row>
    <row r="11" spans="1:8" ht="15.75">
      <c r="C11" s="2"/>
    </row>
    <row r="12" spans="1:8" ht="15.75">
      <c r="C12" s="2"/>
    </row>
    <row r="13" spans="1:8" ht="15.75">
      <c r="C13" s="2"/>
    </row>
    <row r="14" spans="1:8" ht="15.75">
      <c r="C14" s="2"/>
    </row>
    <row r="15" spans="1:8" ht="29.25" customHeight="1">
      <c r="A15" s="823" t="s">
        <v>608</v>
      </c>
      <c r="B15" s="823"/>
      <c r="C15" s="823"/>
      <c r="D15" s="823"/>
      <c r="E15" s="823"/>
      <c r="F15" s="823"/>
      <c r="G15" s="823"/>
      <c r="H15" s="823"/>
    </row>
    <row r="16" spans="1:8" ht="16.5">
      <c r="C16" s="35"/>
    </row>
    <row r="17" spans="3:3" ht="16.5">
      <c r="C17" s="35"/>
    </row>
  </sheetData>
  <mergeCells count="1">
    <mergeCell ref="A15:H1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2">
    <pageSetUpPr fitToPage="1"/>
  </sheetPr>
  <dimension ref="A1:K30"/>
  <sheetViews>
    <sheetView zoomScaleNormal="100" workbookViewId="0">
      <selection activeCell="A6" sqref="A6"/>
    </sheetView>
  </sheetViews>
  <sheetFormatPr defaultColWidth="8.88671875" defaultRowHeight="15.75"/>
  <cols>
    <col min="1" max="1" width="8.88671875" style="58"/>
    <col min="2" max="2" width="3.88671875" style="59" customWidth="1"/>
    <col min="3" max="3" width="26.33203125" style="59" customWidth="1"/>
    <col min="4" max="4" width="10.6640625" style="59" customWidth="1"/>
    <col min="5" max="5" width="11" style="59" customWidth="1"/>
    <col min="6" max="7" width="8.88671875" style="59"/>
    <col min="8" max="16384" width="8.88671875" style="58"/>
  </cols>
  <sheetData>
    <row r="1" spans="1:11" s="82" customFormat="1">
      <c r="A1" s="824" t="str">
        <f>+Operations!B1</f>
        <v>BAINBRIDGE DISPOSAL, INC.</v>
      </c>
      <c r="B1" s="825"/>
      <c r="C1" s="825"/>
      <c r="D1" s="825"/>
      <c r="E1" s="825"/>
      <c r="F1" s="825"/>
      <c r="G1" s="825"/>
    </row>
    <row r="2" spans="1:11" s="82" customFormat="1" ht="18" customHeight="1">
      <c r="A2" s="19"/>
      <c r="B2" s="18"/>
      <c r="C2" s="18"/>
      <c r="D2" s="18"/>
      <c r="E2" s="18"/>
      <c r="F2" s="18"/>
      <c r="G2" s="18"/>
      <c r="H2" s="85"/>
      <c r="I2" s="85"/>
      <c r="J2" s="85"/>
    </row>
    <row r="3" spans="1:11" s="82" customFormat="1">
      <c r="A3" s="825" t="s">
        <v>609</v>
      </c>
      <c r="B3" s="825"/>
      <c r="C3" s="825"/>
      <c r="D3" s="825"/>
      <c r="E3" s="825"/>
      <c r="F3" s="825"/>
      <c r="G3" s="825"/>
    </row>
    <row r="4" spans="1:11" s="82" customFormat="1">
      <c r="A4" s="21"/>
      <c r="B4" s="21"/>
      <c r="C4" s="21"/>
      <c r="D4" s="21"/>
      <c r="E4" s="21"/>
      <c r="F4" s="21"/>
      <c r="G4" s="21"/>
      <c r="H4" s="83"/>
      <c r="I4" s="83"/>
      <c r="J4" s="83"/>
      <c r="K4" s="83"/>
    </row>
    <row r="5" spans="1:11" s="82" customFormat="1">
      <c r="A5" s="826" t="s">
        <v>1291</v>
      </c>
      <c r="B5" s="826"/>
      <c r="C5" s="826"/>
      <c r="D5" s="826"/>
      <c r="E5" s="826"/>
      <c r="F5" s="826"/>
      <c r="G5" s="826"/>
      <c r="H5" s="239"/>
      <c r="I5" s="239"/>
      <c r="J5" s="239"/>
      <c r="K5" s="83"/>
    </row>
    <row r="6" spans="1:11" s="82" customFormat="1">
      <c r="A6" s="175"/>
      <c r="B6" s="175"/>
      <c r="C6" s="175"/>
      <c r="D6" s="175"/>
      <c r="E6" s="175"/>
      <c r="F6" s="175"/>
      <c r="G6" s="175"/>
      <c r="H6" s="83"/>
      <c r="I6" s="83"/>
      <c r="J6" s="83"/>
      <c r="K6" s="83"/>
    </row>
    <row r="7" spans="1:11" s="59" customFormat="1">
      <c r="A7" s="58" t="s">
        <v>199</v>
      </c>
    </row>
    <row r="9" spans="1:11" s="59" customFormat="1">
      <c r="A9" s="58"/>
      <c r="D9" s="214" t="s">
        <v>200</v>
      </c>
      <c r="E9" s="214" t="s">
        <v>200</v>
      </c>
    </row>
    <row r="10" spans="1:11" s="59" customFormat="1">
      <c r="A10" s="58"/>
      <c r="C10" s="214" t="s">
        <v>201</v>
      </c>
      <c r="D10" s="214" t="s">
        <v>68</v>
      </c>
      <c r="E10" s="214" t="s">
        <v>2</v>
      </c>
    </row>
    <row r="11" spans="1:11" s="59" customFormat="1">
      <c r="A11" s="58"/>
      <c r="C11" s="59" t="s">
        <v>202</v>
      </c>
      <c r="D11" s="76">
        <v>45077</v>
      </c>
      <c r="E11" s="59">
        <v>2961.2</v>
      </c>
    </row>
    <row r="12" spans="1:11" s="59" customFormat="1">
      <c r="A12" s="58"/>
      <c r="C12" s="59" t="s">
        <v>202</v>
      </c>
      <c r="D12" s="76">
        <v>45107</v>
      </c>
      <c r="E12" s="59">
        <f>3071.4-313.5</f>
        <v>2757.9</v>
      </c>
    </row>
    <row r="13" spans="1:11" s="59" customFormat="1">
      <c r="A13" s="58"/>
      <c r="C13" s="59" t="s">
        <v>202</v>
      </c>
      <c r="D13" s="76">
        <v>45138</v>
      </c>
      <c r="E13" s="59">
        <v>1543.5</v>
      </c>
    </row>
    <row r="14" spans="1:11" s="59" customFormat="1">
      <c r="A14" s="58"/>
      <c r="C14" s="59" t="s">
        <v>202</v>
      </c>
      <c r="D14" s="76">
        <v>45169</v>
      </c>
      <c r="E14" s="59">
        <f>1614.4-907</f>
        <v>707.40000000000009</v>
      </c>
    </row>
    <row r="15" spans="1:11" s="59" customFormat="1">
      <c r="A15" s="58"/>
      <c r="C15" s="59" t="s">
        <v>202</v>
      </c>
      <c r="D15" s="76">
        <v>45199</v>
      </c>
      <c r="E15" s="59">
        <v>316.7</v>
      </c>
    </row>
    <row r="16" spans="1:11" s="59" customFormat="1">
      <c r="A16" s="58"/>
      <c r="C16" s="59" t="s">
        <v>202</v>
      </c>
      <c r="D16" s="76">
        <v>45230</v>
      </c>
      <c r="E16" s="59">
        <f>2716.7-22-473</f>
        <v>2221.6999999999998</v>
      </c>
    </row>
    <row r="17" spans="1:5" s="59" customFormat="1">
      <c r="A17" s="58"/>
      <c r="C17" s="59" t="s">
        <v>202</v>
      </c>
      <c r="D17" s="76">
        <v>45260</v>
      </c>
      <c r="E17" s="59">
        <f>8922.1-625.5</f>
        <v>8296.6</v>
      </c>
    </row>
    <row r="18" spans="1:5" s="59" customFormat="1">
      <c r="A18" s="58"/>
    </row>
    <row r="19" spans="1:5" s="59" customFormat="1">
      <c r="A19" s="58"/>
      <c r="C19" s="59" t="s">
        <v>692</v>
      </c>
      <c r="E19" s="86">
        <f>SUM(E11:E17)</f>
        <v>18805</v>
      </c>
    </row>
    <row r="20" spans="1:5" s="59" customFormat="1">
      <c r="A20" s="58"/>
    </row>
    <row r="21" spans="1:5" s="59" customFormat="1">
      <c r="A21" s="58"/>
      <c r="C21" s="59" t="s">
        <v>694</v>
      </c>
      <c r="E21" s="59">
        <v>0</v>
      </c>
    </row>
    <row r="22" spans="1:5" s="59" customFormat="1">
      <c r="A22" s="58"/>
      <c r="C22" s="59" t="s">
        <v>693</v>
      </c>
      <c r="E22" s="86">
        <f>SUM(E19:E21)</f>
        <v>18805</v>
      </c>
    </row>
    <row r="23" spans="1:5" s="59" customFormat="1">
      <c r="A23" s="58"/>
      <c r="E23" s="59">
        <v>3</v>
      </c>
    </row>
    <row r="24" spans="1:5" s="59" customFormat="1">
      <c r="A24" s="58"/>
      <c r="C24" s="59" t="s">
        <v>975</v>
      </c>
      <c r="E24" s="86">
        <f>E22/E23</f>
        <v>6268.333333333333</v>
      </c>
    </row>
    <row r="25" spans="1:5" s="59" customFormat="1">
      <c r="A25" s="237"/>
    </row>
    <row r="26" spans="1:5" s="59" customFormat="1">
      <c r="A26" s="237"/>
    </row>
    <row r="27" spans="1:5" s="59" customFormat="1">
      <c r="A27" s="58"/>
    </row>
    <row r="28" spans="1:5" s="59" customFormat="1">
      <c r="A28" s="58"/>
    </row>
    <row r="29" spans="1:5" s="59" customFormat="1">
      <c r="A29" s="58"/>
    </row>
    <row r="30" spans="1:5" s="59" customFormat="1">
      <c r="A30" s="58"/>
    </row>
  </sheetData>
  <mergeCells count="3">
    <mergeCell ref="A1:G1"/>
    <mergeCell ref="A3:G3"/>
    <mergeCell ref="A5:G5"/>
  </mergeCells>
  <pageMargins left="0.7" right="0.7" top="0.75" bottom="0.75" header="0.3" footer="0.3"/>
  <pageSetup scale="97"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codeName="Sheet21"/>
  <dimension ref="A1:S59"/>
  <sheetViews>
    <sheetView topLeftCell="A13" zoomScaleNormal="100" workbookViewId="0">
      <selection activeCell="H28" sqref="H28"/>
    </sheetView>
  </sheetViews>
  <sheetFormatPr defaultColWidth="9.6640625" defaultRowHeight="15.75"/>
  <cols>
    <col min="1" max="1" width="20.6640625" style="41" customWidth="1"/>
    <col min="2" max="2" width="12.6640625" style="41" customWidth="1"/>
    <col min="3" max="3" width="0.44140625" style="41" customWidth="1"/>
    <col min="4" max="4" width="12.6640625" style="41" customWidth="1"/>
    <col min="5" max="5" width="0.44140625" style="41" customWidth="1"/>
    <col min="6" max="6" width="12.6640625" style="41" customWidth="1"/>
    <col min="7" max="7" width="0.88671875" style="41" customWidth="1"/>
    <col min="8" max="8" width="12.6640625" style="41" customWidth="1"/>
    <col min="9" max="10" width="0.88671875" style="41" customWidth="1"/>
    <col min="11" max="11" width="12.6640625" style="41" customWidth="1"/>
    <col min="12" max="12" width="0.44140625" style="41" customWidth="1"/>
    <col min="13" max="13" width="12.6640625" style="41" customWidth="1"/>
    <col min="14" max="14" width="0.44140625" style="41" customWidth="1"/>
    <col min="15" max="15" width="12.6640625" style="41" customWidth="1"/>
    <col min="16" max="16" width="0.44140625" style="41" customWidth="1"/>
    <col min="17" max="17" width="12.6640625" style="41" customWidth="1"/>
    <col min="18" max="18" width="9.6640625" style="41" customWidth="1"/>
    <col min="19" max="19" width="10.88671875" style="41" bestFit="1" customWidth="1"/>
    <col min="20" max="16384" width="9.6640625" style="41"/>
  </cols>
  <sheetData>
    <row r="1" spans="1:17" ht="16.5" customHeight="1">
      <c r="A1" s="827" t="s">
        <v>601</v>
      </c>
      <c r="B1" s="827"/>
      <c r="C1" s="827"/>
      <c r="D1" s="827"/>
      <c r="E1" s="827"/>
      <c r="F1" s="827"/>
      <c r="G1" s="827"/>
      <c r="H1" s="827"/>
      <c r="I1" s="827"/>
      <c r="J1" s="827"/>
      <c r="K1" s="827"/>
      <c r="L1" s="827"/>
      <c r="M1" s="827"/>
      <c r="N1" s="827"/>
      <c r="O1" s="827"/>
      <c r="P1" s="827"/>
      <c r="Q1" s="827"/>
    </row>
    <row r="2" spans="1:17" ht="13.5" customHeight="1">
      <c r="A2" s="56"/>
      <c r="B2" s="55"/>
      <c r="C2" s="55"/>
      <c r="D2" s="55"/>
      <c r="E2" s="55"/>
      <c r="F2" s="55"/>
      <c r="G2" s="55"/>
      <c r="H2" s="55"/>
      <c r="I2" s="55"/>
      <c r="J2" s="55"/>
      <c r="K2" s="55"/>
      <c r="L2" s="55"/>
      <c r="M2" s="55"/>
      <c r="N2" s="55"/>
      <c r="O2" s="55"/>
      <c r="P2" s="55"/>
      <c r="Q2" s="55"/>
    </row>
    <row r="3" spans="1:17" ht="16.5" customHeight="1">
      <c r="A3" s="827" t="s">
        <v>152</v>
      </c>
      <c r="B3" s="827"/>
      <c r="C3" s="827"/>
      <c r="D3" s="827"/>
      <c r="E3" s="827"/>
      <c r="F3" s="827"/>
      <c r="G3" s="827"/>
      <c r="H3" s="827"/>
      <c r="I3" s="827"/>
      <c r="J3" s="827"/>
      <c r="K3" s="827"/>
      <c r="L3" s="827"/>
      <c r="M3" s="827"/>
      <c r="N3" s="827"/>
      <c r="O3" s="827"/>
      <c r="P3" s="827"/>
      <c r="Q3" s="827"/>
    </row>
    <row r="4" spans="1:17">
      <c r="A4" s="54"/>
      <c r="B4" s="54"/>
      <c r="C4" s="54"/>
      <c r="D4" s="54"/>
      <c r="E4" s="54"/>
      <c r="F4" s="54"/>
      <c r="G4" s="54"/>
      <c r="H4" s="54"/>
      <c r="I4" s="54"/>
      <c r="J4" s="54"/>
      <c r="K4" s="54"/>
      <c r="L4" s="54"/>
      <c r="M4" s="54"/>
      <c r="N4" s="54"/>
      <c r="O4" s="54"/>
      <c r="P4" s="54"/>
      <c r="Q4" s="54"/>
    </row>
    <row r="5" spans="1:17">
      <c r="A5" s="828" t="str">
        <f>+'WP-1 Rate Case Cost'!A5:G5</f>
        <v>In Support of Tariff No. 18, G-143, effective March 1, 2024</v>
      </c>
      <c r="B5" s="828"/>
      <c r="C5" s="828"/>
      <c r="D5" s="828"/>
      <c r="E5" s="828"/>
      <c r="F5" s="828"/>
      <c r="G5" s="828"/>
      <c r="H5" s="828"/>
      <c r="I5" s="828"/>
      <c r="J5" s="828"/>
      <c r="K5" s="828"/>
      <c r="L5" s="828"/>
      <c r="M5" s="828"/>
      <c r="N5" s="828"/>
      <c r="O5" s="828"/>
      <c r="P5" s="828"/>
      <c r="Q5" s="828"/>
    </row>
    <row r="7" spans="1:17" s="42" customFormat="1" ht="15" customHeight="1">
      <c r="A7" s="45"/>
      <c r="B7" s="45">
        <v>12</v>
      </c>
      <c r="C7" s="45"/>
      <c r="D7" s="45" t="s">
        <v>148</v>
      </c>
      <c r="E7" s="45"/>
      <c r="F7" s="45"/>
      <c r="G7" s="45"/>
      <c r="H7" s="45"/>
      <c r="I7" s="45"/>
      <c r="J7" s="45"/>
      <c r="K7" s="45"/>
      <c r="L7" s="45"/>
      <c r="M7" s="45"/>
      <c r="N7" s="45"/>
      <c r="O7" s="45"/>
      <c r="P7" s="45"/>
      <c r="Q7" s="45"/>
    </row>
    <row r="8" spans="1:17" s="42" customFormat="1" ht="15" customHeight="1">
      <c r="A8" s="45"/>
      <c r="B8" s="45">
        <v>0</v>
      </c>
      <c r="C8" s="45"/>
      <c r="D8" s="45" t="s">
        <v>147</v>
      </c>
      <c r="E8" s="45"/>
      <c r="F8" s="45"/>
      <c r="G8" s="45"/>
      <c r="H8" s="45"/>
      <c r="I8" s="45"/>
      <c r="J8" s="45"/>
      <c r="K8" s="45"/>
      <c r="L8" s="45"/>
      <c r="M8" s="45"/>
      <c r="N8" s="45"/>
      <c r="O8" s="45"/>
      <c r="P8" s="45"/>
      <c r="Q8" s="45"/>
    </row>
    <row r="9" spans="1:17" s="42" customFormat="1" ht="15" customHeight="1">
      <c r="A9" s="45"/>
      <c r="B9" s="53">
        <v>122</v>
      </c>
      <c r="C9" s="45"/>
      <c r="D9" s="45" t="s">
        <v>146</v>
      </c>
      <c r="E9" s="45"/>
      <c r="F9" s="45"/>
      <c r="G9" s="45"/>
      <c r="H9" s="45"/>
      <c r="I9" s="45"/>
      <c r="J9" s="45"/>
      <c r="K9" s="45"/>
      <c r="L9" s="45"/>
      <c r="M9" s="45"/>
      <c r="N9" s="45"/>
      <c r="O9" s="45"/>
      <c r="P9" s="45"/>
      <c r="Q9" s="45"/>
    </row>
    <row r="10" spans="1:17" s="42" customFormat="1" ht="15" customHeight="1">
      <c r="A10" s="45"/>
      <c r="B10" s="53">
        <v>123</v>
      </c>
      <c r="C10" s="45"/>
      <c r="D10" s="45" t="s">
        <v>144</v>
      </c>
      <c r="E10" s="45"/>
      <c r="F10" s="45"/>
      <c r="G10" s="45"/>
      <c r="H10" s="45"/>
      <c r="I10" s="45"/>
      <c r="J10" s="45"/>
      <c r="K10" s="45"/>
      <c r="L10" s="50"/>
      <c r="M10" s="52"/>
      <c r="N10" s="50"/>
      <c r="O10" s="52"/>
      <c r="P10" s="50"/>
      <c r="Q10" s="45"/>
    </row>
    <row r="11" spans="1:17" s="42" customFormat="1" ht="15" customHeight="1">
      <c r="A11" s="45"/>
      <c r="B11" s="53"/>
      <c r="C11" s="45"/>
      <c r="D11" s="45"/>
      <c r="E11" s="45"/>
      <c r="F11" s="45"/>
      <c r="G11" s="45"/>
      <c r="H11" s="45"/>
      <c r="I11" s="45"/>
      <c r="J11" s="45"/>
      <c r="K11" s="45"/>
      <c r="L11" s="50"/>
      <c r="M11" s="52"/>
      <c r="N11" s="50"/>
      <c r="O11" s="52"/>
      <c r="P11" s="50"/>
      <c r="Q11" s="45"/>
    </row>
    <row r="12" spans="1:17" s="42" customFormat="1" ht="15" customHeight="1">
      <c r="A12" s="45"/>
      <c r="B12" s="53"/>
      <c r="C12" s="45"/>
      <c r="D12" s="45"/>
      <c r="E12" s="45"/>
      <c r="F12" s="45"/>
      <c r="G12" s="45"/>
      <c r="H12" s="45"/>
      <c r="I12" s="45"/>
      <c r="J12" s="45"/>
      <c r="K12" s="45"/>
      <c r="L12" s="50"/>
      <c r="M12" s="52" t="s">
        <v>143</v>
      </c>
      <c r="N12" s="50"/>
      <c r="O12" s="52" t="s">
        <v>142</v>
      </c>
      <c r="P12" s="50"/>
      <c r="Q12" s="45"/>
    </row>
    <row r="13" spans="1:17" s="42" customFormat="1" ht="15" customHeight="1">
      <c r="A13" s="50"/>
      <c r="B13" s="45"/>
      <c r="C13" s="45"/>
      <c r="D13" s="45"/>
      <c r="E13" s="45"/>
      <c r="F13" s="45"/>
      <c r="G13" s="45"/>
      <c r="H13" s="45"/>
      <c r="I13" s="45"/>
      <c r="J13" s="50"/>
      <c r="K13" s="52" t="s">
        <v>185</v>
      </c>
      <c r="L13" s="50"/>
      <c r="M13" s="52" t="s">
        <v>136</v>
      </c>
      <c r="N13" s="50"/>
      <c r="O13" s="52" t="s">
        <v>136</v>
      </c>
      <c r="P13" s="50"/>
      <c r="Q13" s="45"/>
    </row>
    <row r="14" spans="1:17" s="42" customFormat="1" ht="15" customHeight="1">
      <c r="A14" s="50"/>
      <c r="B14" s="50"/>
      <c r="C14" s="50"/>
      <c r="D14" s="50"/>
      <c r="E14" s="50"/>
      <c r="F14" s="52" t="s">
        <v>131</v>
      </c>
      <c r="G14" s="50"/>
      <c r="H14" s="52" t="s">
        <v>129</v>
      </c>
      <c r="I14" s="50"/>
      <c r="J14" s="50"/>
      <c r="K14" s="52" t="s">
        <v>129</v>
      </c>
      <c r="L14" s="50"/>
      <c r="M14" s="52" t="s">
        <v>42</v>
      </c>
      <c r="N14" s="50"/>
      <c r="O14" s="52" t="s">
        <v>42</v>
      </c>
      <c r="P14" s="50"/>
      <c r="Q14" s="52" t="s">
        <v>108</v>
      </c>
    </row>
    <row r="15" spans="1:17" s="42" customFormat="1" ht="15" customHeight="1">
      <c r="A15" s="51" t="s">
        <v>127</v>
      </c>
      <c r="B15" s="46" t="s">
        <v>124</v>
      </c>
      <c r="C15" s="50"/>
      <c r="D15" s="46" t="s">
        <v>122</v>
      </c>
      <c r="E15" s="50"/>
      <c r="F15" s="46" t="s">
        <v>42</v>
      </c>
      <c r="G15" s="50"/>
      <c r="H15" s="46" t="s">
        <v>42</v>
      </c>
      <c r="I15" s="50"/>
      <c r="J15" s="50"/>
      <c r="K15" s="46" t="s">
        <v>42</v>
      </c>
      <c r="L15" s="50"/>
      <c r="M15" s="49">
        <v>44562</v>
      </c>
      <c r="N15" s="47"/>
      <c r="O15" s="48">
        <v>44926</v>
      </c>
      <c r="P15" s="47"/>
      <c r="Q15" s="46" t="s">
        <v>114</v>
      </c>
    </row>
    <row r="16" spans="1:17" s="42" customFormat="1" ht="15" customHeight="1">
      <c r="A16" s="51"/>
      <c r="B16" s="46"/>
      <c r="C16" s="50"/>
      <c r="D16" s="46"/>
      <c r="E16" s="50"/>
      <c r="F16" s="46"/>
      <c r="G16" s="50"/>
      <c r="H16" s="46"/>
      <c r="I16" s="50"/>
      <c r="J16" s="50"/>
      <c r="K16" s="46"/>
      <c r="L16" s="50"/>
      <c r="M16" s="49"/>
      <c r="N16" s="47"/>
      <c r="O16" s="48"/>
      <c r="P16" s="47"/>
      <c r="Q16" s="46"/>
    </row>
    <row r="17" spans="1:19" s="42" customFormat="1" ht="15" customHeight="1">
      <c r="A17" s="45" t="s">
        <v>382</v>
      </c>
      <c r="B17" s="224">
        <f>+'WP-2, pg 2 -  Depr'!L32</f>
        <v>111420.52999999998</v>
      </c>
      <c r="C17" s="44"/>
      <c r="D17" s="224">
        <f>+'WP-2, pg 2 -  Depr'!N32</f>
        <v>104465.68999999999</v>
      </c>
      <c r="E17" s="44"/>
      <c r="F17" s="224">
        <f>+'WP-2, pg 2 -  Depr'!O32</f>
        <v>490.27082407407414</v>
      </c>
      <c r="G17" s="44"/>
      <c r="H17" s="224">
        <f>+'WP-2, pg 2 -  Depr'!R32</f>
        <v>2252.7793333333334</v>
      </c>
      <c r="I17" s="44"/>
      <c r="J17" s="44"/>
      <c r="K17" s="224">
        <f>+'WP-2, pg 2 -  Depr'!T32</f>
        <v>657.84753678193874</v>
      </c>
      <c r="L17" s="44"/>
      <c r="M17" s="224">
        <f>+'WP-2, pg 2 -  Depr'!U32</f>
        <v>100611.30538888888</v>
      </c>
      <c r="N17" s="44"/>
      <c r="O17" s="224">
        <f>+'WP-2, pg 2 -  Depr'!Y32</f>
        <v>70620.009712252271</v>
      </c>
      <c r="P17" s="44"/>
      <c r="Q17" s="224">
        <f>+'WP-2, pg 2 -  Depr'!Z32</f>
        <v>6582.1704003469295</v>
      </c>
      <c r="S17" s="142"/>
    </row>
    <row r="18" spans="1:19" s="42" customFormat="1" ht="15" customHeight="1">
      <c r="A18" s="45" t="s">
        <v>383</v>
      </c>
      <c r="B18" s="44">
        <f>+'WP-2, pg 2 -  Depr'!L45</f>
        <v>80962.53</v>
      </c>
      <c r="C18" s="44"/>
      <c r="D18" s="44">
        <f>+'WP-2, pg 2 -  Depr'!N45</f>
        <v>80962.53</v>
      </c>
      <c r="E18" s="44"/>
      <c r="F18" s="44">
        <f>+'WP-2, pg 2 -  Depr'!O45</f>
        <v>322.81841686909581</v>
      </c>
      <c r="G18" s="44"/>
      <c r="H18" s="44">
        <f>+'WP-2, pg 2 -  Depr'!R45</f>
        <v>3071.5277743589741</v>
      </c>
      <c r="I18" s="44"/>
      <c r="J18" s="44"/>
      <c r="K18" s="44">
        <f>+'WP-2, pg 2 -  Depr'!T45</f>
        <v>2664.2119829321432</v>
      </c>
      <c r="L18" s="44"/>
      <c r="M18" s="44">
        <f>+'WP-2, pg 2 -  Depr'!U45</f>
        <v>45982.048803418802</v>
      </c>
      <c r="N18" s="44"/>
      <c r="O18" s="44">
        <f>+'WP-2, pg 2 -  Depr'!Y45</f>
        <v>42548.573910086088</v>
      </c>
      <c r="P18" s="44"/>
      <c r="Q18" s="44">
        <f>+'WP-2, pg 2 -  Depr'!Z45</f>
        <v>27677.501984513248</v>
      </c>
      <c r="S18" s="142"/>
    </row>
    <row r="19" spans="1:19" s="42" customFormat="1" ht="15" customHeight="1">
      <c r="A19" s="45" t="s">
        <v>381</v>
      </c>
      <c r="B19" s="44">
        <f>+'WP-2, pg 2 -  Depr'!L131</f>
        <v>2048380.0300000003</v>
      </c>
      <c r="C19" s="44"/>
      <c r="D19" s="44">
        <f>+'WP-2, pg 2 -  Depr'!N131</f>
        <v>2004430.0300000003</v>
      </c>
      <c r="E19" s="44"/>
      <c r="F19" s="44">
        <f>+'WP-2, pg 2 -  Depr'!O131</f>
        <v>25788.649290674603</v>
      </c>
      <c r="G19" s="44"/>
      <c r="H19" s="44">
        <f>+'WP-2, pg 2 -  Depr'!R131</f>
        <v>145097.45226190472</v>
      </c>
      <c r="I19" s="44"/>
      <c r="J19" s="44"/>
      <c r="K19" s="44">
        <f>+'WP-2, pg 2 -  Depr'!T131</f>
        <v>118709.94516706472</v>
      </c>
      <c r="L19" s="44"/>
      <c r="M19" s="44">
        <f>+'WP-2, pg 2 -  Depr'!U131</f>
        <v>1359173.1752380957</v>
      </c>
      <c r="N19" s="44"/>
      <c r="O19" s="44">
        <f>+'WP-2, pg 2 -  Depr'!Y131</f>
        <v>1276981.0078810093</v>
      </c>
      <c r="P19" s="44"/>
      <c r="Q19" s="44">
        <f>+'WP-2, pg 2 -  Depr'!Z131</f>
        <v>451046.75627838535</v>
      </c>
      <c r="S19" s="142"/>
    </row>
    <row r="20" spans="1:19" s="42" customFormat="1" ht="15" customHeight="1">
      <c r="A20" s="45" t="s">
        <v>350</v>
      </c>
      <c r="B20" s="44">
        <f>+'WP-2, pg 2 -  Depr'!L153</f>
        <v>2003524.4300000002</v>
      </c>
      <c r="C20" s="44"/>
      <c r="D20" s="44">
        <f>+'WP-2, pg 2 -  Depr'!N153</f>
        <v>1926524.4300000481</v>
      </c>
      <c r="E20" s="44"/>
      <c r="F20" s="44">
        <f>+'WP-2, pg 2 -  Depr'!O153</f>
        <v>23836.281936508512</v>
      </c>
      <c r="G20" s="44"/>
      <c r="H20" s="44">
        <f>+'WP-2, pg 2 -  Depr'!R153</f>
        <v>106059.97785714803</v>
      </c>
      <c r="I20" s="44"/>
      <c r="J20" s="44"/>
      <c r="K20" s="44">
        <f>+'WP-2, pg 2 -  Depr'!T153</f>
        <v>92512.036600677267</v>
      </c>
      <c r="L20" s="44"/>
      <c r="M20" s="44">
        <f>+'WP-2, pg 2 -  Depr'!U153</f>
        <v>1520321.3850000429</v>
      </c>
      <c r="N20" s="44"/>
      <c r="O20" s="44">
        <f>+'WP-2, pg 2 -  Depr'!Y153</f>
        <v>1399683.68297358</v>
      </c>
      <c r="P20" s="44"/>
      <c r="Q20" s="44">
        <f>+'WP-2, pg 2 -  Depr'!Z153</f>
        <v>328967.38181673881</v>
      </c>
      <c r="S20" s="142"/>
    </row>
    <row r="21" spans="1:19" s="42" customFormat="1" ht="15" customHeight="1">
      <c r="A21" s="45" t="s">
        <v>763</v>
      </c>
      <c r="B21" s="44">
        <f>+'WP-2, pg 2 -  Depr'!L166</f>
        <v>104114.69000000002</v>
      </c>
      <c r="C21" s="44"/>
      <c r="D21" s="44">
        <f>+'WP-2, pg 2 -  Depr'!N166</f>
        <v>104114.69000000002</v>
      </c>
      <c r="E21" s="44"/>
      <c r="F21" s="44">
        <f>+'WP-2, pg 2 -  Depr'!O166</f>
        <v>1560.4880476190474</v>
      </c>
      <c r="G21" s="44"/>
      <c r="H21" s="44">
        <f>+'WP-2, pg 2 -  Depr'!R166</f>
        <v>2907.3302619047627</v>
      </c>
      <c r="I21" s="44"/>
      <c r="J21" s="44"/>
      <c r="K21" s="44">
        <f>+'WP-2, pg 2 -  Depr'!T166</f>
        <v>2521.7887289736282</v>
      </c>
      <c r="L21" s="44"/>
      <c r="M21" s="44">
        <f>+'WP-2, pg 2 -  Depr'!U166</f>
        <v>88957.412499999991</v>
      </c>
      <c r="N21" s="44"/>
      <c r="O21" s="44">
        <f>+'WP-2, pg 2 -  Depr'!Y166</f>
        <v>79682.544471317407</v>
      </c>
      <c r="P21" s="44"/>
      <c r="Q21" s="44">
        <f>+'WP-2, pg 2 -  Depr'!Z166</f>
        <v>10625.479767582783</v>
      </c>
      <c r="S21" s="142"/>
    </row>
    <row r="22" spans="1:19" s="42" customFormat="1" ht="15" customHeight="1">
      <c r="A22" s="45" t="s">
        <v>384</v>
      </c>
      <c r="B22" s="44">
        <f>+'WP-2, pg 2 -  Depr'!L251</f>
        <v>1057019.69</v>
      </c>
      <c r="C22" s="44"/>
      <c r="D22" s="44">
        <f>+'WP-2, pg 2 -  Depr'!N251</f>
        <v>1057019.69</v>
      </c>
      <c r="E22" s="44"/>
      <c r="F22" s="44">
        <f>+'WP-2, pg 2 -  Depr'!O251</f>
        <v>10793.502579365078</v>
      </c>
      <c r="G22" s="44"/>
      <c r="H22" s="44">
        <f>+'WP-2, pg 2 -  Depr'!R251</f>
        <v>100867.5850515873</v>
      </c>
      <c r="I22" s="44"/>
      <c r="J22" s="44"/>
      <c r="K22" s="44">
        <f>+'WP-2, pg 2 -  Depr'!T251</f>
        <v>87491.518399162218</v>
      </c>
      <c r="L22" s="44"/>
      <c r="M22" s="44">
        <f>+'WP-2, pg 2 -  Depr'!U251</f>
        <v>390340.61448412715</v>
      </c>
      <c r="N22" s="44"/>
      <c r="O22" s="44">
        <f>+'WP-2, pg 2 -  Depr'!Y251</f>
        <v>426069.00131016847</v>
      </c>
      <c r="P22" s="44"/>
      <c r="Q22" s="44">
        <f>+'WP-2, pg 2 -  Depr'!Z251</f>
        <v>490779.13784785743</v>
      </c>
      <c r="S22" s="142"/>
    </row>
    <row r="23" spans="1:19" s="42" customFormat="1" ht="15" customHeight="1">
      <c r="A23" s="45" t="s">
        <v>385</v>
      </c>
      <c r="B23" s="44">
        <f>+'WP-2, pg 2 -  Depr'!L303</f>
        <v>1063841.4300000002</v>
      </c>
      <c r="C23" s="44"/>
      <c r="D23" s="44">
        <f>+'WP-2, pg 2 -  Depr'!N303</f>
        <v>1063841.4300000002</v>
      </c>
      <c r="E23" s="44"/>
      <c r="F23" s="44">
        <f>+'WP-2, pg 2 -  Depr'!O303</f>
        <v>9847.9950714285751</v>
      </c>
      <c r="G23" s="44"/>
      <c r="H23" s="44">
        <f>+'WP-2, pg 2 -  Depr'!R303</f>
        <v>65551.851142857166</v>
      </c>
      <c r="I23" s="44"/>
      <c r="J23" s="44"/>
      <c r="K23" s="44">
        <f>+'WP-2, pg 2 -  Depr'!T303</f>
        <v>56859.009635565562</v>
      </c>
      <c r="L23" s="44"/>
      <c r="M23" s="44">
        <f>+'WP-2, pg 2 -  Depr'!U303</f>
        <v>719049.18265476206</v>
      </c>
      <c r="N23" s="44"/>
      <c r="O23" s="44">
        <f>+'WP-2, pg 2 -  Depr'!Y303</f>
        <v>680554.96470345871</v>
      </c>
      <c r="P23" s="44"/>
      <c r="Q23" s="44">
        <f>+'WP-2, pg 2 -  Depr'!Z303</f>
        <v>242210.28241763683</v>
      </c>
      <c r="S23" s="142"/>
    </row>
    <row r="24" spans="1:19" s="42" customFormat="1" ht="15" customHeight="1">
      <c r="A24" s="45"/>
      <c r="B24" s="44"/>
      <c r="C24" s="44"/>
      <c r="D24" s="44"/>
      <c r="E24" s="44"/>
      <c r="F24" s="44"/>
      <c r="G24" s="44"/>
      <c r="H24" s="44"/>
      <c r="I24" s="44"/>
      <c r="J24" s="44"/>
      <c r="K24" s="44"/>
      <c r="L24" s="44"/>
      <c r="M24" s="44"/>
      <c r="N24" s="44"/>
      <c r="O24" s="44"/>
      <c r="P24" s="44"/>
      <c r="Q24" s="44"/>
      <c r="S24" s="142"/>
    </row>
    <row r="25" spans="1:19" s="42" customFormat="1" ht="15" customHeight="1" thickBot="1">
      <c r="A25" s="45"/>
      <c r="B25" s="225">
        <f>SUM(B17:B23)</f>
        <v>6469263.3300000001</v>
      </c>
      <c r="C25" s="44"/>
      <c r="D25" s="225">
        <f>SUM(D17:D23)</f>
        <v>6341358.4900000487</v>
      </c>
      <c r="E25" s="44"/>
      <c r="F25" s="225">
        <f>SUM(F17:F23)</f>
        <v>72640.00616653898</v>
      </c>
      <c r="G25" s="44"/>
      <c r="H25" s="225">
        <f>SUM(H17:H23)</f>
        <v>425808.50368309428</v>
      </c>
      <c r="I25" s="44"/>
      <c r="J25" s="44"/>
      <c r="K25" s="225">
        <f>SUM(K17:K23)</f>
        <v>361416.35805115744</v>
      </c>
      <c r="L25" s="44"/>
      <c r="M25" s="225">
        <f>SUM(M17:M23)</f>
        <v>4224435.1240693349</v>
      </c>
      <c r="N25" s="44"/>
      <c r="O25" s="225">
        <f>SUM(O17:O23)</f>
        <v>3976139.7849618723</v>
      </c>
      <c r="P25" s="44"/>
      <c r="Q25" s="225">
        <f>SUM(Q17:Q23)</f>
        <v>1557888.7105130614</v>
      </c>
      <c r="S25" s="142"/>
    </row>
    <row r="26" spans="1:19" s="42" customFormat="1" ht="15" customHeight="1" thickTop="1">
      <c r="A26" s="45"/>
      <c r="B26" s="44"/>
      <c r="C26" s="44"/>
      <c r="D26" s="44"/>
      <c r="E26" s="44"/>
      <c r="F26" s="44"/>
      <c r="G26" s="44"/>
      <c r="H26" s="44"/>
      <c r="I26" s="44"/>
      <c r="J26" s="44"/>
      <c r="K26" s="44"/>
      <c r="L26" s="44"/>
      <c r="M26" s="44"/>
      <c r="N26" s="44"/>
      <c r="O26" s="44"/>
      <c r="P26" s="44"/>
      <c r="Q26" s="44"/>
    </row>
    <row r="27" spans="1:19" s="42" customFormat="1" ht="15" customHeight="1">
      <c r="G27" s="606" t="s">
        <v>1194</v>
      </c>
      <c r="H27" s="43">
        <f>+Operations!C118</f>
        <v>414209.07</v>
      </c>
      <c r="I27" s="43"/>
      <c r="J27" s="43"/>
      <c r="K27" s="43"/>
      <c r="L27" s="43"/>
      <c r="M27" s="43"/>
      <c r="N27" s="43"/>
      <c r="O27" s="43"/>
      <c r="P27" s="43"/>
      <c r="Q27" s="43"/>
    </row>
    <row r="28" spans="1:19" s="42" customFormat="1" ht="15" customHeight="1">
      <c r="G28" s="606" t="s">
        <v>1290</v>
      </c>
      <c r="H28" s="43">
        <f>+H25-H27</f>
        <v>11599.433683094278</v>
      </c>
    </row>
    <row r="29" spans="1:19" s="42" customFormat="1" ht="15" customHeight="1"/>
    <row r="30" spans="1:19" s="42" customFormat="1" ht="15" customHeight="1"/>
    <row r="31" spans="1:19" s="42" customFormat="1" ht="15" customHeight="1">
      <c r="F31" s="42" t="s">
        <v>1211</v>
      </c>
      <c r="K31" s="142">
        <f>+H25-K25</f>
        <v>64392.145631936844</v>
      </c>
    </row>
    <row r="32" spans="1:19" s="42" customFormat="1" ht="15" customHeight="1">
      <c r="A32" s="661"/>
      <c r="B32" s="661"/>
      <c r="C32" s="662"/>
      <c r="D32" s="662"/>
      <c r="E32" s="662"/>
      <c r="F32" s="662"/>
      <c r="G32" s="662"/>
      <c r="H32" s="662"/>
      <c r="I32" s="662"/>
      <c r="J32" s="662"/>
      <c r="K32" s="662"/>
      <c r="L32" s="662"/>
      <c r="M32" s="662"/>
      <c r="N32" s="662"/>
      <c r="O32" s="662"/>
      <c r="P32" s="662"/>
      <c r="Q32" s="662"/>
    </row>
    <row r="33" s="42" customFormat="1" ht="15" customHeight="1"/>
    <row r="34" s="42" customFormat="1" ht="15" customHeight="1"/>
    <row r="35" s="42" customFormat="1" ht="15" customHeight="1"/>
    <row r="36" s="42" customFormat="1" ht="15" customHeight="1"/>
    <row r="37" s="42" customFormat="1" ht="15" customHeight="1"/>
    <row r="38" s="42" customFormat="1" ht="15" customHeight="1"/>
    <row r="39" s="42" customFormat="1" ht="15" customHeight="1"/>
    <row r="40" s="42" customFormat="1" ht="15" customHeight="1"/>
    <row r="41" s="42" customFormat="1" ht="15" customHeight="1"/>
    <row r="42" s="42" customFormat="1" ht="15" customHeight="1"/>
    <row r="43" s="42" customFormat="1" ht="15" customHeight="1"/>
    <row r="44" s="42" customFormat="1" ht="15" customHeight="1"/>
    <row r="45" s="42" customFormat="1" ht="15" customHeight="1"/>
    <row r="46" s="42" customFormat="1" ht="15" customHeight="1"/>
    <row r="47" s="42" customFormat="1" ht="15" customHeight="1"/>
    <row r="48" s="42" customFormat="1" ht="15" customHeight="1"/>
    <row r="49" s="42" customFormat="1" ht="15" customHeight="1"/>
    <row r="50" s="42" customFormat="1" ht="15" customHeight="1"/>
    <row r="51" s="42" customFormat="1" ht="15" customHeight="1"/>
    <row r="52" s="42" customFormat="1" ht="15" customHeight="1"/>
    <row r="53" s="42" customFormat="1" ht="15" customHeight="1"/>
    <row r="54" s="42" customFormat="1" ht="15" customHeight="1"/>
    <row r="55" s="42" customFormat="1" ht="15" customHeight="1"/>
    <row r="56" s="42" customFormat="1" ht="15" customHeight="1"/>
    <row r="57" s="42" customFormat="1" ht="15" customHeight="1"/>
    <row r="58" s="42" customFormat="1" ht="15" customHeight="1"/>
    <row r="59" s="42" customFormat="1" ht="15" customHeight="1"/>
  </sheetData>
  <mergeCells count="3">
    <mergeCell ref="A1:Q1"/>
    <mergeCell ref="A3:Q3"/>
    <mergeCell ref="A5:Q5"/>
  </mergeCells>
  <pageMargins left="0.25" right="0.25" top="0.75" bottom="0.5" header="0" footer="0.25"/>
  <pageSetup scale="80" orientation="landscape" r:id="rId1"/>
  <headerFooter scaleWithDoc="0"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codeName="Sheet22">
    <pageSetUpPr fitToPage="1"/>
  </sheetPr>
  <dimension ref="A1:BE964"/>
  <sheetViews>
    <sheetView zoomScale="70" zoomScaleNormal="70" workbookViewId="0">
      <pane ySplit="14" topLeftCell="A36" activePane="bottomLeft" state="frozen"/>
      <selection activeCell="D1" sqref="D1"/>
      <selection pane="bottomLeft" activeCell="B51" sqref="B51"/>
    </sheetView>
  </sheetViews>
  <sheetFormatPr defaultColWidth="8.88671875" defaultRowHeight="15.75"/>
  <cols>
    <col min="1" max="1" width="5.88671875" style="41" customWidth="1"/>
    <col min="2" max="2" width="75.6640625" style="41" customWidth="1"/>
    <col min="3" max="3" width="12.109375" style="41" customWidth="1"/>
    <col min="4" max="4" width="10.6640625" style="41" customWidth="1"/>
    <col min="5" max="5" width="5.6640625" style="41" customWidth="1"/>
    <col min="6" max="6" width="10.6640625" style="41" customWidth="1"/>
    <col min="7" max="10" width="5.6640625" style="41" customWidth="1"/>
    <col min="11" max="11" width="2.6640625" style="41" customWidth="1"/>
    <col min="12" max="12" width="15.6640625" style="41" customWidth="1"/>
    <col min="13" max="13" width="5.6640625" style="41" customWidth="1"/>
    <col min="14" max="18" width="15.6640625" style="41" customWidth="1"/>
    <col min="19" max="19" width="10.6640625" style="41" customWidth="1"/>
    <col min="20" max="22" width="15.6640625" style="41" customWidth="1"/>
    <col min="23" max="23" width="10.6640625" style="41" customWidth="1"/>
    <col min="24" max="26" width="15.6640625" style="41" customWidth="1"/>
    <col min="27" max="31" width="10.6640625" style="41" customWidth="1"/>
    <col min="32" max="32" width="15.6640625" style="41" customWidth="1"/>
    <col min="33" max="16384" width="8.88671875" style="41"/>
  </cols>
  <sheetData>
    <row r="1" spans="2:57">
      <c r="B1" s="829" t="str">
        <f>+'WP-2 - Summary Depr'!A1</f>
        <v>BAINBRIDGE DISPOSAL, INC.</v>
      </c>
      <c r="C1" s="829"/>
      <c r="D1" s="829"/>
      <c r="E1" s="829"/>
      <c r="F1" s="829"/>
      <c r="G1" s="829"/>
      <c r="H1" s="829"/>
      <c r="I1" s="829"/>
      <c r="J1" s="829"/>
      <c r="K1" s="829"/>
      <c r="L1" s="829"/>
      <c r="M1" s="829"/>
      <c r="N1" s="829"/>
      <c r="O1" s="829"/>
      <c r="P1" s="829"/>
      <c r="Q1" s="829"/>
      <c r="R1" s="829"/>
      <c r="S1" s="829"/>
      <c r="T1" s="829"/>
      <c r="U1" s="829"/>
      <c r="V1" s="829"/>
      <c r="W1" s="829"/>
      <c r="X1" s="829"/>
      <c r="Y1" s="829"/>
      <c r="Z1" s="829"/>
    </row>
    <row r="2" spans="2:57" ht="9.75" customHeight="1">
      <c r="B2" s="56"/>
      <c r="C2" s="56"/>
    </row>
    <row r="3" spans="2:57">
      <c r="B3" s="829" t="s">
        <v>160</v>
      </c>
      <c r="C3" s="829"/>
      <c r="D3" s="829"/>
      <c r="E3" s="829"/>
      <c r="F3" s="829"/>
      <c r="G3" s="829"/>
      <c r="H3" s="829"/>
      <c r="I3" s="829"/>
      <c r="J3" s="829"/>
      <c r="K3" s="829"/>
      <c r="L3" s="829"/>
      <c r="M3" s="829"/>
      <c r="N3" s="829"/>
      <c r="O3" s="829"/>
      <c r="P3" s="829"/>
      <c r="Q3" s="829"/>
      <c r="R3" s="829"/>
      <c r="S3" s="829"/>
      <c r="T3" s="829"/>
      <c r="U3" s="829"/>
      <c r="V3" s="829"/>
      <c r="W3" s="829"/>
      <c r="X3" s="829"/>
      <c r="Y3" s="829"/>
      <c r="Z3" s="829"/>
    </row>
    <row r="4" spans="2:57">
      <c r="C4" s="54"/>
      <c r="D4" s="54"/>
      <c r="E4" s="54"/>
      <c r="F4" s="54"/>
      <c r="G4" s="54"/>
      <c r="H4" s="54"/>
      <c r="I4" s="54"/>
      <c r="J4" s="54"/>
      <c r="K4" s="54"/>
      <c r="L4" s="54"/>
      <c r="M4" s="54"/>
      <c r="N4" s="54"/>
      <c r="O4" s="54"/>
      <c r="P4" s="54"/>
      <c r="Q4" s="54"/>
      <c r="R4" s="54"/>
      <c r="S4" s="54"/>
      <c r="T4" s="54"/>
      <c r="U4" s="54"/>
      <c r="V4" s="54"/>
      <c r="W4" s="54"/>
      <c r="X4" s="54"/>
      <c r="Y4" s="54"/>
      <c r="Z4" s="54"/>
    </row>
    <row r="5" spans="2:57">
      <c r="B5" s="829" t="str">
        <f>+'WP-2 - Summary Depr'!A5</f>
        <v>In Support of Tariff No. 18, G-143, effective March 1, 2024</v>
      </c>
      <c r="C5" s="829"/>
      <c r="D5" s="829"/>
      <c r="E5" s="829"/>
      <c r="F5" s="829"/>
      <c r="G5" s="829"/>
      <c r="H5" s="829"/>
      <c r="I5" s="829"/>
      <c r="J5" s="829"/>
      <c r="K5" s="829"/>
      <c r="L5" s="829"/>
      <c r="M5" s="829"/>
      <c r="N5" s="829"/>
      <c r="O5" s="829"/>
      <c r="P5" s="829"/>
      <c r="Q5" s="829"/>
      <c r="R5" s="829"/>
      <c r="S5" s="829"/>
      <c r="T5" s="829"/>
      <c r="U5" s="829"/>
      <c r="V5" s="829"/>
      <c r="W5" s="829"/>
      <c r="X5" s="829"/>
      <c r="Y5" s="829"/>
      <c r="Z5" s="829"/>
    </row>
    <row r="6" spans="2:57">
      <c r="B6" s="751"/>
      <c r="C6" s="751"/>
    </row>
    <row r="7" spans="2:57">
      <c r="B7" s="41">
        <v>12</v>
      </c>
      <c r="C7" s="41" t="s">
        <v>148</v>
      </c>
      <c r="T7" s="752"/>
      <c r="Z7" s="753">
        <f>+(L31-P31-U31)*S31</f>
        <v>260.29111365305249</v>
      </c>
      <c r="AB7" s="41" t="s">
        <v>119</v>
      </c>
      <c r="AC7" s="41" t="s">
        <v>151</v>
      </c>
    </row>
    <row r="8" spans="2:57">
      <c r="B8" s="41">
        <v>0</v>
      </c>
      <c r="C8" s="41" t="s">
        <v>147</v>
      </c>
      <c r="L8" s="54"/>
      <c r="N8" s="754"/>
      <c r="U8" s="753"/>
      <c r="V8" s="753"/>
      <c r="W8" s="753"/>
      <c r="AB8" s="41" t="s">
        <v>150</v>
      </c>
      <c r="AC8" s="41" t="s">
        <v>149</v>
      </c>
    </row>
    <row r="9" spans="2:57">
      <c r="B9" s="41">
        <v>122</v>
      </c>
      <c r="C9" s="41" t="s">
        <v>146</v>
      </c>
      <c r="L9" s="54"/>
      <c r="N9" s="754">
        <f>+L104-N104</f>
        <v>12369</v>
      </c>
      <c r="O9" s="753"/>
      <c r="Z9" s="755">
        <f>+(L25-P25-U25)*S17</f>
        <v>87.990916608804014</v>
      </c>
      <c r="AB9" s="41" t="s">
        <v>117</v>
      </c>
      <c r="AC9" s="41" t="s">
        <v>145</v>
      </c>
    </row>
    <row r="10" spans="2:57">
      <c r="B10" s="41">
        <v>123</v>
      </c>
      <c r="C10" s="41" t="s">
        <v>144</v>
      </c>
      <c r="N10" s="753"/>
      <c r="O10" s="753"/>
      <c r="Z10" s="41">
        <f>+Z9*2</f>
        <v>175.98183321760803</v>
      </c>
      <c r="AB10" s="41" t="s">
        <v>116</v>
      </c>
      <c r="AC10" s="41" t="s">
        <v>159</v>
      </c>
    </row>
    <row r="11" spans="2:57">
      <c r="T11" s="756" t="s">
        <v>0</v>
      </c>
      <c r="U11" s="756" t="s">
        <v>143</v>
      </c>
      <c r="V11" s="756" t="s">
        <v>185</v>
      </c>
      <c r="X11" s="756" t="s">
        <v>185</v>
      </c>
      <c r="Y11" s="756" t="s">
        <v>185</v>
      </c>
      <c r="AB11" s="41" t="s">
        <v>115</v>
      </c>
      <c r="AC11" s="41" t="s">
        <v>141</v>
      </c>
    </row>
    <row r="12" spans="2:57">
      <c r="B12" s="757" t="s">
        <v>886</v>
      </c>
      <c r="C12" s="756" t="s">
        <v>140</v>
      </c>
      <c r="D12" s="756" t="s">
        <v>140</v>
      </c>
      <c r="F12" s="756" t="s">
        <v>139</v>
      </c>
      <c r="I12" s="756" t="s">
        <v>130</v>
      </c>
      <c r="J12" s="756" t="s">
        <v>132</v>
      </c>
      <c r="Q12" s="756" t="s">
        <v>123</v>
      </c>
      <c r="R12" s="756" t="s">
        <v>0</v>
      </c>
      <c r="T12" s="756" t="s">
        <v>185</v>
      </c>
      <c r="U12" s="756" t="s">
        <v>136</v>
      </c>
      <c r="V12" s="756" t="s">
        <v>136</v>
      </c>
      <c r="W12" s="756" t="s">
        <v>138</v>
      </c>
      <c r="X12" s="756" t="s">
        <v>137</v>
      </c>
      <c r="Y12" s="756" t="s">
        <v>137</v>
      </c>
    </row>
    <row r="13" spans="2:57">
      <c r="B13" s="756"/>
      <c r="C13" s="756" t="s">
        <v>41</v>
      </c>
      <c r="D13" s="756" t="s">
        <v>41</v>
      </c>
      <c r="F13" s="756" t="s">
        <v>135</v>
      </c>
      <c r="G13" s="756"/>
      <c r="H13" s="756"/>
      <c r="I13" s="756" t="s">
        <v>133</v>
      </c>
      <c r="J13" s="756" t="s">
        <v>123</v>
      </c>
      <c r="L13" s="756" t="s">
        <v>132</v>
      </c>
      <c r="M13" s="756" t="s">
        <v>132</v>
      </c>
      <c r="N13" s="756" t="s">
        <v>158</v>
      </c>
      <c r="O13" s="756" t="s">
        <v>157</v>
      </c>
      <c r="P13" s="756" t="s">
        <v>128</v>
      </c>
      <c r="Q13" s="756" t="s">
        <v>130</v>
      </c>
      <c r="R13" s="756" t="s">
        <v>156</v>
      </c>
      <c r="S13" s="756" t="s">
        <v>38</v>
      </c>
      <c r="T13" s="756" t="s">
        <v>128</v>
      </c>
      <c r="U13" s="756" t="s">
        <v>42</v>
      </c>
      <c r="V13" s="756" t="s">
        <v>42</v>
      </c>
      <c r="W13" s="756" t="s">
        <v>121</v>
      </c>
      <c r="X13" s="756" t="s">
        <v>120</v>
      </c>
      <c r="Y13" s="756" t="s">
        <v>120</v>
      </c>
      <c r="Z13" s="756" t="s">
        <v>108</v>
      </c>
    </row>
    <row r="14" spans="2:57" ht="16.5" customHeight="1">
      <c r="B14" s="758" t="s">
        <v>127</v>
      </c>
      <c r="C14" s="759" t="s">
        <v>126</v>
      </c>
      <c r="D14" s="759" t="s">
        <v>126</v>
      </c>
      <c r="E14" s="759" t="s">
        <v>125</v>
      </c>
      <c r="F14" s="759" t="s">
        <v>38</v>
      </c>
      <c r="G14" s="756" t="s">
        <v>134</v>
      </c>
      <c r="H14" s="756" t="s">
        <v>36</v>
      </c>
      <c r="I14" s="759" t="s">
        <v>120</v>
      </c>
      <c r="J14" s="759" t="s">
        <v>155</v>
      </c>
      <c r="K14" s="759" t="s">
        <v>125</v>
      </c>
      <c r="L14" s="759" t="s">
        <v>29</v>
      </c>
      <c r="M14" s="759" t="s">
        <v>123</v>
      </c>
      <c r="N14" s="759" t="s">
        <v>29</v>
      </c>
      <c r="O14" s="759" t="s">
        <v>120</v>
      </c>
      <c r="P14" s="759" t="s">
        <v>120</v>
      </c>
      <c r="Q14" s="759" t="s">
        <v>113</v>
      </c>
      <c r="R14" s="759" t="s">
        <v>154</v>
      </c>
      <c r="S14" s="759" t="s">
        <v>185</v>
      </c>
      <c r="T14" s="759" t="s">
        <v>120</v>
      </c>
      <c r="U14" s="760">
        <v>44562</v>
      </c>
      <c r="V14" s="761">
        <v>44562</v>
      </c>
      <c r="W14" s="759" t="s">
        <v>38</v>
      </c>
      <c r="X14" s="761">
        <v>44562</v>
      </c>
      <c r="Y14" s="760">
        <v>44926</v>
      </c>
      <c r="Z14" s="759" t="s">
        <v>114</v>
      </c>
      <c r="AA14" s="759" t="s">
        <v>119</v>
      </c>
      <c r="AB14" s="759" t="s">
        <v>118</v>
      </c>
      <c r="AC14" s="759" t="s">
        <v>117</v>
      </c>
      <c r="AD14" s="759" t="s">
        <v>116</v>
      </c>
      <c r="AE14" s="759" t="s">
        <v>115</v>
      </c>
      <c r="AF14" s="756"/>
      <c r="AG14" s="756"/>
      <c r="AH14" s="756"/>
      <c r="AI14" s="756"/>
      <c r="AJ14" s="756"/>
      <c r="AK14" s="756"/>
      <c r="AL14" s="756"/>
      <c r="AM14" s="756"/>
      <c r="AN14" s="756"/>
      <c r="AO14" s="756"/>
      <c r="AP14" s="756"/>
      <c r="AQ14" s="756"/>
      <c r="AR14" s="756"/>
      <c r="AS14" s="756"/>
      <c r="AT14" s="756"/>
      <c r="AU14" s="756"/>
      <c r="AV14" s="756"/>
      <c r="AW14" s="756"/>
      <c r="AX14" s="756"/>
      <c r="AY14" s="756"/>
      <c r="AZ14" s="756"/>
      <c r="BA14" s="756"/>
      <c r="BB14" s="756"/>
      <c r="BC14" s="756"/>
      <c r="BD14" s="756"/>
      <c r="BE14" s="756"/>
    </row>
    <row r="15" spans="2:57">
      <c r="B15" s="762"/>
      <c r="C15" s="762"/>
      <c r="D15" s="762"/>
      <c r="E15" s="762"/>
      <c r="F15" s="762"/>
      <c r="G15" s="762"/>
      <c r="H15" s="762"/>
      <c r="I15" s="762"/>
      <c r="J15" s="762"/>
      <c r="K15" s="762"/>
      <c r="L15" s="762"/>
      <c r="M15" s="762"/>
      <c r="N15" s="762"/>
      <c r="O15" s="762"/>
      <c r="P15" s="762"/>
      <c r="Q15" s="762"/>
      <c r="R15" s="762"/>
      <c r="S15" s="762"/>
      <c r="T15" s="762"/>
      <c r="U15" s="762"/>
      <c r="V15" s="762"/>
      <c r="W15" s="762"/>
      <c r="X15" s="762"/>
      <c r="Y15" s="762"/>
      <c r="Z15" s="762"/>
    </row>
    <row r="16" spans="2:57">
      <c r="B16" s="55" t="s">
        <v>382</v>
      </c>
      <c r="T16" s="753"/>
      <c r="U16" s="753"/>
      <c r="V16" s="753"/>
    </row>
    <row r="17" spans="2:37">
      <c r="B17" s="41" t="s">
        <v>695</v>
      </c>
      <c r="C17" s="41">
        <v>1981</v>
      </c>
      <c r="D17" s="41">
        <v>81</v>
      </c>
      <c r="E17" s="41">
        <v>6</v>
      </c>
      <c r="F17" s="763">
        <v>1</v>
      </c>
      <c r="G17" s="756" t="s">
        <v>153</v>
      </c>
      <c r="H17" s="41">
        <v>10</v>
      </c>
      <c r="I17" s="41">
        <f>D17+H17</f>
        <v>91</v>
      </c>
      <c r="L17" s="753">
        <v>5585.84</v>
      </c>
      <c r="M17" s="753">
        <v>0</v>
      </c>
      <c r="N17" s="753">
        <f>L17-(+L17*F17)</f>
        <v>0</v>
      </c>
      <c r="O17" s="753">
        <f>N17/H17/12</f>
        <v>0</v>
      </c>
      <c r="P17" s="753">
        <f t="shared" ref="P17:P31" si="0">IF(Q17&gt;0,0,IF(OR(AA17&gt;AB17,AC17&lt;AD17),0,IF(AND(AC17&gt;=AD17,AC17&lt;=AB17),O17*((AC17-AD17)*12),IF(AND(AD17&lt;=AA17,AB17&gt;=AA17),((AB17-AA17)*12)*O17,IF(AC17&gt;AB17,12*O17,0)))))</f>
        <v>0</v>
      </c>
      <c r="Q17" s="753">
        <f t="shared" ref="Q17:Q31" si="1">IF(M17=0,0,IF(AND(AE17&gt;=AD17,AE17&lt;=AC17),((AE17-AD17)*12)*O17,0))</f>
        <v>0</v>
      </c>
      <c r="R17" s="753">
        <f>IF(Q17&gt;0,Q17,P17)</f>
        <v>0</v>
      </c>
      <c r="S17" s="764">
        <f>+'WP-10 - Disposal'!$P$46</f>
        <v>0.86738983940594916</v>
      </c>
      <c r="T17" s="753">
        <f>S17*SUM(P17:Q17)</f>
        <v>0</v>
      </c>
      <c r="U17" s="753">
        <f t="shared" ref="U17:U31" si="2">IF(AA17&gt;AB17,0,IF(AC17&lt;AD17,N17,IF(AND(AC17&gt;=AD17,AC17&lt;=AB17),(N17-R17),IF(AND(AD17&lt;=AA17,AB17&gt;=AA17),0,IF(AC17&gt;AB17,((AD17-AA17)*12)*O17,0)))))</f>
        <v>0</v>
      </c>
      <c r="V17" s="753">
        <f>+U17*S17</f>
        <v>0</v>
      </c>
      <c r="W17" s="764">
        <v>1</v>
      </c>
      <c r="X17" s="753">
        <f>+V17*W17</f>
        <v>0</v>
      </c>
      <c r="Y17" s="753">
        <f>IF(M17&gt;0,0,X17+T17*W17)*W17</f>
        <v>0</v>
      </c>
      <c r="Z17" s="753">
        <f t="shared" ref="Z17:Z31" si="3">IF(M17&gt;0,(L17-X17)/2,IF(AA17&gt;=AD17,(((L17*S17)*W17)-Y17),(+(((L17*S17)*W17)-Y17))))</f>
        <v>4845.1008605473271</v>
      </c>
      <c r="AA17" s="753">
        <f>$D17+(($E17-1)/12)</f>
        <v>81.416666666666671</v>
      </c>
      <c r="AB17" s="753">
        <f t="shared" ref="AB17:AB41" si="4">($B$10+1)-($B$7/12)</f>
        <v>123</v>
      </c>
      <c r="AC17" s="753">
        <f t="shared" ref="AC17:AC31" si="5">$I17+(($E17-1)/12)</f>
        <v>91.416666666666671</v>
      </c>
      <c r="AD17" s="753">
        <f t="shared" ref="AD17:AD41" si="6">$B$9+($B$8/12)</f>
        <v>122</v>
      </c>
      <c r="AE17" s="753">
        <f t="shared" ref="AE17:AE31" si="7">$J17+(($K17-1)/12)</f>
        <v>-8.3333333333333329E-2</v>
      </c>
      <c r="AF17" s="753">
        <f t="shared" ref="AF17:AF31" si="8">L17-((X17+Y17)/2)-Z17</f>
        <v>740.73913945267304</v>
      </c>
      <c r="AG17" s="765"/>
      <c r="AH17" s="765"/>
      <c r="AI17" s="765"/>
      <c r="AJ17" s="765"/>
      <c r="AK17" s="765"/>
    </row>
    <row r="18" spans="2:37">
      <c r="B18" s="41" t="s">
        <v>696</v>
      </c>
      <c r="C18" s="41">
        <v>1983</v>
      </c>
      <c r="D18" s="41">
        <v>83</v>
      </c>
      <c r="E18" s="41">
        <v>6</v>
      </c>
      <c r="F18" s="763">
        <v>1</v>
      </c>
      <c r="G18" s="756" t="s">
        <v>153</v>
      </c>
      <c r="H18" s="41">
        <v>10</v>
      </c>
      <c r="I18" s="41">
        <f t="shared" ref="I18:I31" si="9">D18+H18</f>
        <v>93</v>
      </c>
      <c r="L18" s="753">
        <v>1369</v>
      </c>
      <c r="M18" s="753">
        <v>0</v>
      </c>
      <c r="N18" s="753">
        <f t="shared" ref="N18:N31" si="10">L18-(+L18*F18)</f>
        <v>0</v>
      </c>
      <c r="O18" s="753">
        <f t="shared" ref="O18:O31" si="11">N18/H18/12</f>
        <v>0</v>
      </c>
      <c r="P18" s="753">
        <f t="shared" si="0"/>
        <v>0</v>
      </c>
      <c r="Q18" s="753">
        <f t="shared" si="1"/>
        <v>0</v>
      </c>
      <c r="R18" s="753">
        <f t="shared" ref="R18:R31" si="12">IF(Q18&gt;0,Q18,P18)</f>
        <v>0</v>
      </c>
      <c r="S18" s="764">
        <f>+'WP-10 - Disposal'!$P$46</f>
        <v>0.86738983940594916</v>
      </c>
      <c r="T18" s="753">
        <f t="shared" ref="T18:T31" si="13">S18*SUM(P18:Q18)</f>
        <v>0</v>
      </c>
      <c r="U18" s="753">
        <f t="shared" si="2"/>
        <v>0</v>
      </c>
      <c r="V18" s="753">
        <f t="shared" ref="V18:V31" si="14">+U18*S18</f>
        <v>0</v>
      </c>
      <c r="W18" s="764">
        <v>1</v>
      </c>
      <c r="X18" s="753">
        <f t="shared" ref="X18:X31" si="15">+V18*W18</f>
        <v>0</v>
      </c>
      <c r="Y18" s="753">
        <f t="shared" ref="Y18:Y31" si="16">IF(M18&gt;0,0,X18+T18*W18)*W18</f>
        <v>0</v>
      </c>
      <c r="Z18" s="753">
        <f t="shared" si="3"/>
        <v>1187.4566901467444</v>
      </c>
      <c r="AA18" s="753">
        <f t="shared" ref="AA18:AA31" si="17">$D18+(($E18-1)/12)</f>
        <v>83.416666666666671</v>
      </c>
      <c r="AB18" s="753">
        <f t="shared" si="4"/>
        <v>123</v>
      </c>
      <c r="AC18" s="753">
        <f t="shared" si="5"/>
        <v>93.416666666666671</v>
      </c>
      <c r="AD18" s="753">
        <f t="shared" si="6"/>
        <v>122</v>
      </c>
      <c r="AE18" s="753">
        <f t="shared" si="7"/>
        <v>-8.3333333333333329E-2</v>
      </c>
      <c r="AF18" s="753">
        <f t="shared" si="8"/>
        <v>181.54330985325555</v>
      </c>
      <c r="AG18" s="765"/>
      <c r="AH18" s="765"/>
      <c r="AI18" s="765"/>
      <c r="AJ18" s="765"/>
      <c r="AK18" s="765"/>
    </row>
    <row r="19" spans="2:37">
      <c r="B19" s="41" t="s">
        <v>280</v>
      </c>
      <c r="C19" s="41">
        <v>1985</v>
      </c>
      <c r="D19" s="41">
        <v>85</v>
      </c>
      <c r="E19" s="41">
        <v>7</v>
      </c>
      <c r="F19" s="763">
        <v>0</v>
      </c>
      <c r="G19" s="756" t="s">
        <v>153</v>
      </c>
      <c r="H19" s="41">
        <v>18</v>
      </c>
      <c r="I19" s="41">
        <f t="shared" si="9"/>
        <v>103</v>
      </c>
      <c r="L19" s="753">
        <v>2912.5</v>
      </c>
      <c r="M19" s="753">
        <v>0</v>
      </c>
      <c r="N19" s="753">
        <f t="shared" si="10"/>
        <v>2912.5</v>
      </c>
      <c r="O19" s="753">
        <f t="shared" si="11"/>
        <v>13.483796296296296</v>
      </c>
      <c r="P19" s="753">
        <f t="shared" si="0"/>
        <v>0</v>
      </c>
      <c r="Q19" s="753">
        <f t="shared" si="1"/>
        <v>0</v>
      </c>
      <c r="R19" s="753">
        <f t="shared" si="12"/>
        <v>0</v>
      </c>
      <c r="S19" s="764">
        <f>+'WP-10 - Disposal'!$P$46</f>
        <v>0.86738983940594916</v>
      </c>
      <c r="T19" s="753">
        <f t="shared" si="13"/>
        <v>0</v>
      </c>
      <c r="U19" s="753">
        <f t="shared" si="2"/>
        <v>2912.5</v>
      </c>
      <c r="V19" s="753">
        <f t="shared" si="14"/>
        <v>2526.2729072698271</v>
      </c>
      <c r="W19" s="764">
        <v>1</v>
      </c>
      <c r="X19" s="753">
        <f t="shared" si="15"/>
        <v>2526.2729072698271</v>
      </c>
      <c r="Y19" s="753">
        <f t="shared" si="16"/>
        <v>2526.2729072698271</v>
      </c>
      <c r="Z19" s="753">
        <f t="shared" si="3"/>
        <v>0</v>
      </c>
      <c r="AA19" s="753">
        <f t="shared" si="17"/>
        <v>85.5</v>
      </c>
      <c r="AB19" s="753">
        <f t="shared" si="4"/>
        <v>123</v>
      </c>
      <c r="AC19" s="753">
        <f t="shared" si="5"/>
        <v>103.5</v>
      </c>
      <c r="AD19" s="753">
        <f t="shared" si="6"/>
        <v>122</v>
      </c>
      <c r="AE19" s="753">
        <f t="shared" si="7"/>
        <v>-8.3333333333333329E-2</v>
      </c>
      <c r="AF19" s="753">
        <f t="shared" si="8"/>
        <v>386.2270927301729</v>
      </c>
      <c r="AG19" s="765"/>
      <c r="AH19" s="765"/>
      <c r="AI19" s="765"/>
      <c r="AJ19" s="765"/>
      <c r="AK19" s="765"/>
    </row>
    <row r="20" spans="2:37">
      <c r="B20" s="41" t="s">
        <v>697</v>
      </c>
      <c r="C20" s="41">
        <v>1988</v>
      </c>
      <c r="D20" s="41">
        <v>88</v>
      </c>
      <c r="E20" s="41">
        <v>10</v>
      </c>
      <c r="F20" s="763">
        <v>0</v>
      </c>
      <c r="G20" s="756" t="s">
        <v>153</v>
      </c>
      <c r="H20" s="41">
        <v>15</v>
      </c>
      <c r="I20" s="41">
        <f t="shared" si="9"/>
        <v>103</v>
      </c>
      <c r="L20" s="753">
        <v>4835.3999999999996</v>
      </c>
      <c r="M20" s="753">
        <v>0</v>
      </c>
      <c r="N20" s="753">
        <f t="shared" si="10"/>
        <v>4835.3999999999996</v>
      </c>
      <c r="O20" s="753">
        <f t="shared" si="11"/>
        <v>26.86333333333333</v>
      </c>
      <c r="P20" s="753">
        <f t="shared" si="0"/>
        <v>0</v>
      </c>
      <c r="Q20" s="753">
        <f t="shared" si="1"/>
        <v>0</v>
      </c>
      <c r="R20" s="753">
        <f t="shared" si="12"/>
        <v>0</v>
      </c>
      <c r="S20" s="764">
        <f>+'WP-10 - Disposal'!$P$46</f>
        <v>0.86738983940594916</v>
      </c>
      <c r="T20" s="753">
        <f t="shared" si="13"/>
        <v>0</v>
      </c>
      <c r="U20" s="753">
        <f t="shared" si="2"/>
        <v>4835.3999999999996</v>
      </c>
      <c r="V20" s="753">
        <f t="shared" si="14"/>
        <v>4194.1768294635267</v>
      </c>
      <c r="W20" s="764">
        <v>1</v>
      </c>
      <c r="X20" s="753">
        <f t="shared" si="15"/>
        <v>4194.1768294635267</v>
      </c>
      <c r="Y20" s="753">
        <f t="shared" si="16"/>
        <v>4194.1768294635267</v>
      </c>
      <c r="Z20" s="753">
        <f t="shared" si="3"/>
        <v>0</v>
      </c>
      <c r="AA20" s="753">
        <f t="shared" si="17"/>
        <v>88.75</v>
      </c>
      <c r="AB20" s="753">
        <f t="shared" si="4"/>
        <v>123</v>
      </c>
      <c r="AC20" s="753">
        <f t="shared" si="5"/>
        <v>103.75</v>
      </c>
      <c r="AD20" s="753">
        <f t="shared" si="6"/>
        <v>122</v>
      </c>
      <c r="AE20" s="753">
        <f t="shared" si="7"/>
        <v>-8.3333333333333329E-2</v>
      </c>
      <c r="AF20" s="753">
        <f t="shared" si="8"/>
        <v>641.22317053647294</v>
      </c>
      <c r="AG20" s="765"/>
      <c r="AH20" s="765"/>
      <c r="AI20" s="765"/>
      <c r="AJ20" s="765"/>
      <c r="AK20" s="765"/>
    </row>
    <row r="21" spans="2:37">
      <c r="B21" s="41" t="s">
        <v>698</v>
      </c>
      <c r="C21" s="41">
        <v>1990</v>
      </c>
      <c r="D21" s="41">
        <v>90</v>
      </c>
      <c r="E21" s="41">
        <v>8</v>
      </c>
      <c r="F21" s="763">
        <v>0</v>
      </c>
      <c r="G21" s="756" t="s">
        <v>153</v>
      </c>
      <c r="H21" s="41">
        <v>20</v>
      </c>
      <c r="I21" s="41">
        <f t="shared" si="9"/>
        <v>110</v>
      </c>
      <c r="L21" s="753">
        <v>2165</v>
      </c>
      <c r="M21" s="753">
        <v>0</v>
      </c>
      <c r="N21" s="753">
        <f t="shared" si="10"/>
        <v>2165</v>
      </c>
      <c r="O21" s="753">
        <f t="shared" si="11"/>
        <v>9.0208333333333339</v>
      </c>
      <c r="P21" s="753">
        <f t="shared" si="0"/>
        <v>0</v>
      </c>
      <c r="Q21" s="753">
        <f t="shared" si="1"/>
        <v>0</v>
      </c>
      <c r="R21" s="753">
        <f t="shared" si="12"/>
        <v>0</v>
      </c>
      <c r="S21" s="764">
        <f>+'WP-10 - Disposal'!$P$46</f>
        <v>0.86738983940594916</v>
      </c>
      <c r="T21" s="753">
        <f t="shared" si="13"/>
        <v>0</v>
      </c>
      <c r="U21" s="753">
        <f t="shared" si="2"/>
        <v>2165</v>
      </c>
      <c r="V21" s="753">
        <f t="shared" si="14"/>
        <v>1877.8990023138799</v>
      </c>
      <c r="W21" s="764">
        <v>1</v>
      </c>
      <c r="X21" s="753">
        <f t="shared" si="15"/>
        <v>1877.8990023138799</v>
      </c>
      <c r="Y21" s="753">
        <f t="shared" si="16"/>
        <v>1877.8990023138799</v>
      </c>
      <c r="Z21" s="753">
        <f t="shared" si="3"/>
        <v>0</v>
      </c>
      <c r="AA21" s="753">
        <f t="shared" si="17"/>
        <v>90.583333333333329</v>
      </c>
      <c r="AB21" s="753">
        <f t="shared" si="4"/>
        <v>123</v>
      </c>
      <c r="AC21" s="753">
        <f t="shared" si="5"/>
        <v>110.58333333333333</v>
      </c>
      <c r="AD21" s="753">
        <f t="shared" si="6"/>
        <v>122</v>
      </c>
      <c r="AE21" s="753">
        <f t="shared" si="7"/>
        <v>-8.3333333333333329E-2</v>
      </c>
      <c r="AF21" s="753">
        <f t="shared" si="8"/>
        <v>287.10099768612008</v>
      </c>
    </row>
    <row r="22" spans="2:37">
      <c r="B22" s="41" t="s">
        <v>281</v>
      </c>
      <c r="C22" s="41">
        <v>1991</v>
      </c>
      <c r="D22" s="41">
        <v>91</v>
      </c>
      <c r="E22" s="41">
        <v>12</v>
      </c>
      <c r="F22" s="763">
        <v>0</v>
      </c>
      <c r="G22" s="756" t="s">
        <v>153</v>
      </c>
      <c r="H22" s="41">
        <v>20</v>
      </c>
      <c r="I22" s="41">
        <f t="shared" si="9"/>
        <v>111</v>
      </c>
      <c r="L22" s="753">
        <v>2115.09</v>
      </c>
      <c r="M22" s="753">
        <v>0</v>
      </c>
      <c r="N22" s="753">
        <f t="shared" si="10"/>
        <v>2115.09</v>
      </c>
      <c r="O22" s="753">
        <f t="shared" si="11"/>
        <v>8.812875</v>
      </c>
      <c r="P22" s="753">
        <f t="shared" si="0"/>
        <v>0</v>
      </c>
      <c r="Q22" s="753">
        <f t="shared" si="1"/>
        <v>0</v>
      </c>
      <c r="R22" s="753">
        <f t="shared" si="12"/>
        <v>0</v>
      </c>
      <c r="S22" s="764">
        <f>+'WP-10 - Disposal'!$P$46</f>
        <v>0.86738983940594916</v>
      </c>
      <c r="T22" s="753">
        <f t="shared" si="13"/>
        <v>0</v>
      </c>
      <c r="U22" s="753">
        <f t="shared" si="2"/>
        <v>2115.09</v>
      </c>
      <c r="V22" s="753">
        <f t="shared" si="14"/>
        <v>1834.6075754291292</v>
      </c>
      <c r="W22" s="764">
        <v>1</v>
      </c>
      <c r="X22" s="753">
        <f t="shared" si="15"/>
        <v>1834.6075754291292</v>
      </c>
      <c r="Y22" s="753">
        <f t="shared" si="16"/>
        <v>1834.6075754291292</v>
      </c>
      <c r="Z22" s="753">
        <f t="shared" si="3"/>
        <v>0</v>
      </c>
      <c r="AA22" s="753">
        <f t="shared" si="17"/>
        <v>91.916666666666671</v>
      </c>
      <c r="AB22" s="753">
        <f t="shared" si="4"/>
        <v>123</v>
      </c>
      <c r="AC22" s="753">
        <f t="shared" si="5"/>
        <v>111.91666666666667</v>
      </c>
      <c r="AD22" s="753">
        <f t="shared" si="6"/>
        <v>122</v>
      </c>
      <c r="AE22" s="753">
        <f t="shared" si="7"/>
        <v>-8.3333333333333329E-2</v>
      </c>
      <c r="AF22" s="753">
        <f t="shared" si="8"/>
        <v>280.48242457087099</v>
      </c>
    </row>
    <row r="23" spans="2:37">
      <c r="B23" s="41" t="s">
        <v>282</v>
      </c>
      <c r="C23" s="41">
        <v>1995</v>
      </c>
      <c r="D23" s="41">
        <v>95</v>
      </c>
      <c r="E23" s="41">
        <v>6</v>
      </c>
      <c r="F23" s="763">
        <v>0</v>
      </c>
      <c r="G23" s="756" t="s">
        <v>153</v>
      </c>
      <c r="H23" s="41">
        <v>20</v>
      </c>
      <c r="I23" s="41">
        <f t="shared" si="9"/>
        <v>115</v>
      </c>
      <c r="L23" s="753">
        <v>58646.01</v>
      </c>
      <c r="M23" s="753">
        <v>0</v>
      </c>
      <c r="N23" s="753">
        <f t="shared" si="10"/>
        <v>58646.01</v>
      </c>
      <c r="O23" s="753">
        <f t="shared" si="11"/>
        <v>244.35837500000002</v>
      </c>
      <c r="P23" s="753">
        <f t="shared" si="0"/>
        <v>0</v>
      </c>
      <c r="Q23" s="753">
        <f t="shared" si="1"/>
        <v>0</v>
      </c>
      <c r="R23" s="753">
        <f t="shared" si="12"/>
        <v>0</v>
      </c>
      <c r="S23" s="764">
        <f>+'WP-10 - Disposal'!$P$46</f>
        <v>0.86738983940594916</v>
      </c>
      <c r="T23" s="753">
        <f t="shared" si="13"/>
        <v>0</v>
      </c>
      <c r="U23" s="753">
        <f t="shared" si="2"/>
        <v>58646.01</v>
      </c>
      <c r="V23" s="753">
        <f t="shared" si="14"/>
        <v>50868.953195699687</v>
      </c>
      <c r="W23" s="764">
        <v>1</v>
      </c>
      <c r="X23" s="753">
        <f t="shared" si="15"/>
        <v>50868.953195699687</v>
      </c>
      <c r="Y23" s="753">
        <f t="shared" si="16"/>
        <v>50868.953195699687</v>
      </c>
      <c r="Z23" s="753">
        <f t="shared" si="3"/>
        <v>0</v>
      </c>
      <c r="AA23" s="753">
        <f t="shared" si="17"/>
        <v>95.416666666666671</v>
      </c>
      <c r="AB23" s="753">
        <f t="shared" si="4"/>
        <v>123</v>
      </c>
      <c r="AC23" s="753">
        <f t="shared" si="5"/>
        <v>115.41666666666667</v>
      </c>
      <c r="AD23" s="753">
        <f t="shared" si="6"/>
        <v>122</v>
      </c>
      <c r="AE23" s="753">
        <f t="shared" si="7"/>
        <v>-8.3333333333333329E-2</v>
      </c>
      <c r="AF23" s="753">
        <f t="shared" si="8"/>
        <v>7777.056804300315</v>
      </c>
    </row>
    <row r="24" spans="2:37">
      <c r="B24" s="41" t="s">
        <v>283</v>
      </c>
      <c r="C24" s="41">
        <v>2008</v>
      </c>
      <c r="D24" s="41">
        <v>108</v>
      </c>
      <c r="E24" s="41">
        <v>4</v>
      </c>
      <c r="F24" s="763">
        <v>0</v>
      </c>
      <c r="G24" s="756" t="s">
        <v>153</v>
      </c>
      <c r="H24" s="41">
        <v>15</v>
      </c>
      <c r="I24" s="41">
        <f t="shared" si="9"/>
        <v>123</v>
      </c>
      <c r="L24" s="753">
        <v>4254.95</v>
      </c>
      <c r="M24" s="753">
        <v>0</v>
      </c>
      <c r="N24" s="753">
        <f t="shared" si="10"/>
        <v>4254.95</v>
      </c>
      <c r="O24" s="753">
        <f t="shared" si="11"/>
        <v>23.638611111111107</v>
      </c>
      <c r="P24" s="753">
        <f t="shared" si="0"/>
        <v>283.6633333333333</v>
      </c>
      <c r="Q24" s="753">
        <f t="shared" si="1"/>
        <v>0</v>
      </c>
      <c r="R24" s="753">
        <f>IF(Q24&gt;0,Q24,P24)</f>
        <v>283.6633333333333</v>
      </c>
      <c r="S24" s="764">
        <v>0</v>
      </c>
      <c r="T24" s="753">
        <f t="shared" si="13"/>
        <v>0</v>
      </c>
      <c r="U24" s="753">
        <f t="shared" si="2"/>
        <v>3900.3708333333325</v>
      </c>
      <c r="V24" s="753">
        <f t="shared" si="14"/>
        <v>0</v>
      </c>
      <c r="W24" s="764">
        <v>1</v>
      </c>
      <c r="X24" s="753">
        <f t="shared" si="15"/>
        <v>0</v>
      </c>
      <c r="Y24" s="753">
        <f t="shared" si="16"/>
        <v>0</v>
      </c>
      <c r="Z24" s="753">
        <f t="shared" si="3"/>
        <v>0</v>
      </c>
      <c r="AA24" s="753">
        <f t="shared" si="17"/>
        <v>108.25</v>
      </c>
      <c r="AB24" s="753">
        <f t="shared" si="4"/>
        <v>123</v>
      </c>
      <c r="AC24" s="753">
        <f t="shared" si="5"/>
        <v>123.25</v>
      </c>
      <c r="AD24" s="753">
        <f t="shared" si="6"/>
        <v>122</v>
      </c>
      <c r="AE24" s="753">
        <f t="shared" si="7"/>
        <v>-8.3333333333333329E-2</v>
      </c>
      <c r="AF24" s="753">
        <f t="shared" si="8"/>
        <v>4254.95</v>
      </c>
    </row>
    <row r="25" spans="2:37">
      <c r="B25" s="41" t="s">
        <v>284</v>
      </c>
      <c r="C25" s="41">
        <v>2008</v>
      </c>
      <c r="D25" s="41">
        <v>108</v>
      </c>
      <c r="E25" s="41">
        <v>7</v>
      </c>
      <c r="F25" s="763">
        <v>0</v>
      </c>
      <c r="G25" s="756" t="s">
        <v>153</v>
      </c>
      <c r="H25" s="41">
        <v>15</v>
      </c>
      <c r="I25" s="41">
        <f t="shared" si="9"/>
        <v>123</v>
      </c>
      <c r="L25" s="753">
        <v>3043.3</v>
      </c>
      <c r="M25" s="753">
        <v>0</v>
      </c>
      <c r="N25" s="753">
        <f t="shared" si="10"/>
        <v>3043.3</v>
      </c>
      <c r="O25" s="753">
        <f t="shared" si="11"/>
        <v>16.907222222222224</v>
      </c>
      <c r="P25" s="753">
        <f t="shared" si="0"/>
        <v>202.88666666666668</v>
      </c>
      <c r="Q25" s="753">
        <f t="shared" si="1"/>
        <v>0</v>
      </c>
      <c r="R25" s="753">
        <f t="shared" si="12"/>
        <v>202.88666666666668</v>
      </c>
      <c r="S25" s="764">
        <f>+'WP-10 - Disposal'!$P$46</f>
        <v>0.86738983940594916</v>
      </c>
      <c r="T25" s="753">
        <f t="shared" si="13"/>
        <v>175.98183321760834</v>
      </c>
      <c r="U25" s="753">
        <f t="shared" si="2"/>
        <v>2738.9700000000003</v>
      </c>
      <c r="V25" s="753">
        <f t="shared" si="14"/>
        <v>2375.7547484377128</v>
      </c>
      <c r="W25" s="764">
        <v>1</v>
      </c>
      <c r="X25" s="753">
        <f t="shared" si="15"/>
        <v>2375.7547484377128</v>
      </c>
      <c r="Y25" s="753">
        <f t="shared" si="16"/>
        <v>2551.7365816553211</v>
      </c>
      <c r="Z25" s="753">
        <f t="shared" si="3"/>
        <v>87.990916608804127</v>
      </c>
      <c r="AA25" s="753">
        <f t="shared" si="17"/>
        <v>108.5</v>
      </c>
      <c r="AB25" s="753">
        <f t="shared" si="4"/>
        <v>123</v>
      </c>
      <c r="AC25" s="753">
        <f t="shared" si="5"/>
        <v>123.5</v>
      </c>
      <c r="AD25" s="753">
        <f t="shared" si="6"/>
        <v>122</v>
      </c>
      <c r="AE25" s="753">
        <f t="shared" si="7"/>
        <v>-8.3333333333333329E-2</v>
      </c>
      <c r="AF25" s="753">
        <f t="shared" si="8"/>
        <v>491.56341834467912</v>
      </c>
    </row>
    <row r="26" spans="2:37">
      <c r="B26" s="41" t="s">
        <v>286</v>
      </c>
      <c r="C26" s="41">
        <v>2008</v>
      </c>
      <c r="D26" s="41">
        <v>108</v>
      </c>
      <c r="E26" s="41">
        <v>8</v>
      </c>
      <c r="F26" s="763">
        <v>0</v>
      </c>
      <c r="G26" s="756" t="s">
        <v>153</v>
      </c>
      <c r="H26" s="41">
        <v>15</v>
      </c>
      <c r="I26" s="41">
        <f t="shared" si="9"/>
        <v>123</v>
      </c>
      <c r="L26" s="753">
        <v>5875.26</v>
      </c>
      <c r="M26" s="753">
        <v>0</v>
      </c>
      <c r="N26" s="753">
        <f t="shared" si="10"/>
        <v>5875.26</v>
      </c>
      <c r="O26" s="753">
        <f t="shared" si="11"/>
        <v>32.640333333333338</v>
      </c>
      <c r="P26" s="753">
        <f t="shared" si="0"/>
        <v>391.68400000000008</v>
      </c>
      <c r="Q26" s="753">
        <f t="shared" si="1"/>
        <v>0</v>
      </c>
      <c r="R26" s="753">
        <f t="shared" si="12"/>
        <v>391.68400000000008</v>
      </c>
      <c r="S26" s="764">
        <v>0</v>
      </c>
      <c r="T26" s="753">
        <f t="shared" si="13"/>
        <v>0</v>
      </c>
      <c r="U26" s="753">
        <f t="shared" si="2"/>
        <v>5255.0936666666694</v>
      </c>
      <c r="V26" s="753">
        <f t="shared" si="14"/>
        <v>0</v>
      </c>
      <c r="W26" s="764">
        <v>1</v>
      </c>
      <c r="X26" s="753">
        <f t="shared" si="15"/>
        <v>0</v>
      </c>
      <c r="Y26" s="753">
        <f t="shared" si="16"/>
        <v>0</v>
      </c>
      <c r="Z26" s="753">
        <f t="shared" si="3"/>
        <v>0</v>
      </c>
      <c r="AA26" s="753">
        <f t="shared" si="17"/>
        <v>108.58333333333333</v>
      </c>
      <c r="AB26" s="753">
        <f t="shared" si="4"/>
        <v>123</v>
      </c>
      <c r="AC26" s="753">
        <f t="shared" si="5"/>
        <v>123.58333333333333</v>
      </c>
      <c r="AD26" s="753">
        <f t="shared" si="6"/>
        <v>122</v>
      </c>
      <c r="AE26" s="753">
        <f t="shared" si="7"/>
        <v>-8.3333333333333329E-2</v>
      </c>
      <c r="AF26" s="753">
        <f t="shared" si="8"/>
        <v>5875.26</v>
      </c>
    </row>
    <row r="27" spans="2:37">
      <c r="B27" s="41" t="s">
        <v>285</v>
      </c>
      <c r="C27" s="41">
        <v>2008</v>
      </c>
      <c r="D27" s="41">
        <v>108</v>
      </c>
      <c r="E27" s="41">
        <v>10</v>
      </c>
      <c r="F27" s="763">
        <v>0</v>
      </c>
      <c r="G27" s="756" t="s">
        <v>153</v>
      </c>
      <c r="H27" s="41">
        <v>15</v>
      </c>
      <c r="I27" s="41">
        <f t="shared" si="9"/>
        <v>123</v>
      </c>
      <c r="L27" s="753">
        <v>8169.98</v>
      </c>
      <c r="M27" s="753">
        <v>0</v>
      </c>
      <c r="N27" s="753">
        <f t="shared" si="10"/>
        <v>8169.98</v>
      </c>
      <c r="O27" s="753">
        <f t="shared" si="11"/>
        <v>45.388777777777769</v>
      </c>
      <c r="P27" s="753">
        <f t="shared" si="0"/>
        <v>544.66533333333325</v>
      </c>
      <c r="Q27" s="753">
        <f t="shared" si="1"/>
        <v>0</v>
      </c>
      <c r="R27" s="753">
        <f t="shared" si="12"/>
        <v>544.66533333333325</v>
      </c>
      <c r="S27" s="764">
        <v>0</v>
      </c>
      <c r="T27" s="753">
        <f t="shared" si="13"/>
        <v>0</v>
      </c>
      <c r="U27" s="753">
        <f t="shared" si="2"/>
        <v>7216.8156666666655</v>
      </c>
      <c r="V27" s="753">
        <f t="shared" si="14"/>
        <v>0</v>
      </c>
      <c r="W27" s="764">
        <v>1</v>
      </c>
      <c r="X27" s="753">
        <f t="shared" si="15"/>
        <v>0</v>
      </c>
      <c r="Y27" s="753">
        <f t="shared" si="16"/>
        <v>0</v>
      </c>
      <c r="Z27" s="753">
        <f t="shared" si="3"/>
        <v>0</v>
      </c>
      <c r="AA27" s="753">
        <f t="shared" si="17"/>
        <v>108.75</v>
      </c>
      <c r="AB27" s="753">
        <f t="shared" si="4"/>
        <v>123</v>
      </c>
      <c r="AC27" s="753">
        <f t="shared" si="5"/>
        <v>123.75</v>
      </c>
      <c r="AD27" s="753">
        <f t="shared" si="6"/>
        <v>122</v>
      </c>
      <c r="AE27" s="753">
        <f t="shared" si="7"/>
        <v>-8.3333333333333329E-2</v>
      </c>
      <c r="AF27" s="753">
        <f t="shared" si="8"/>
        <v>8169.98</v>
      </c>
    </row>
    <row r="28" spans="2:37">
      <c r="B28" s="41" t="s">
        <v>287</v>
      </c>
      <c r="C28" s="41">
        <v>2008</v>
      </c>
      <c r="D28" s="41">
        <v>108</v>
      </c>
      <c r="E28" s="41">
        <v>11</v>
      </c>
      <c r="F28" s="763">
        <v>0</v>
      </c>
      <c r="G28" s="756" t="s">
        <v>153</v>
      </c>
      <c r="H28" s="41">
        <v>15</v>
      </c>
      <c r="I28" s="41">
        <f t="shared" si="9"/>
        <v>123</v>
      </c>
      <c r="L28" s="753">
        <v>4178</v>
      </c>
      <c r="M28" s="753">
        <v>0</v>
      </c>
      <c r="N28" s="753">
        <f t="shared" si="10"/>
        <v>4178</v>
      </c>
      <c r="O28" s="753">
        <f t="shared" si="11"/>
        <v>23.211111111111112</v>
      </c>
      <c r="P28" s="753">
        <f t="shared" si="0"/>
        <v>278.53333333333336</v>
      </c>
      <c r="Q28" s="753">
        <f t="shared" si="1"/>
        <v>0</v>
      </c>
      <c r="R28" s="753">
        <f t="shared" si="12"/>
        <v>278.53333333333336</v>
      </c>
      <c r="S28" s="764">
        <f>+'WP-10 - Disposal'!$P$46</f>
        <v>0.86738983940594916</v>
      </c>
      <c r="T28" s="753">
        <f t="shared" si="13"/>
        <v>241.59698326920372</v>
      </c>
      <c r="U28" s="753">
        <f t="shared" si="2"/>
        <v>3667.3555555555572</v>
      </c>
      <c r="V28" s="753">
        <f t="shared" si="14"/>
        <v>3181.0269463778504</v>
      </c>
      <c r="W28" s="764">
        <v>1</v>
      </c>
      <c r="X28" s="753">
        <f t="shared" si="15"/>
        <v>3181.0269463778504</v>
      </c>
      <c r="Y28" s="753">
        <f t="shared" si="16"/>
        <v>3422.623929647054</v>
      </c>
      <c r="Z28" s="753">
        <f t="shared" si="3"/>
        <v>201.33081939100157</v>
      </c>
      <c r="AA28" s="753">
        <f t="shared" si="17"/>
        <v>108.83333333333333</v>
      </c>
      <c r="AB28" s="753">
        <f t="shared" si="4"/>
        <v>123</v>
      </c>
      <c r="AC28" s="753">
        <f t="shared" si="5"/>
        <v>123.83333333333333</v>
      </c>
      <c r="AD28" s="753">
        <f t="shared" si="6"/>
        <v>122</v>
      </c>
      <c r="AE28" s="753">
        <f t="shared" si="7"/>
        <v>-8.3333333333333329E-2</v>
      </c>
      <c r="AF28" s="753">
        <f t="shared" si="8"/>
        <v>674.84374259654624</v>
      </c>
    </row>
    <row r="29" spans="2:37">
      <c r="B29" s="41" t="s">
        <v>289</v>
      </c>
      <c r="C29" s="41">
        <v>2008</v>
      </c>
      <c r="D29" s="41">
        <v>108</v>
      </c>
      <c r="E29" s="41">
        <v>12</v>
      </c>
      <c r="F29" s="763">
        <v>0</v>
      </c>
      <c r="G29" s="756" t="s">
        <v>153</v>
      </c>
      <c r="H29" s="41">
        <v>15</v>
      </c>
      <c r="I29" s="41">
        <f t="shared" si="9"/>
        <v>123</v>
      </c>
      <c r="L29" s="753">
        <v>2569.77</v>
      </c>
      <c r="M29" s="753">
        <v>0</v>
      </c>
      <c r="N29" s="753">
        <f t="shared" si="10"/>
        <v>2569.77</v>
      </c>
      <c r="O29" s="753">
        <f t="shared" si="11"/>
        <v>14.2765</v>
      </c>
      <c r="P29" s="753">
        <f t="shared" si="0"/>
        <v>171.31800000000001</v>
      </c>
      <c r="Q29" s="753">
        <f t="shared" si="1"/>
        <v>0</v>
      </c>
      <c r="R29" s="753">
        <f t="shared" si="12"/>
        <v>171.31800000000001</v>
      </c>
      <c r="S29" s="764">
        <v>0</v>
      </c>
      <c r="T29" s="753">
        <f t="shared" si="13"/>
        <v>0</v>
      </c>
      <c r="U29" s="753">
        <f t="shared" si="2"/>
        <v>2241.410499999999</v>
      </c>
      <c r="V29" s="753">
        <f t="shared" si="14"/>
        <v>0</v>
      </c>
      <c r="W29" s="764">
        <v>1</v>
      </c>
      <c r="X29" s="753">
        <f t="shared" si="15"/>
        <v>0</v>
      </c>
      <c r="Y29" s="753">
        <f t="shared" si="16"/>
        <v>0</v>
      </c>
      <c r="Z29" s="753">
        <f t="shared" si="3"/>
        <v>0</v>
      </c>
      <c r="AA29" s="753">
        <f t="shared" si="17"/>
        <v>108.91666666666667</v>
      </c>
      <c r="AB29" s="753">
        <f t="shared" si="4"/>
        <v>123</v>
      </c>
      <c r="AC29" s="753">
        <f t="shared" si="5"/>
        <v>123.91666666666667</v>
      </c>
      <c r="AD29" s="753">
        <f t="shared" si="6"/>
        <v>122</v>
      </c>
      <c r="AE29" s="753">
        <f t="shared" si="7"/>
        <v>-8.3333333333333329E-2</v>
      </c>
      <c r="AF29" s="753">
        <f t="shared" si="8"/>
        <v>2569.77</v>
      </c>
    </row>
    <row r="30" spans="2:37">
      <c r="B30" s="41" t="s">
        <v>290</v>
      </c>
      <c r="C30" s="41">
        <v>2009</v>
      </c>
      <c r="D30" s="41">
        <v>109</v>
      </c>
      <c r="E30" s="41">
        <v>1</v>
      </c>
      <c r="F30" s="763">
        <v>0</v>
      </c>
      <c r="G30" s="756" t="s">
        <v>153</v>
      </c>
      <c r="H30" s="41">
        <v>15</v>
      </c>
      <c r="I30" s="41">
        <f t="shared" si="9"/>
        <v>124</v>
      </c>
      <c r="L30" s="753">
        <v>1545.4</v>
      </c>
      <c r="M30" s="753">
        <v>0</v>
      </c>
      <c r="N30" s="753">
        <f t="shared" si="10"/>
        <v>1545.4</v>
      </c>
      <c r="O30" s="753">
        <f t="shared" si="11"/>
        <v>8.5855555555555565</v>
      </c>
      <c r="P30" s="753">
        <f t="shared" si="0"/>
        <v>103.02666666666667</v>
      </c>
      <c r="Q30" s="753">
        <f t="shared" si="1"/>
        <v>0</v>
      </c>
      <c r="R30" s="753">
        <f t="shared" si="12"/>
        <v>103.02666666666667</v>
      </c>
      <c r="S30" s="764">
        <v>0</v>
      </c>
      <c r="T30" s="753">
        <f t="shared" si="13"/>
        <v>0</v>
      </c>
      <c r="U30" s="753">
        <f t="shared" si="2"/>
        <v>1339.3466666666668</v>
      </c>
      <c r="V30" s="753">
        <f t="shared" si="14"/>
        <v>0</v>
      </c>
      <c r="W30" s="764">
        <v>1</v>
      </c>
      <c r="X30" s="753">
        <f t="shared" si="15"/>
        <v>0</v>
      </c>
      <c r="Y30" s="753">
        <f t="shared" si="16"/>
        <v>0</v>
      </c>
      <c r="Z30" s="753">
        <f t="shared" si="3"/>
        <v>0</v>
      </c>
      <c r="AA30" s="753">
        <f t="shared" si="17"/>
        <v>109</v>
      </c>
      <c r="AB30" s="753">
        <f t="shared" si="4"/>
        <v>123</v>
      </c>
      <c r="AC30" s="753">
        <f t="shared" si="5"/>
        <v>124</v>
      </c>
      <c r="AD30" s="753">
        <f t="shared" si="6"/>
        <v>122</v>
      </c>
      <c r="AE30" s="753">
        <f t="shared" si="7"/>
        <v>-8.3333333333333329E-2</v>
      </c>
      <c r="AF30" s="753">
        <f t="shared" si="8"/>
        <v>1545.4</v>
      </c>
    </row>
    <row r="31" spans="2:37" ht="15.75" customHeight="1">
      <c r="B31" s="41" t="s">
        <v>291</v>
      </c>
      <c r="C31" s="41">
        <v>2009</v>
      </c>
      <c r="D31" s="41">
        <v>109</v>
      </c>
      <c r="E31" s="41">
        <v>2</v>
      </c>
      <c r="F31" s="763">
        <v>0</v>
      </c>
      <c r="G31" s="756" t="s">
        <v>153</v>
      </c>
      <c r="H31" s="41">
        <v>15</v>
      </c>
      <c r="I31" s="41">
        <f t="shared" si="9"/>
        <v>124</v>
      </c>
      <c r="L31" s="753">
        <v>4155.03</v>
      </c>
      <c r="M31" s="753">
        <v>0</v>
      </c>
      <c r="N31" s="753">
        <f t="shared" si="10"/>
        <v>4155.03</v>
      </c>
      <c r="O31" s="753">
        <f t="shared" si="11"/>
        <v>23.083500000000001</v>
      </c>
      <c r="P31" s="753">
        <f t="shared" si="0"/>
        <v>277.00200000000001</v>
      </c>
      <c r="Q31" s="753">
        <f t="shared" si="1"/>
        <v>0</v>
      </c>
      <c r="R31" s="753">
        <f t="shared" si="12"/>
        <v>277.00200000000001</v>
      </c>
      <c r="S31" s="764">
        <f>+'WP-10 - Disposal'!$P$46</f>
        <v>0.86738983940594916</v>
      </c>
      <c r="T31" s="753">
        <f t="shared" si="13"/>
        <v>240.26872029512674</v>
      </c>
      <c r="U31" s="766">
        <f t="shared" si="2"/>
        <v>3577.9425000000015</v>
      </c>
      <c r="V31" s="753">
        <f t="shared" si="14"/>
        <v>3103.4709704787215</v>
      </c>
      <c r="W31" s="764">
        <v>1</v>
      </c>
      <c r="X31" s="766">
        <f t="shared" si="15"/>
        <v>3103.4709704787215</v>
      </c>
      <c r="Y31" s="766">
        <f t="shared" si="16"/>
        <v>3343.7396907738485</v>
      </c>
      <c r="Z31" s="766">
        <f t="shared" si="3"/>
        <v>260.29111365305243</v>
      </c>
      <c r="AA31" s="753">
        <f t="shared" si="17"/>
        <v>109.08333333333333</v>
      </c>
      <c r="AB31" s="753">
        <f t="shared" si="4"/>
        <v>123</v>
      </c>
      <c r="AC31" s="753">
        <f t="shared" si="5"/>
        <v>124.08333333333333</v>
      </c>
      <c r="AD31" s="753">
        <f t="shared" si="6"/>
        <v>122</v>
      </c>
      <c r="AE31" s="753">
        <f t="shared" si="7"/>
        <v>-8.3333333333333329E-2</v>
      </c>
      <c r="AF31" s="766">
        <f t="shared" si="8"/>
        <v>671.13355572066257</v>
      </c>
    </row>
    <row r="32" spans="2:37">
      <c r="B32" s="221" t="s">
        <v>386</v>
      </c>
      <c r="F32" s="763"/>
      <c r="G32" s="756"/>
      <c r="L32" s="223">
        <f>SUM(L17:L31)</f>
        <v>111420.52999999998</v>
      </c>
      <c r="M32" s="753"/>
      <c r="N32" s="223">
        <f>SUM(N17:N31)</f>
        <v>104465.68999999999</v>
      </c>
      <c r="O32" s="223">
        <f>SUM(O17:O31)</f>
        <v>490.27082407407414</v>
      </c>
      <c r="P32" s="223">
        <f>SUM(P17:P31)</f>
        <v>2252.7793333333334</v>
      </c>
      <c r="Q32" s="223">
        <f>SUM(Q17:Q31)</f>
        <v>0</v>
      </c>
      <c r="R32" s="223">
        <f>SUM(R17:R31)</f>
        <v>2252.7793333333334</v>
      </c>
      <c r="S32" s="764"/>
      <c r="T32" s="226">
        <f>SUM(T17:T31)</f>
        <v>657.84753678193874</v>
      </c>
      <c r="U32" s="226">
        <f>SUM(U17:U31)</f>
        <v>100611.30538888888</v>
      </c>
      <c r="V32" s="226">
        <f>SUM(V17:V31)</f>
        <v>69962.162175470337</v>
      </c>
      <c r="W32" s="764"/>
      <c r="X32" s="226">
        <f>SUM(X17:X31)</f>
        <v>69962.162175470337</v>
      </c>
      <c r="Y32" s="226">
        <f>SUM(Y17:Y31)</f>
        <v>70620.009712252271</v>
      </c>
      <c r="Z32" s="226">
        <f>SUM(Z17:Z31)</f>
        <v>6582.1704003469295</v>
      </c>
      <c r="AA32" s="753"/>
      <c r="AB32" s="753"/>
      <c r="AC32" s="753"/>
      <c r="AD32" s="753"/>
      <c r="AE32" s="753"/>
      <c r="AF32" s="753">
        <f>SUM(AF17:AF31)</f>
        <v>34547.273655791767</v>
      </c>
    </row>
    <row r="33" spans="2:37">
      <c r="L33" s="753"/>
      <c r="M33" s="753"/>
      <c r="N33" s="753"/>
      <c r="O33" s="753"/>
      <c r="P33" s="753"/>
      <c r="Q33" s="753"/>
      <c r="R33" s="753"/>
      <c r="S33" s="765"/>
      <c r="T33" s="753"/>
      <c r="U33" s="753"/>
      <c r="V33" s="753"/>
      <c r="W33" s="765"/>
      <c r="X33" s="753"/>
      <c r="Y33" s="753"/>
      <c r="Z33" s="753"/>
      <c r="AA33" s="753"/>
      <c r="AB33" s="753"/>
      <c r="AC33" s="753"/>
      <c r="AD33" s="753"/>
      <c r="AE33" s="753"/>
      <c r="AF33" s="753"/>
      <c r="AG33" s="765"/>
      <c r="AH33" s="765"/>
      <c r="AI33" s="765"/>
      <c r="AJ33" s="765"/>
      <c r="AK33" s="765"/>
    </row>
    <row r="34" spans="2:37">
      <c r="B34" s="55" t="s">
        <v>383</v>
      </c>
      <c r="L34" s="753"/>
      <c r="M34" s="753"/>
      <c r="N34" s="753"/>
      <c r="O34" s="753"/>
      <c r="P34" s="753"/>
      <c r="Q34" s="753"/>
      <c r="R34" s="753"/>
      <c r="T34" s="753"/>
      <c r="U34" s="753"/>
      <c r="V34" s="753"/>
      <c r="X34" s="753"/>
      <c r="Y34" s="753"/>
      <c r="Z34" s="753"/>
      <c r="AA34" s="753"/>
      <c r="AB34" s="753"/>
      <c r="AC34" s="753"/>
      <c r="AD34" s="753"/>
      <c r="AE34" s="753"/>
      <c r="AF34" s="753"/>
    </row>
    <row r="35" spans="2:37">
      <c r="B35" s="41" t="s">
        <v>292</v>
      </c>
      <c r="C35" s="41">
        <v>1982</v>
      </c>
      <c r="D35" s="41">
        <v>82</v>
      </c>
      <c r="E35" s="41">
        <v>6</v>
      </c>
      <c r="F35" s="763">
        <v>0</v>
      </c>
      <c r="G35" s="756" t="s">
        <v>153</v>
      </c>
      <c r="H35" s="41">
        <v>15</v>
      </c>
      <c r="I35" s="41">
        <f t="shared" ref="I35:I44" si="18">D35+H35</f>
        <v>97</v>
      </c>
      <c r="L35" s="753">
        <v>4304.6000000000004</v>
      </c>
      <c r="M35" s="753">
        <v>0</v>
      </c>
      <c r="N35" s="753">
        <f t="shared" ref="N35:N44" si="19">L35-(+L35*F35)</f>
        <v>4304.6000000000004</v>
      </c>
      <c r="O35" s="753">
        <f t="shared" ref="O35:O44" si="20">N35/H35/12</f>
        <v>23.914444444444445</v>
      </c>
      <c r="P35" s="753">
        <f t="shared" ref="P35:P44" si="21">IF(Q35&gt;0,0,IF(OR(AA35&gt;AB35,AC35&lt;AD35),0,IF(AND(AC35&gt;=AD35,AC35&lt;=AB35),O35*((AC35-AD35)*12),IF(AND(AD35&lt;=AA35,AB35&gt;=AA35),((AB35-AA35)*12)*O35,IF(AC35&gt;AB35,12*O35,0)))))</f>
        <v>0</v>
      </c>
      <c r="Q35" s="753">
        <f t="shared" ref="Q35:Q44" si="22">IF(M35=0,0,IF(AND(AE35&gt;=AD35,AE35&lt;=AC35),((AE35-AD35)*12)*O35,0))</f>
        <v>0</v>
      </c>
      <c r="R35" s="753">
        <f t="shared" ref="R35:R44" si="23">IF(Q35&gt;0,Q35,P35)</f>
        <v>0</v>
      </c>
      <c r="S35" s="764">
        <f>+'WP-10 - Disposal'!$P$46</f>
        <v>0.86738983940594916</v>
      </c>
      <c r="T35" s="753">
        <f t="shared" ref="T35:T44" si="24">S35*SUM(P35:Q35)</f>
        <v>0</v>
      </c>
      <c r="U35" s="753">
        <f t="shared" ref="U35:U44" si="25">IF(AA35&gt;AB35,0,IF(AC35&lt;AD35,N35,IF(AND(AC35&gt;=AD35,AC35&lt;=AB35),(N35-R35),IF(AND(AD35&lt;=AA35,AB35&gt;=AA35),0,IF(AC35&gt;AB35,((AD35-AA35)*12)*O35,0)))))</f>
        <v>4304.6000000000004</v>
      </c>
      <c r="V35" s="753">
        <f t="shared" ref="V35:V44" si="26">U35*S35</f>
        <v>3733.7663027068493</v>
      </c>
      <c r="W35" s="764">
        <v>1</v>
      </c>
      <c r="X35" s="753">
        <f t="shared" ref="X35:X44" si="27">V35*W35</f>
        <v>3733.7663027068493</v>
      </c>
      <c r="Y35" s="753">
        <f t="shared" ref="Y35:Y44" si="28">IF(M35&gt;0,0,X35+T35*W35)*W35</f>
        <v>3733.7663027068493</v>
      </c>
      <c r="Z35" s="753">
        <f t="shared" ref="Z35:Z44" si="29">IF(M35&gt;0,(L35-X35)/2,IF(AA35&gt;=AD35,(((L35*S35)*W35)-Y35),(+(((L35*S35)*W35)-Y35))))</f>
        <v>0</v>
      </c>
      <c r="AA35" s="753">
        <f t="shared" ref="AA35:AA44" si="30">$D35+(($E35-1)/12)</f>
        <v>82.416666666666671</v>
      </c>
      <c r="AB35" s="753">
        <f t="shared" ref="AB35:AB44" si="31">($B$10+1)-($B$7/12)</f>
        <v>123</v>
      </c>
      <c r="AC35" s="753">
        <f t="shared" ref="AC35:AC44" si="32">$I35+(($E35-1)/12)</f>
        <v>97.416666666666671</v>
      </c>
      <c r="AD35" s="753">
        <f t="shared" ref="AD35:AD44" si="33">$B$9+($B$8/12)</f>
        <v>122</v>
      </c>
      <c r="AE35" s="753">
        <f t="shared" ref="AE35:AE44" si="34">$J35+(($K35-1)/12)</f>
        <v>-8.3333333333333329E-2</v>
      </c>
      <c r="AF35" s="753">
        <f t="shared" ref="AF35:AF44" si="35">L35-((X35+Y35)/2)-Z35</f>
        <v>570.83369729315109</v>
      </c>
      <c r="AG35" s="753"/>
      <c r="AH35" s="753"/>
      <c r="AI35" s="753"/>
    </row>
    <row r="36" spans="2:37">
      <c r="B36" s="41" t="s">
        <v>293</v>
      </c>
      <c r="C36" s="41">
        <v>1982</v>
      </c>
      <c r="D36" s="41">
        <v>82</v>
      </c>
      <c r="E36" s="41">
        <v>11</v>
      </c>
      <c r="F36" s="763">
        <v>0</v>
      </c>
      <c r="G36" s="756" t="s">
        <v>153</v>
      </c>
      <c r="H36" s="41">
        <v>15</v>
      </c>
      <c r="I36" s="41">
        <f t="shared" si="18"/>
        <v>97</v>
      </c>
      <c r="L36" s="753">
        <v>3756</v>
      </c>
      <c r="M36" s="753">
        <v>0</v>
      </c>
      <c r="N36" s="753">
        <f t="shared" si="19"/>
        <v>3756</v>
      </c>
      <c r="O36" s="753">
        <f t="shared" si="20"/>
        <v>20.866666666666667</v>
      </c>
      <c r="P36" s="753">
        <f t="shared" si="21"/>
        <v>0</v>
      </c>
      <c r="Q36" s="753">
        <f t="shared" si="22"/>
        <v>0</v>
      </c>
      <c r="R36" s="753">
        <f t="shared" si="23"/>
        <v>0</v>
      </c>
      <c r="S36" s="764">
        <f>+'WP-10 - Disposal'!$P$46</f>
        <v>0.86738983940594916</v>
      </c>
      <c r="T36" s="753">
        <f t="shared" si="24"/>
        <v>0</v>
      </c>
      <c r="U36" s="753">
        <f t="shared" si="25"/>
        <v>3756</v>
      </c>
      <c r="V36" s="753">
        <f t="shared" si="26"/>
        <v>3257.916236808745</v>
      </c>
      <c r="W36" s="764">
        <v>1</v>
      </c>
      <c r="X36" s="753">
        <f t="shared" si="27"/>
        <v>3257.916236808745</v>
      </c>
      <c r="Y36" s="753">
        <f t="shared" si="28"/>
        <v>3257.916236808745</v>
      </c>
      <c r="Z36" s="753">
        <f t="shared" si="29"/>
        <v>0</v>
      </c>
      <c r="AA36" s="753">
        <f t="shared" si="30"/>
        <v>82.833333333333329</v>
      </c>
      <c r="AB36" s="753">
        <f t="shared" si="31"/>
        <v>123</v>
      </c>
      <c r="AC36" s="753">
        <f t="shared" si="32"/>
        <v>97.833333333333329</v>
      </c>
      <c r="AD36" s="753">
        <f t="shared" si="33"/>
        <v>122</v>
      </c>
      <c r="AE36" s="753">
        <f t="shared" si="34"/>
        <v>-8.3333333333333329E-2</v>
      </c>
      <c r="AF36" s="753">
        <f t="shared" si="35"/>
        <v>498.083763191255</v>
      </c>
      <c r="AG36" s="753"/>
      <c r="AH36" s="753"/>
      <c r="AI36" s="753"/>
    </row>
    <row r="37" spans="2:37">
      <c r="B37" s="41" t="s">
        <v>295</v>
      </c>
      <c r="C37" s="41">
        <v>1985</v>
      </c>
      <c r="D37" s="41">
        <v>85</v>
      </c>
      <c r="E37" s="41">
        <v>12</v>
      </c>
      <c r="F37" s="763">
        <v>0</v>
      </c>
      <c r="G37" s="756" t="s">
        <v>153</v>
      </c>
      <c r="H37" s="41">
        <v>19</v>
      </c>
      <c r="I37" s="41">
        <f t="shared" si="18"/>
        <v>104</v>
      </c>
      <c r="L37" s="753">
        <v>1363.49</v>
      </c>
      <c r="M37" s="753">
        <v>0</v>
      </c>
      <c r="N37" s="753">
        <f t="shared" si="19"/>
        <v>1363.49</v>
      </c>
      <c r="O37" s="753">
        <f t="shared" si="20"/>
        <v>5.9802192982456139</v>
      </c>
      <c r="P37" s="753">
        <f t="shared" si="21"/>
        <v>0</v>
      </c>
      <c r="Q37" s="753">
        <f t="shared" si="22"/>
        <v>0</v>
      </c>
      <c r="R37" s="753">
        <f t="shared" si="23"/>
        <v>0</v>
      </c>
      <c r="S37" s="764">
        <f>+'WP-10 - Disposal'!$P$46</f>
        <v>0.86738983940594916</v>
      </c>
      <c r="T37" s="753">
        <f t="shared" si="24"/>
        <v>0</v>
      </c>
      <c r="U37" s="753">
        <f t="shared" si="25"/>
        <v>1363.49</v>
      </c>
      <c r="V37" s="753">
        <f t="shared" si="26"/>
        <v>1182.6773721316176</v>
      </c>
      <c r="W37" s="764">
        <v>1</v>
      </c>
      <c r="X37" s="753">
        <f t="shared" si="27"/>
        <v>1182.6773721316176</v>
      </c>
      <c r="Y37" s="753">
        <f t="shared" si="28"/>
        <v>1182.6773721316176</v>
      </c>
      <c r="Z37" s="753">
        <f t="shared" si="29"/>
        <v>0</v>
      </c>
      <c r="AA37" s="753">
        <f t="shared" si="30"/>
        <v>85.916666666666671</v>
      </c>
      <c r="AB37" s="753">
        <f t="shared" si="31"/>
        <v>123</v>
      </c>
      <c r="AC37" s="753">
        <f t="shared" si="32"/>
        <v>104.91666666666667</v>
      </c>
      <c r="AD37" s="753">
        <f t="shared" si="33"/>
        <v>122</v>
      </c>
      <c r="AE37" s="753">
        <f t="shared" si="34"/>
        <v>-8.3333333333333329E-2</v>
      </c>
      <c r="AF37" s="753">
        <f t="shared" si="35"/>
        <v>180.81262786838238</v>
      </c>
      <c r="AG37" s="753"/>
      <c r="AH37" s="753"/>
      <c r="AI37" s="753"/>
    </row>
    <row r="38" spans="2:37">
      <c r="B38" s="41" t="s">
        <v>296</v>
      </c>
      <c r="C38" s="41">
        <v>1986</v>
      </c>
      <c r="D38" s="41">
        <v>86</v>
      </c>
      <c r="E38" s="41">
        <v>10</v>
      </c>
      <c r="F38" s="763">
        <v>0</v>
      </c>
      <c r="G38" s="756" t="s">
        <v>153</v>
      </c>
      <c r="H38" s="41">
        <v>19</v>
      </c>
      <c r="I38" s="41">
        <f t="shared" si="18"/>
        <v>105</v>
      </c>
      <c r="L38" s="753">
        <v>1255.81</v>
      </c>
      <c r="M38" s="753">
        <v>0</v>
      </c>
      <c r="N38" s="753">
        <f t="shared" si="19"/>
        <v>1255.81</v>
      </c>
      <c r="O38" s="753">
        <f t="shared" si="20"/>
        <v>5.5079385964912282</v>
      </c>
      <c r="P38" s="753">
        <f t="shared" si="21"/>
        <v>0</v>
      </c>
      <c r="Q38" s="753">
        <f t="shared" si="22"/>
        <v>0</v>
      </c>
      <c r="R38" s="753">
        <f t="shared" si="23"/>
        <v>0</v>
      </c>
      <c r="S38" s="764">
        <f>+'WP-10 - Disposal'!$P$46</f>
        <v>0.86738983940594916</v>
      </c>
      <c r="T38" s="753">
        <f t="shared" si="24"/>
        <v>0</v>
      </c>
      <c r="U38" s="753">
        <f t="shared" si="25"/>
        <v>1255.81</v>
      </c>
      <c r="V38" s="753">
        <f t="shared" si="26"/>
        <v>1089.2768342243849</v>
      </c>
      <c r="W38" s="764">
        <v>1</v>
      </c>
      <c r="X38" s="753">
        <f t="shared" si="27"/>
        <v>1089.2768342243849</v>
      </c>
      <c r="Y38" s="753">
        <f t="shared" si="28"/>
        <v>1089.2768342243849</v>
      </c>
      <c r="Z38" s="753">
        <f t="shared" si="29"/>
        <v>0</v>
      </c>
      <c r="AA38" s="753">
        <f t="shared" si="30"/>
        <v>86.75</v>
      </c>
      <c r="AB38" s="753">
        <f t="shared" si="31"/>
        <v>123</v>
      </c>
      <c r="AC38" s="753">
        <f t="shared" si="32"/>
        <v>105.75</v>
      </c>
      <c r="AD38" s="753">
        <f t="shared" si="33"/>
        <v>122</v>
      </c>
      <c r="AE38" s="753">
        <f t="shared" si="34"/>
        <v>-8.3333333333333329E-2</v>
      </c>
      <c r="AF38" s="753">
        <f t="shared" si="35"/>
        <v>166.53316577561509</v>
      </c>
      <c r="AG38" s="753"/>
      <c r="AH38" s="753"/>
      <c r="AI38" s="753"/>
    </row>
    <row r="39" spans="2:37">
      <c r="B39" s="41" t="s">
        <v>297</v>
      </c>
      <c r="C39" s="41">
        <v>2003</v>
      </c>
      <c r="D39" s="41">
        <v>103</v>
      </c>
      <c r="E39" s="41">
        <v>4</v>
      </c>
      <c r="F39" s="763">
        <v>0</v>
      </c>
      <c r="G39" s="756" t="s">
        <v>153</v>
      </c>
      <c r="H39" s="41">
        <v>25</v>
      </c>
      <c r="I39" s="41">
        <f t="shared" si="18"/>
        <v>128</v>
      </c>
      <c r="L39" s="753">
        <v>6964.72</v>
      </c>
      <c r="M39" s="753">
        <v>0</v>
      </c>
      <c r="N39" s="753">
        <f t="shared" si="19"/>
        <v>6964.72</v>
      </c>
      <c r="O39" s="753">
        <f t="shared" si="20"/>
        <v>23.215733333333333</v>
      </c>
      <c r="P39" s="753">
        <f t="shared" si="21"/>
        <v>278.58879999999999</v>
      </c>
      <c r="Q39" s="753">
        <f t="shared" si="22"/>
        <v>0</v>
      </c>
      <c r="R39" s="753">
        <f t="shared" si="23"/>
        <v>278.58879999999999</v>
      </c>
      <c r="S39" s="764">
        <f>+'WP-10 - Disposal'!$P$46</f>
        <v>0.86738983940594916</v>
      </c>
      <c r="T39" s="753">
        <f t="shared" si="24"/>
        <v>241.6450944922961</v>
      </c>
      <c r="U39" s="753">
        <f t="shared" si="25"/>
        <v>5223.54</v>
      </c>
      <c r="V39" s="753">
        <f t="shared" si="26"/>
        <v>4530.8455217305518</v>
      </c>
      <c r="W39" s="764">
        <v>1</v>
      </c>
      <c r="X39" s="753">
        <f t="shared" si="27"/>
        <v>4530.8455217305518</v>
      </c>
      <c r="Y39" s="753">
        <f t="shared" si="28"/>
        <v>4772.4906162228481</v>
      </c>
      <c r="Z39" s="753">
        <f t="shared" si="29"/>
        <v>1268.636746084554</v>
      </c>
      <c r="AA39" s="753">
        <f t="shared" si="30"/>
        <v>103.25</v>
      </c>
      <c r="AB39" s="753">
        <f t="shared" si="31"/>
        <v>123</v>
      </c>
      <c r="AC39" s="753">
        <f t="shared" si="32"/>
        <v>128.25</v>
      </c>
      <c r="AD39" s="753">
        <f t="shared" si="33"/>
        <v>122</v>
      </c>
      <c r="AE39" s="753">
        <f t="shared" si="34"/>
        <v>-8.3333333333333329E-2</v>
      </c>
      <c r="AF39" s="753">
        <f t="shared" si="35"/>
        <v>1044.4151849387463</v>
      </c>
      <c r="AG39" s="753"/>
      <c r="AH39" s="753"/>
      <c r="AI39" s="753"/>
    </row>
    <row r="40" spans="2:37">
      <c r="B40" s="41" t="s">
        <v>298</v>
      </c>
      <c r="C40" s="41">
        <v>2007</v>
      </c>
      <c r="D40" s="41">
        <v>107</v>
      </c>
      <c r="E40" s="41">
        <v>1</v>
      </c>
      <c r="F40" s="763">
        <v>0</v>
      </c>
      <c r="G40" s="756" t="s">
        <v>153</v>
      </c>
      <c r="H40" s="41">
        <v>15</v>
      </c>
      <c r="I40" s="41">
        <f t="shared" si="18"/>
        <v>122</v>
      </c>
      <c r="L40" s="753">
        <v>1905.93</v>
      </c>
      <c r="M40" s="753">
        <v>0</v>
      </c>
      <c r="N40" s="753">
        <f t="shared" si="19"/>
        <v>1905.93</v>
      </c>
      <c r="O40" s="753">
        <f t="shared" si="20"/>
        <v>10.5885</v>
      </c>
      <c r="P40" s="753">
        <f t="shared" si="21"/>
        <v>0</v>
      </c>
      <c r="Q40" s="753">
        <f t="shared" si="22"/>
        <v>0</v>
      </c>
      <c r="R40" s="753">
        <f t="shared" si="23"/>
        <v>0</v>
      </c>
      <c r="S40" s="764">
        <f>+'WP-10 - Disposal'!$P$46</f>
        <v>0.86738983940594916</v>
      </c>
      <c r="T40" s="753">
        <f t="shared" si="24"/>
        <v>0</v>
      </c>
      <c r="U40" s="753">
        <f t="shared" si="25"/>
        <v>1905.93</v>
      </c>
      <c r="V40" s="753">
        <f t="shared" si="26"/>
        <v>1653.1843166189808</v>
      </c>
      <c r="W40" s="764">
        <v>1</v>
      </c>
      <c r="X40" s="753">
        <f t="shared" si="27"/>
        <v>1653.1843166189808</v>
      </c>
      <c r="Y40" s="753">
        <f t="shared" si="28"/>
        <v>1653.1843166189808</v>
      </c>
      <c r="Z40" s="753">
        <f t="shared" si="29"/>
        <v>0</v>
      </c>
      <c r="AA40" s="753">
        <f t="shared" si="30"/>
        <v>107</v>
      </c>
      <c r="AB40" s="753">
        <f t="shared" si="31"/>
        <v>123</v>
      </c>
      <c r="AC40" s="753">
        <f t="shared" si="32"/>
        <v>122</v>
      </c>
      <c r="AD40" s="753">
        <f t="shared" si="33"/>
        <v>122</v>
      </c>
      <c r="AE40" s="753">
        <f t="shared" si="34"/>
        <v>-8.3333333333333329E-2</v>
      </c>
      <c r="AF40" s="753">
        <f t="shared" si="35"/>
        <v>252.74568338101926</v>
      </c>
      <c r="AG40" s="753"/>
      <c r="AH40" s="753"/>
      <c r="AI40" s="753"/>
    </row>
    <row r="41" spans="2:37">
      <c r="B41" s="41" t="s">
        <v>288</v>
      </c>
      <c r="C41" s="41">
        <v>2008</v>
      </c>
      <c r="D41" s="41">
        <v>108</v>
      </c>
      <c r="E41" s="41">
        <v>11</v>
      </c>
      <c r="F41" s="763">
        <v>0</v>
      </c>
      <c r="G41" s="756" t="s">
        <v>153</v>
      </c>
      <c r="H41" s="41">
        <v>15</v>
      </c>
      <c r="I41" s="41">
        <f>D41+H41</f>
        <v>123</v>
      </c>
      <c r="L41" s="753">
        <v>5725.4</v>
      </c>
      <c r="M41" s="753">
        <v>0</v>
      </c>
      <c r="N41" s="753">
        <f>L41-(+L41*F41)</f>
        <v>5725.4</v>
      </c>
      <c r="O41" s="753">
        <f>N41/H41/12</f>
        <v>31.807777777777776</v>
      </c>
      <c r="P41" s="753">
        <f t="shared" si="21"/>
        <v>381.69333333333333</v>
      </c>
      <c r="Q41" s="753">
        <f t="shared" si="22"/>
        <v>0</v>
      </c>
      <c r="R41" s="753">
        <f>IF(Q41&gt;0,Q41,P41)</f>
        <v>381.69333333333333</v>
      </c>
      <c r="S41" s="764">
        <f>+'WP-10 - Disposal'!$P$46</f>
        <v>0.86738983940594916</v>
      </c>
      <c r="T41" s="753">
        <f>S41*SUM(P41:Q41)</f>
        <v>331.07691910232143</v>
      </c>
      <c r="U41" s="753">
        <f t="shared" si="25"/>
        <v>5025.6288888888903</v>
      </c>
      <c r="V41" s="753">
        <f>U41*S41</f>
        <v>4359.1794348472331</v>
      </c>
      <c r="W41" s="764">
        <v>1</v>
      </c>
      <c r="X41" s="753">
        <f>V41*W41</f>
        <v>4359.1794348472331</v>
      </c>
      <c r="Y41" s="753">
        <f>IF(M41&gt;0,0,X41+T41*W41)*W41</f>
        <v>4690.256353949555</v>
      </c>
      <c r="Z41" s="753">
        <f t="shared" si="29"/>
        <v>275.89743258526596</v>
      </c>
      <c r="AA41" s="753">
        <f>$D41+(($E41-1)/12)</f>
        <v>108.83333333333333</v>
      </c>
      <c r="AB41" s="753">
        <f t="shared" si="4"/>
        <v>123</v>
      </c>
      <c r="AC41" s="753">
        <f>$I41+(($E41-1)/12)</f>
        <v>123.83333333333333</v>
      </c>
      <c r="AD41" s="753">
        <f t="shared" si="6"/>
        <v>122</v>
      </c>
      <c r="AE41" s="753">
        <f>$J41+(($K41-1)/12)</f>
        <v>-8.3333333333333329E-2</v>
      </c>
      <c r="AF41" s="753">
        <f t="shared" si="35"/>
        <v>924.78467301633918</v>
      </c>
    </row>
    <row r="42" spans="2:37">
      <c r="B42" s="41" t="s">
        <v>299</v>
      </c>
      <c r="C42" s="41">
        <v>2011</v>
      </c>
      <c r="D42" s="41">
        <v>111</v>
      </c>
      <c r="E42" s="41">
        <v>6</v>
      </c>
      <c r="F42" s="763">
        <v>0</v>
      </c>
      <c r="G42" s="756" t="s">
        <v>153</v>
      </c>
      <c r="H42" s="41">
        <v>15</v>
      </c>
      <c r="I42" s="41">
        <f t="shared" si="18"/>
        <v>126</v>
      </c>
      <c r="L42" s="753">
        <v>23970</v>
      </c>
      <c r="M42" s="753">
        <v>0</v>
      </c>
      <c r="N42" s="753">
        <f t="shared" si="19"/>
        <v>23970</v>
      </c>
      <c r="O42" s="753">
        <f t="shared" si="20"/>
        <v>133.16666666666666</v>
      </c>
      <c r="P42" s="753">
        <f t="shared" si="21"/>
        <v>1598</v>
      </c>
      <c r="Q42" s="753">
        <f t="shared" si="22"/>
        <v>0</v>
      </c>
      <c r="R42" s="753">
        <f t="shared" si="23"/>
        <v>1598</v>
      </c>
      <c r="S42" s="764">
        <f>+'WP-10 - Disposal'!$P$46</f>
        <v>0.86738983940594916</v>
      </c>
      <c r="T42" s="753">
        <f t="shared" si="24"/>
        <v>1386.0889633707068</v>
      </c>
      <c r="U42" s="753">
        <f t="shared" si="25"/>
        <v>16912.166666666657</v>
      </c>
      <c r="V42" s="753">
        <f t="shared" si="26"/>
        <v>14669.441529006637</v>
      </c>
      <c r="W42" s="764">
        <v>1</v>
      </c>
      <c r="X42" s="753">
        <f t="shared" si="27"/>
        <v>14669.441529006637</v>
      </c>
      <c r="Y42" s="753">
        <f t="shared" si="28"/>
        <v>16055.530492377344</v>
      </c>
      <c r="Z42" s="753">
        <f t="shared" si="29"/>
        <v>4735.8039581832563</v>
      </c>
      <c r="AA42" s="753">
        <f t="shared" si="30"/>
        <v>111.41666666666667</v>
      </c>
      <c r="AB42" s="753">
        <f t="shared" si="31"/>
        <v>123</v>
      </c>
      <c r="AC42" s="753">
        <f t="shared" si="32"/>
        <v>126.41666666666667</v>
      </c>
      <c r="AD42" s="753">
        <f t="shared" si="33"/>
        <v>122</v>
      </c>
      <c r="AE42" s="753">
        <f t="shared" si="34"/>
        <v>-8.3333333333333329E-2</v>
      </c>
      <c r="AF42" s="753">
        <f t="shared" si="35"/>
        <v>3871.7100311247523</v>
      </c>
      <c r="AG42" s="753"/>
      <c r="AH42" s="753"/>
      <c r="AI42" s="753"/>
    </row>
    <row r="43" spans="2:37">
      <c r="B43" s="41" t="s">
        <v>294</v>
      </c>
      <c r="C43" s="41">
        <v>2014</v>
      </c>
      <c r="D43" s="41">
        <v>114</v>
      </c>
      <c r="E43" s="41">
        <v>5</v>
      </c>
      <c r="F43" s="763">
        <v>0</v>
      </c>
      <c r="G43" s="756" t="s">
        <v>153</v>
      </c>
      <c r="H43" s="41">
        <v>39</v>
      </c>
      <c r="I43" s="41">
        <f t="shared" si="18"/>
        <v>153</v>
      </c>
      <c r="L43" s="753">
        <v>27357.62</v>
      </c>
      <c r="M43" s="753">
        <v>0</v>
      </c>
      <c r="N43" s="753">
        <f t="shared" si="19"/>
        <v>27357.62</v>
      </c>
      <c r="O43" s="753">
        <f t="shared" si="20"/>
        <v>58.456452991452984</v>
      </c>
      <c r="P43" s="753">
        <f t="shared" si="21"/>
        <v>701.47743589743584</v>
      </c>
      <c r="Q43" s="753">
        <f t="shared" si="22"/>
        <v>0</v>
      </c>
      <c r="R43" s="753">
        <f t="shared" si="23"/>
        <v>701.47743589743584</v>
      </c>
      <c r="S43" s="764">
        <f>+'WP-10 - Disposal'!$P$46</f>
        <v>0.86738983940594916</v>
      </c>
      <c r="T43" s="753">
        <f t="shared" si="24"/>
        <v>608.45440046997385</v>
      </c>
      <c r="U43" s="753">
        <f t="shared" si="25"/>
        <v>5377.9936752136782</v>
      </c>
      <c r="V43" s="753">
        <f t="shared" si="26"/>
        <v>4664.8170702698026</v>
      </c>
      <c r="W43" s="764">
        <v>1</v>
      </c>
      <c r="X43" s="753">
        <f t="shared" si="27"/>
        <v>4664.8170702698026</v>
      </c>
      <c r="Y43" s="753">
        <f t="shared" si="28"/>
        <v>5273.2714707397763</v>
      </c>
      <c r="Z43" s="753">
        <f t="shared" si="29"/>
        <v>18456.450147589207</v>
      </c>
      <c r="AA43" s="753">
        <f t="shared" si="30"/>
        <v>114.33333333333333</v>
      </c>
      <c r="AB43" s="753">
        <f t="shared" si="31"/>
        <v>123</v>
      </c>
      <c r="AC43" s="753">
        <f t="shared" si="32"/>
        <v>153.33333333333334</v>
      </c>
      <c r="AD43" s="753">
        <f t="shared" si="33"/>
        <v>122</v>
      </c>
      <c r="AE43" s="753">
        <f t="shared" si="34"/>
        <v>-8.3333333333333329E-2</v>
      </c>
      <c r="AF43" s="753">
        <f t="shared" si="35"/>
        <v>3932.1255819060025</v>
      </c>
      <c r="AG43" s="753"/>
      <c r="AH43" s="753"/>
      <c r="AI43" s="753"/>
    </row>
    <row r="44" spans="2:37">
      <c r="B44" s="41" t="s">
        <v>300</v>
      </c>
      <c r="C44" s="41">
        <v>2014</v>
      </c>
      <c r="D44" s="41">
        <v>114</v>
      </c>
      <c r="E44" s="41">
        <v>5</v>
      </c>
      <c r="F44" s="763">
        <v>0</v>
      </c>
      <c r="G44" s="756" t="s">
        <v>153</v>
      </c>
      <c r="H44" s="41">
        <v>39</v>
      </c>
      <c r="I44" s="41">
        <f t="shared" si="18"/>
        <v>153</v>
      </c>
      <c r="L44" s="753">
        <v>4358.96</v>
      </c>
      <c r="M44" s="753">
        <v>0</v>
      </c>
      <c r="N44" s="753">
        <f t="shared" si="19"/>
        <v>4358.96</v>
      </c>
      <c r="O44" s="753">
        <f t="shared" si="20"/>
        <v>9.3140170940170943</v>
      </c>
      <c r="P44" s="753">
        <f t="shared" si="21"/>
        <v>111.76820512820512</v>
      </c>
      <c r="Q44" s="753">
        <f t="shared" si="22"/>
        <v>0</v>
      </c>
      <c r="R44" s="753">
        <f t="shared" si="23"/>
        <v>111.76820512820512</v>
      </c>
      <c r="S44" s="764">
        <f>+'WP-10 - Disposal'!$P$46</f>
        <v>0.86738983940594916</v>
      </c>
      <c r="T44" s="753">
        <f t="shared" si="24"/>
        <v>96.946605496845024</v>
      </c>
      <c r="U44" s="753">
        <f t="shared" si="25"/>
        <v>856.88957264957321</v>
      </c>
      <c r="V44" s="753">
        <f t="shared" si="26"/>
        <v>743.25730880914568</v>
      </c>
      <c r="W44" s="764">
        <v>1</v>
      </c>
      <c r="X44" s="753">
        <f t="shared" si="27"/>
        <v>743.25730880914568</v>
      </c>
      <c r="Y44" s="753">
        <f t="shared" si="28"/>
        <v>840.20391430599068</v>
      </c>
      <c r="Z44" s="766">
        <f t="shared" si="29"/>
        <v>2940.7137000709654</v>
      </c>
      <c r="AA44" s="753">
        <f t="shared" si="30"/>
        <v>114.33333333333333</v>
      </c>
      <c r="AB44" s="753">
        <f t="shared" si="31"/>
        <v>123</v>
      </c>
      <c r="AC44" s="753">
        <f t="shared" si="32"/>
        <v>153.33333333333334</v>
      </c>
      <c r="AD44" s="753">
        <f t="shared" si="33"/>
        <v>122</v>
      </c>
      <c r="AE44" s="753">
        <f t="shared" si="34"/>
        <v>-8.3333333333333329E-2</v>
      </c>
      <c r="AF44" s="766">
        <f t="shared" si="35"/>
        <v>626.51568837146624</v>
      </c>
      <c r="AG44" s="753"/>
      <c r="AH44" s="753"/>
      <c r="AI44" s="753"/>
    </row>
    <row r="45" spans="2:37">
      <c r="B45" s="221" t="s">
        <v>762</v>
      </c>
      <c r="L45" s="223">
        <f>SUM(L35:L44)</f>
        <v>80962.53</v>
      </c>
      <c r="M45" s="753"/>
      <c r="N45" s="223">
        <f>SUM(N35:N44)</f>
        <v>80962.53</v>
      </c>
      <c r="O45" s="223">
        <f>SUM(O35:O44)</f>
        <v>322.81841686909581</v>
      </c>
      <c r="P45" s="223">
        <f>SUM(P35:P44)</f>
        <v>3071.5277743589741</v>
      </c>
      <c r="Q45" s="223">
        <f>SUM(Q35:Q44)</f>
        <v>0</v>
      </c>
      <c r="R45" s="223">
        <f>SUM(R35:R44)</f>
        <v>3071.5277743589741</v>
      </c>
      <c r="S45" s="765"/>
      <c r="T45" s="223">
        <f>SUM(T35:T44)</f>
        <v>2664.2119829321432</v>
      </c>
      <c r="U45" s="223">
        <f>SUM(U35:U44)</f>
        <v>45982.048803418802</v>
      </c>
      <c r="V45" s="223">
        <f>SUM(V35:V44)</f>
        <v>39884.36192715395</v>
      </c>
      <c r="W45" s="765"/>
      <c r="X45" s="223">
        <f>SUM(X35:X44)</f>
        <v>39884.36192715395</v>
      </c>
      <c r="Y45" s="223">
        <f>SUM(Y35:Y44)</f>
        <v>42548.573910086088</v>
      </c>
      <c r="Z45" s="223">
        <f>SUM(Z35:Z44)</f>
        <v>27677.501984513248</v>
      </c>
      <c r="AA45" s="753"/>
      <c r="AB45" s="753"/>
      <c r="AC45" s="753"/>
      <c r="AD45" s="753"/>
      <c r="AE45" s="753"/>
      <c r="AF45" s="753">
        <f>SUM(AF35:AF44)</f>
        <v>12068.56009686673</v>
      </c>
      <c r="AG45" s="753"/>
      <c r="AH45" s="753"/>
      <c r="AI45" s="753"/>
    </row>
    <row r="46" spans="2:37" ht="18" customHeight="1">
      <c r="B46" s="55"/>
      <c r="L46" s="753"/>
      <c r="M46" s="753"/>
      <c r="N46" s="753"/>
      <c r="O46" s="753"/>
      <c r="P46" s="753"/>
      <c r="Q46" s="753"/>
      <c r="R46" s="753"/>
      <c r="S46" s="765"/>
      <c r="T46" s="753"/>
      <c r="U46" s="753"/>
      <c r="V46" s="753"/>
      <c r="W46" s="765"/>
      <c r="X46" s="753"/>
      <c r="Y46" s="753"/>
      <c r="Z46" s="753"/>
      <c r="AA46" s="753"/>
      <c r="AB46" s="753"/>
      <c r="AC46" s="753"/>
      <c r="AD46" s="753"/>
      <c r="AE46" s="753"/>
      <c r="AF46" s="753"/>
      <c r="AG46" s="753"/>
      <c r="AH46" s="753"/>
      <c r="AI46" s="753"/>
    </row>
    <row r="47" spans="2:37">
      <c r="B47" s="55" t="s">
        <v>381</v>
      </c>
      <c r="C47" s="767"/>
      <c r="D47" s="767"/>
      <c r="F47" s="763"/>
      <c r="L47" s="753"/>
      <c r="M47" s="753"/>
      <c r="N47" s="753"/>
      <c r="O47" s="753"/>
      <c r="P47" s="753"/>
      <c r="Q47" s="753"/>
      <c r="R47" s="753"/>
      <c r="S47" s="764"/>
      <c r="T47" s="753"/>
      <c r="U47" s="753"/>
      <c r="V47" s="753"/>
      <c r="W47" s="764"/>
      <c r="X47" s="753"/>
      <c r="Y47" s="753"/>
      <c r="Z47" s="753"/>
      <c r="AA47" s="753"/>
      <c r="AB47" s="753"/>
      <c r="AC47" s="753"/>
      <c r="AD47" s="753"/>
      <c r="AE47" s="753"/>
      <c r="AF47" s="753"/>
      <c r="AG47" s="753"/>
      <c r="AH47" s="753"/>
      <c r="AI47" s="753"/>
    </row>
    <row r="48" spans="2:37">
      <c r="B48" s="41" t="s">
        <v>328</v>
      </c>
      <c r="C48" s="41">
        <v>1990</v>
      </c>
      <c r="D48" s="41">
        <v>90</v>
      </c>
      <c r="E48" s="41">
        <v>10</v>
      </c>
      <c r="F48" s="763">
        <v>0</v>
      </c>
      <c r="G48" s="756" t="s">
        <v>153</v>
      </c>
      <c r="H48" s="41">
        <v>8</v>
      </c>
      <c r="I48" s="41">
        <f t="shared" ref="I48:I68" si="36">D48+H48</f>
        <v>98</v>
      </c>
      <c r="L48" s="753">
        <v>20762.89</v>
      </c>
      <c r="M48" s="753">
        <v>0</v>
      </c>
      <c r="N48" s="753">
        <f t="shared" ref="N48:N57" si="37">L48-(+L48*F48)</f>
        <v>20762.89</v>
      </c>
      <c r="O48" s="753">
        <f t="shared" ref="O48:O57" si="38">N48/H48/12</f>
        <v>216.28010416666666</v>
      </c>
      <c r="P48" s="753">
        <f t="shared" ref="P48:P67" si="39">IF(Q48&gt;0,0,IF(OR(AA48&gt;AB48,AC48&lt;AD48),0,IF(AND(AC48&gt;=AD48,AC48&lt;=AB48),O48*((AC48-AD48)*12),IF(AND(AD48&lt;=AA48,AB48&gt;=AA48),((AB48-AA48)*12)*O48,IF(AC48&gt;AB48,12*O48,0)))))</f>
        <v>0</v>
      </c>
      <c r="Q48" s="753">
        <f t="shared" ref="Q48:Q67" si="40">IF(M48=0,0,IF(AND(AE48&gt;=AD48,AE48&lt;=AC48),((AE48-AD48)*12)*O48,0))</f>
        <v>0</v>
      </c>
      <c r="R48" s="753">
        <f t="shared" ref="R48:R57" si="41">IF(Q48&gt;0,Q48,P48)</f>
        <v>0</v>
      </c>
      <c r="S48" s="764">
        <f>+'WP-11 - Non-Regulated'!$N$57</f>
        <v>0.87226151155039422</v>
      </c>
      <c r="T48" s="753">
        <f t="shared" ref="T48:T57" si="42">S48*SUM(P48:Q48)</f>
        <v>0</v>
      </c>
      <c r="U48" s="753">
        <f t="shared" ref="U48:U67" si="43">IF(AA48&gt;AB48,0,IF(AC48&lt;AD48,N48,IF(AND(AC48&gt;=AD48,AC48&lt;=AB48),(N48-R48),IF(AND(AD48&lt;=AA48,AB48&gt;=AA48),0,IF(AC48&gt;AB48,((AD48-AA48)*12)*O48,0)))))</f>
        <v>20762.89</v>
      </c>
      <c r="V48" s="753">
        <f t="shared" ref="V48:V57" si="44">U48*S48</f>
        <v>18110.669815554564</v>
      </c>
      <c r="W48" s="764">
        <v>1</v>
      </c>
      <c r="X48" s="753">
        <f t="shared" ref="X48:X57" si="45">V48*W48</f>
        <v>18110.669815554564</v>
      </c>
      <c r="Y48" s="753">
        <f t="shared" ref="Y48:Y57" si="46">IF(M48&gt;0,0,X48+T48*W48)*W48</f>
        <v>18110.669815554564</v>
      </c>
      <c r="Z48" s="753">
        <f t="shared" ref="Z48:Z79" si="47">IF(M48&gt;0,(L48-X48)/2,IF(AA48&gt;=AD48,(((L48*S48)*W48)-Y48),(+(((L48*S48)*W48)-Y48))))</f>
        <v>0</v>
      </c>
      <c r="AA48" s="753">
        <f t="shared" ref="AA48:AA103" si="48">$D48+(($E48-1)/12)</f>
        <v>90.75</v>
      </c>
      <c r="AB48" s="753">
        <f t="shared" ref="AB48:AB102" si="49">($B$10+1)-($B$7/12)</f>
        <v>123</v>
      </c>
      <c r="AC48" s="753">
        <f t="shared" ref="AC48:AC102" si="50">$I48+(($E48-1)/12)</f>
        <v>98.75</v>
      </c>
      <c r="AD48" s="753">
        <f t="shared" ref="AD48:AD102" si="51">$B$9+($B$8/12)</f>
        <v>122</v>
      </c>
      <c r="AE48" s="753">
        <f t="shared" ref="AE48:AE102" si="52">$J48+(($K48-1)/12)</f>
        <v>-8.3333333333333329E-2</v>
      </c>
      <c r="AF48" s="753">
        <f t="shared" ref="AF48:AF67" si="53">L48-((X48+Y48)/2)-Z48</f>
        <v>2652.2201844454357</v>
      </c>
      <c r="AG48" s="753"/>
      <c r="AH48" s="753"/>
      <c r="AI48" s="753"/>
    </row>
    <row r="49" spans="1:35">
      <c r="B49" s="41" t="s">
        <v>479</v>
      </c>
      <c r="C49" s="41">
        <v>1995</v>
      </c>
      <c r="D49" s="41">
        <v>95</v>
      </c>
      <c r="E49" s="41">
        <v>4</v>
      </c>
      <c r="F49" s="763">
        <v>0</v>
      </c>
      <c r="G49" s="756" t="s">
        <v>153</v>
      </c>
      <c r="H49" s="41">
        <v>6</v>
      </c>
      <c r="I49" s="41">
        <f t="shared" si="36"/>
        <v>101</v>
      </c>
      <c r="L49" s="753">
        <v>26180.17</v>
      </c>
      <c r="M49" s="753">
        <v>0</v>
      </c>
      <c r="N49" s="753">
        <f t="shared" si="37"/>
        <v>26180.17</v>
      </c>
      <c r="O49" s="753">
        <f t="shared" si="38"/>
        <v>363.61347222222224</v>
      </c>
      <c r="P49" s="753">
        <f t="shared" si="39"/>
        <v>0</v>
      </c>
      <c r="Q49" s="753">
        <f t="shared" si="40"/>
        <v>0</v>
      </c>
      <c r="R49" s="753">
        <f t="shared" si="41"/>
        <v>0</v>
      </c>
      <c r="S49" s="764">
        <f>+'WP-11 - Non-Regulated'!$N$57</f>
        <v>0.87226151155039422</v>
      </c>
      <c r="T49" s="753">
        <f t="shared" si="42"/>
        <v>0</v>
      </c>
      <c r="U49" s="753">
        <f t="shared" si="43"/>
        <v>26180.17</v>
      </c>
      <c r="V49" s="753">
        <f t="shared" si="44"/>
        <v>22835.954656846283</v>
      </c>
      <c r="W49" s="764">
        <v>1</v>
      </c>
      <c r="X49" s="753">
        <f t="shared" si="45"/>
        <v>22835.954656846283</v>
      </c>
      <c r="Y49" s="753">
        <f t="shared" si="46"/>
        <v>22835.954656846283</v>
      </c>
      <c r="Z49" s="753">
        <f t="shared" si="47"/>
        <v>0</v>
      </c>
      <c r="AA49" s="753">
        <f t="shared" si="48"/>
        <v>95.25</v>
      </c>
      <c r="AB49" s="753">
        <f t="shared" si="49"/>
        <v>123</v>
      </c>
      <c r="AC49" s="753">
        <f t="shared" si="50"/>
        <v>101.25</v>
      </c>
      <c r="AD49" s="753">
        <f t="shared" si="51"/>
        <v>122</v>
      </c>
      <c r="AE49" s="753">
        <f t="shared" si="52"/>
        <v>-8.3333333333333329E-2</v>
      </c>
      <c r="AF49" s="753">
        <f t="shared" si="53"/>
        <v>3344.2153431537154</v>
      </c>
      <c r="AG49" s="753"/>
      <c r="AH49" s="753"/>
      <c r="AI49" s="753"/>
    </row>
    <row r="50" spans="1:35">
      <c r="B50" s="41" t="s">
        <v>480</v>
      </c>
      <c r="C50" s="41">
        <v>1995</v>
      </c>
      <c r="D50" s="41">
        <v>95</v>
      </c>
      <c r="E50" s="41">
        <v>6</v>
      </c>
      <c r="F50" s="763">
        <v>0</v>
      </c>
      <c r="G50" s="756" t="s">
        <v>153</v>
      </c>
      <c r="H50" s="41">
        <v>6</v>
      </c>
      <c r="I50" s="41">
        <f t="shared" si="36"/>
        <v>101</v>
      </c>
      <c r="L50" s="753">
        <v>85881.38</v>
      </c>
      <c r="M50" s="753">
        <v>0</v>
      </c>
      <c r="N50" s="753">
        <f t="shared" si="37"/>
        <v>85881.38</v>
      </c>
      <c r="O50" s="753">
        <f t="shared" si="38"/>
        <v>1192.7969444444445</v>
      </c>
      <c r="P50" s="753">
        <f t="shared" si="39"/>
        <v>0</v>
      </c>
      <c r="Q50" s="753">
        <f t="shared" si="40"/>
        <v>0</v>
      </c>
      <c r="R50" s="753">
        <f t="shared" si="41"/>
        <v>0</v>
      </c>
      <c r="S50" s="764">
        <f>+'WP-11 - Non-Regulated'!$N$57</f>
        <v>0.87226151155039422</v>
      </c>
      <c r="T50" s="753">
        <f t="shared" si="42"/>
        <v>0</v>
      </c>
      <c r="U50" s="753">
        <f t="shared" si="43"/>
        <v>85881.38</v>
      </c>
      <c r="V50" s="753">
        <f t="shared" si="44"/>
        <v>74911.022332833803</v>
      </c>
      <c r="W50" s="764">
        <v>1</v>
      </c>
      <c r="X50" s="753">
        <f t="shared" si="45"/>
        <v>74911.022332833803</v>
      </c>
      <c r="Y50" s="753">
        <f t="shared" si="46"/>
        <v>74911.022332833803</v>
      </c>
      <c r="Z50" s="753">
        <f t="shared" si="47"/>
        <v>0</v>
      </c>
      <c r="AA50" s="753">
        <f t="shared" si="48"/>
        <v>95.416666666666671</v>
      </c>
      <c r="AB50" s="753">
        <f t="shared" si="49"/>
        <v>123</v>
      </c>
      <c r="AC50" s="753">
        <f t="shared" si="50"/>
        <v>101.41666666666667</v>
      </c>
      <c r="AD50" s="753">
        <f t="shared" si="51"/>
        <v>122</v>
      </c>
      <c r="AE50" s="753">
        <f t="shared" si="52"/>
        <v>-8.3333333333333329E-2</v>
      </c>
      <c r="AF50" s="753">
        <f t="shared" si="53"/>
        <v>10970.357667166201</v>
      </c>
      <c r="AG50" s="753"/>
      <c r="AH50" s="753"/>
      <c r="AI50" s="753"/>
    </row>
    <row r="51" spans="1:35">
      <c r="B51" s="41" t="s">
        <v>329</v>
      </c>
      <c r="C51" s="41">
        <v>1995</v>
      </c>
      <c r="D51" s="41">
        <v>95</v>
      </c>
      <c r="E51" s="41">
        <v>9</v>
      </c>
      <c r="F51" s="763">
        <v>0</v>
      </c>
      <c r="G51" s="756" t="s">
        <v>153</v>
      </c>
      <c r="H51" s="41">
        <v>6</v>
      </c>
      <c r="I51" s="41">
        <f t="shared" si="36"/>
        <v>101</v>
      </c>
      <c r="L51" s="753">
        <v>47861.71</v>
      </c>
      <c r="M51" s="753">
        <v>0</v>
      </c>
      <c r="N51" s="753">
        <f t="shared" si="37"/>
        <v>47861.71</v>
      </c>
      <c r="O51" s="753">
        <f t="shared" si="38"/>
        <v>664.74597222222224</v>
      </c>
      <c r="P51" s="753">
        <f t="shared" si="39"/>
        <v>0</v>
      </c>
      <c r="Q51" s="753">
        <f t="shared" si="40"/>
        <v>0</v>
      </c>
      <c r="R51" s="753">
        <f t="shared" si="41"/>
        <v>0</v>
      </c>
      <c r="S51" s="764">
        <f>+'WP-11 - Non-Regulated'!$N$57</f>
        <v>0.87226151155039422</v>
      </c>
      <c r="T51" s="753">
        <f t="shared" si="42"/>
        <v>0</v>
      </c>
      <c r="U51" s="753">
        <f t="shared" si="43"/>
        <v>47861.71</v>
      </c>
      <c r="V51" s="753">
        <f t="shared" si="44"/>
        <v>41747.927509986621</v>
      </c>
      <c r="W51" s="764">
        <v>1</v>
      </c>
      <c r="X51" s="753">
        <f t="shared" si="45"/>
        <v>41747.927509986621</v>
      </c>
      <c r="Y51" s="753">
        <f t="shared" si="46"/>
        <v>41747.927509986621</v>
      </c>
      <c r="Z51" s="753">
        <f t="shared" si="47"/>
        <v>0</v>
      </c>
      <c r="AA51" s="753">
        <f t="shared" si="48"/>
        <v>95.666666666666671</v>
      </c>
      <c r="AB51" s="753">
        <f t="shared" si="49"/>
        <v>123</v>
      </c>
      <c r="AC51" s="753">
        <f t="shared" si="50"/>
        <v>101.66666666666667</v>
      </c>
      <c r="AD51" s="753">
        <f t="shared" si="51"/>
        <v>122</v>
      </c>
      <c r="AE51" s="753">
        <f t="shared" si="52"/>
        <v>-8.3333333333333329E-2</v>
      </c>
      <c r="AF51" s="753">
        <f t="shared" si="53"/>
        <v>6113.7824900133783</v>
      </c>
      <c r="AG51" s="753"/>
      <c r="AH51" s="753"/>
      <c r="AI51" s="753"/>
    </row>
    <row r="52" spans="1:35">
      <c r="B52" s="41" t="s">
        <v>481</v>
      </c>
      <c r="C52" s="41">
        <v>1996</v>
      </c>
      <c r="D52" s="41">
        <v>96</v>
      </c>
      <c r="E52" s="41">
        <v>4</v>
      </c>
      <c r="F52" s="763">
        <v>0</v>
      </c>
      <c r="G52" s="756" t="s">
        <v>153</v>
      </c>
      <c r="H52" s="41">
        <v>7</v>
      </c>
      <c r="I52" s="41">
        <f t="shared" si="36"/>
        <v>103</v>
      </c>
      <c r="L52" s="753">
        <v>33188.99</v>
      </c>
      <c r="M52" s="753">
        <v>0</v>
      </c>
      <c r="N52" s="753">
        <f t="shared" si="37"/>
        <v>33188.99</v>
      </c>
      <c r="O52" s="753">
        <f t="shared" si="38"/>
        <v>395.10702380952375</v>
      </c>
      <c r="P52" s="753">
        <f t="shared" si="39"/>
        <v>0</v>
      </c>
      <c r="Q52" s="753">
        <f t="shared" si="40"/>
        <v>0</v>
      </c>
      <c r="R52" s="753">
        <f t="shared" si="41"/>
        <v>0</v>
      </c>
      <c r="S52" s="764">
        <f>+'WP-11 - Non-Regulated'!$N$57</f>
        <v>0.87226151155039422</v>
      </c>
      <c r="T52" s="753">
        <f t="shared" si="42"/>
        <v>0</v>
      </c>
      <c r="U52" s="753">
        <f t="shared" si="43"/>
        <v>33188.99</v>
      </c>
      <c r="V52" s="753">
        <f t="shared" si="44"/>
        <v>28949.478584230917</v>
      </c>
      <c r="W52" s="764">
        <v>1</v>
      </c>
      <c r="X52" s="753">
        <f t="shared" si="45"/>
        <v>28949.478584230917</v>
      </c>
      <c r="Y52" s="753">
        <f t="shared" si="46"/>
        <v>28949.478584230917</v>
      </c>
      <c r="Z52" s="753">
        <f t="shared" si="47"/>
        <v>0</v>
      </c>
      <c r="AA52" s="753">
        <f t="shared" si="48"/>
        <v>96.25</v>
      </c>
      <c r="AB52" s="753">
        <f t="shared" si="49"/>
        <v>123</v>
      </c>
      <c r="AC52" s="753">
        <f t="shared" si="50"/>
        <v>103.25</v>
      </c>
      <c r="AD52" s="753">
        <f t="shared" si="51"/>
        <v>122</v>
      </c>
      <c r="AE52" s="753">
        <f t="shared" si="52"/>
        <v>-8.3333333333333329E-2</v>
      </c>
      <c r="AF52" s="753">
        <f t="shared" si="53"/>
        <v>4239.5114157690805</v>
      </c>
      <c r="AG52" s="753"/>
      <c r="AH52" s="753"/>
      <c r="AI52" s="753"/>
    </row>
    <row r="53" spans="1:35">
      <c r="B53" s="41" t="s">
        <v>330</v>
      </c>
      <c r="C53" s="41">
        <v>1996</v>
      </c>
      <c r="D53" s="41">
        <v>96</v>
      </c>
      <c r="E53" s="41">
        <v>6</v>
      </c>
      <c r="F53" s="763">
        <v>0</v>
      </c>
      <c r="G53" s="756" t="s">
        <v>153</v>
      </c>
      <c r="H53" s="41">
        <v>7</v>
      </c>
      <c r="I53" s="41">
        <f t="shared" si="36"/>
        <v>103</v>
      </c>
      <c r="L53" s="753">
        <v>15689</v>
      </c>
      <c r="M53" s="753">
        <v>0</v>
      </c>
      <c r="N53" s="753">
        <f t="shared" si="37"/>
        <v>15689</v>
      </c>
      <c r="O53" s="753">
        <f t="shared" si="38"/>
        <v>186.77380952380952</v>
      </c>
      <c r="P53" s="753">
        <f t="shared" si="39"/>
        <v>0</v>
      </c>
      <c r="Q53" s="753">
        <f t="shared" si="40"/>
        <v>0</v>
      </c>
      <c r="R53" s="753">
        <f t="shared" si="41"/>
        <v>0</v>
      </c>
      <c r="S53" s="764">
        <f>+'WP-11 - Non-Regulated'!$N$57</f>
        <v>0.87226151155039422</v>
      </c>
      <c r="T53" s="753">
        <f t="shared" si="42"/>
        <v>0</v>
      </c>
      <c r="U53" s="753">
        <f t="shared" si="43"/>
        <v>15689</v>
      </c>
      <c r="V53" s="753">
        <f t="shared" si="44"/>
        <v>13684.910854714135</v>
      </c>
      <c r="W53" s="764">
        <v>1</v>
      </c>
      <c r="X53" s="753">
        <f t="shared" si="45"/>
        <v>13684.910854714135</v>
      </c>
      <c r="Y53" s="753">
        <f t="shared" si="46"/>
        <v>13684.910854714135</v>
      </c>
      <c r="Z53" s="753">
        <f t="shared" si="47"/>
        <v>0</v>
      </c>
      <c r="AA53" s="753">
        <f t="shared" si="48"/>
        <v>96.416666666666671</v>
      </c>
      <c r="AB53" s="753">
        <f t="shared" si="49"/>
        <v>123</v>
      </c>
      <c r="AC53" s="753">
        <f t="shared" si="50"/>
        <v>103.41666666666667</v>
      </c>
      <c r="AD53" s="753">
        <f t="shared" si="51"/>
        <v>122</v>
      </c>
      <c r="AE53" s="753">
        <f t="shared" si="52"/>
        <v>-8.3333333333333329E-2</v>
      </c>
      <c r="AF53" s="753">
        <f t="shared" si="53"/>
        <v>2004.089145285865</v>
      </c>
      <c r="AG53" s="753"/>
      <c r="AH53" s="753"/>
      <c r="AI53" s="753"/>
    </row>
    <row r="54" spans="1:35">
      <c r="B54" s="41" t="s">
        <v>482</v>
      </c>
      <c r="C54" s="41">
        <v>1996</v>
      </c>
      <c r="D54" s="41">
        <v>96</v>
      </c>
      <c r="E54" s="41">
        <v>9</v>
      </c>
      <c r="F54" s="763">
        <v>0</v>
      </c>
      <c r="G54" s="756" t="s">
        <v>153</v>
      </c>
      <c r="H54" s="41">
        <v>7</v>
      </c>
      <c r="I54" s="41">
        <f t="shared" si="36"/>
        <v>103</v>
      </c>
      <c r="L54" s="753">
        <v>83491.02</v>
      </c>
      <c r="M54" s="753">
        <v>0</v>
      </c>
      <c r="N54" s="753">
        <f t="shared" si="37"/>
        <v>83491.02</v>
      </c>
      <c r="O54" s="753">
        <f t="shared" si="38"/>
        <v>993.94071428571431</v>
      </c>
      <c r="P54" s="753">
        <f t="shared" si="39"/>
        <v>0</v>
      </c>
      <c r="Q54" s="753">
        <f t="shared" si="40"/>
        <v>0</v>
      </c>
      <c r="R54" s="753">
        <f t="shared" si="41"/>
        <v>0</v>
      </c>
      <c r="S54" s="764">
        <f>+'WP-11 - Non-Regulated'!$N$57</f>
        <v>0.87226151155039422</v>
      </c>
      <c r="T54" s="753">
        <f t="shared" si="42"/>
        <v>0</v>
      </c>
      <c r="U54" s="753">
        <f t="shared" si="43"/>
        <v>83491.02</v>
      </c>
      <c r="V54" s="753">
        <f t="shared" si="44"/>
        <v>72826.003306084196</v>
      </c>
      <c r="W54" s="764">
        <v>1</v>
      </c>
      <c r="X54" s="753">
        <f t="shared" si="45"/>
        <v>72826.003306084196</v>
      </c>
      <c r="Y54" s="753">
        <f t="shared" si="46"/>
        <v>72826.003306084196</v>
      </c>
      <c r="Z54" s="753">
        <f t="shared" si="47"/>
        <v>0</v>
      </c>
      <c r="AA54" s="753">
        <f t="shared" si="48"/>
        <v>96.666666666666671</v>
      </c>
      <c r="AB54" s="753">
        <f t="shared" si="49"/>
        <v>123</v>
      </c>
      <c r="AC54" s="753">
        <f t="shared" si="50"/>
        <v>103.66666666666667</v>
      </c>
      <c r="AD54" s="753">
        <f t="shared" si="51"/>
        <v>122</v>
      </c>
      <c r="AE54" s="753">
        <f t="shared" si="52"/>
        <v>-8.3333333333333329E-2</v>
      </c>
      <c r="AF54" s="753">
        <f t="shared" si="53"/>
        <v>10665.016693915808</v>
      </c>
      <c r="AG54" s="753"/>
      <c r="AH54" s="753"/>
      <c r="AI54" s="753"/>
    </row>
    <row r="55" spans="1:35">
      <c r="B55" s="41" t="s">
        <v>483</v>
      </c>
      <c r="C55" s="41">
        <v>2000</v>
      </c>
      <c r="D55" s="41">
        <v>100</v>
      </c>
      <c r="E55" s="41">
        <v>7</v>
      </c>
      <c r="F55" s="763">
        <v>0</v>
      </c>
      <c r="G55" s="756" t="s">
        <v>153</v>
      </c>
      <c r="H55" s="41">
        <v>7</v>
      </c>
      <c r="I55" s="41">
        <f t="shared" si="36"/>
        <v>107</v>
      </c>
      <c r="L55" s="753">
        <v>93782.34</v>
      </c>
      <c r="M55" s="753">
        <v>0</v>
      </c>
      <c r="N55" s="753">
        <f t="shared" si="37"/>
        <v>93782.34</v>
      </c>
      <c r="O55" s="753">
        <f t="shared" si="38"/>
        <v>1116.4564285714284</v>
      </c>
      <c r="P55" s="753">
        <f t="shared" si="39"/>
        <v>0</v>
      </c>
      <c r="Q55" s="753">
        <f t="shared" si="40"/>
        <v>0</v>
      </c>
      <c r="R55" s="753">
        <f t="shared" si="41"/>
        <v>0</v>
      </c>
      <c r="S55" s="764">
        <f>+'WP-11 - Non-Regulated'!$N$57</f>
        <v>0.87226151155039422</v>
      </c>
      <c r="T55" s="753">
        <f t="shared" si="42"/>
        <v>0</v>
      </c>
      <c r="U55" s="753">
        <f t="shared" si="43"/>
        <v>93782.34</v>
      </c>
      <c r="V55" s="753">
        <f t="shared" si="44"/>
        <v>81802.725645132989</v>
      </c>
      <c r="W55" s="764">
        <v>1</v>
      </c>
      <c r="X55" s="753">
        <f t="shared" si="45"/>
        <v>81802.725645132989</v>
      </c>
      <c r="Y55" s="753">
        <f t="shared" si="46"/>
        <v>81802.725645132989</v>
      </c>
      <c r="Z55" s="753">
        <f t="shared" si="47"/>
        <v>0</v>
      </c>
      <c r="AA55" s="753">
        <f t="shared" si="48"/>
        <v>100.5</v>
      </c>
      <c r="AB55" s="753">
        <f t="shared" si="49"/>
        <v>123</v>
      </c>
      <c r="AC55" s="753">
        <f t="shared" si="50"/>
        <v>107.5</v>
      </c>
      <c r="AD55" s="753">
        <f t="shared" si="51"/>
        <v>122</v>
      </c>
      <c r="AE55" s="753">
        <f t="shared" si="52"/>
        <v>-8.3333333333333329E-2</v>
      </c>
      <c r="AF55" s="753">
        <f t="shared" si="53"/>
        <v>11979.614354867008</v>
      </c>
      <c r="AG55" s="753"/>
      <c r="AH55" s="753"/>
      <c r="AI55" s="753"/>
    </row>
    <row r="56" spans="1:35">
      <c r="A56" s="767"/>
      <c r="B56" s="41" t="s">
        <v>331</v>
      </c>
      <c r="C56" s="41">
        <v>2001</v>
      </c>
      <c r="D56" s="41">
        <v>101</v>
      </c>
      <c r="E56" s="41">
        <v>10</v>
      </c>
      <c r="F56" s="763">
        <v>0</v>
      </c>
      <c r="G56" s="756" t="s">
        <v>153</v>
      </c>
      <c r="H56" s="41">
        <v>7</v>
      </c>
      <c r="I56" s="41">
        <f t="shared" si="36"/>
        <v>108</v>
      </c>
      <c r="L56" s="753">
        <v>4637.1099999999997</v>
      </c>
      <c r="M56" s="753">
        <v>0</v>
      </c>
      <c r="N56" s="753">
        <f t="shared" si="37"/>
        <v>4637.1099999999997</v>
      </c>
      <c r="O56" s="753">
        <f t="shared" si="38"/>
        <v>55.203690476190474</v>
      </c>
      <c r="P56" s="753">
        <f t="shared" si="39"/>
        <v>0</v>
      </c>
      <c r="Q56" s="753">
        <f t="shared" si="40"/>
        <v>0</v>
      </c>
      <c r="R56" s="753">
        <f t="shared" si="41"/>
        <v>0</v>
      </c>
      <c r="S56" s="764">
        <f>+'WP-11 - Non-Regulated'!$N$57</f>
        <v>0.87226151155039422</v>
      </c>
      <c r="T56" s="753">
        <f t="shared" si="42"/>
        <v>0</v>
      </c>
      <c r="U56" s="753">
        <f t="shared" si="43"/>
        <v>4637.1099999999997</v>
      </c>
      <c r="V56" s="753">
        <f t="shared" si="44"/>
        <v>4044.7725778254485</v>
      </c>
      <c r="W56" s="764">
        <v>1</v>
      </c>
      <c r="X56" s="753">
        <f t="shared" si="45"/>
        <v>4044.7725778254485</v>
      </c>
      <c r="Y56" s="753">
        <f t="shared" si="46"/>
        <v>4044.7725778254485</v>
      </c>
      <c r="Z56" s="753">
        <f t="shared" si="47"/>
        <v>0</v>
      </c>
      <c r="AA56" s="753">
        <f t="shared" si="48"/>
        <v>101.75</v>
      </c>
      <c r="AB56" s="753">
        <f t="shared" si="49"/>
        <v>123</v>
      </c>
      <c r="AC56" s="753">
        <f t="shared" si="50"/>
        <v>108.75</v>
      </c>
      <c r="AD56" s="753">
        <f t="shared" si="51"/>
        <v>122</v>
      </c>
      <c r="AE56" s="753">
        <f t="shared" si="52"/>
        <v>-8.3333333333333329E-2</v>
      </c>
      <c r="AF56" s="753">
        <f t="shared" si="53"/>
        <v>592.33742217455119</v>
      </c>
      <c r="AG56" s="753"/>
      <c r="AH56" s="753"/>
      <c r="AI56" s="753"/>
    </row>
    <row r="57" spans="1:35">
      <c r="B57" s="41" t="s">
        <v>332</v>
      </c>
      <c r="C57" s="41">
        <v>2002</v>
      </c>
      <c r="D57" s="41">
        <v>102</v>
      </c>
      <c r="E57" s="41">
        <v>8</v>
      </c>
      <c r="F57" s="763">
        <v>0</v>
      </c>
      <c r="G57" s="756" t="s">
        <v>153</v>
      </c>
      <c r="H57" s="41">
        <v>5</v>
      </c>
      <c r="I57" s="41">
        <f t="shared" si="36"/>
        <v>107</v>
      </c>
      <c r="L57" s="753">
        <v>15051.75</v>
      </c>
      <c r="M57" s="753">
        <v>0</v>
      </c>
      <c r="N57" s="753">
        <f t="shared" si="37"/>
        <v>15051.75</v>
      </c>
      <c r="O57" s="753">
        <f t="shared" si="38"/>
        <v>250.86249999999998</v>
      </c>
      <c r="P57" s="753">
        <f t="shared" si="39"/>
        <v>0</v>
      </c>
      <c r="Q57" s="753">
        <f t="shared" si="40"/>
        <v>0</v>
      </c>
      <c r="R57" s="753">
        <f t="shared" si="41"/>
        <v>0</v>
      </c>
      <c r="S57" s="764">
        <f>+'WP-11 - Non-Regulated'!$N$57</f>
        <v>0.87226151155039422</v>
      </c>
      <c r="T57" s="753">
        <f t="shared" si="42"/>
        <v>0</v>
      </c>
      <c r="U57" s="753">
        <f t="shared" si="43"/>
        <v>15051.75</v>
      </c>
      <c r="V57" s="753">
        <f t="shared" si="44"/>
        <v>13129.062206478646</v>
      </c>
      <c r="W57" s="764">
        <v>1</v>
      </c>
      <c r="X57" s="753">
        <f t="shared" si="45"/>
        <v>13129.062206478646</v>
      </c>
      <c r="Y57" s="753">
        <f t="shared" si="46"/>
        <v>13129.062206478646</v>
      </c>
      <c r="Z57" s="753">
        <f t="shared" si="47"/>
        <v>0</v>
      </c>
      <c r="AA57" s="753">
        <f t="shared" si="48"/>
        <v>102.58333333333333</v>
      </c>
      <c r="AB57" s="753">
        <f t="shared" si="49"/>
        <v>123</v>
      </c>
      <c r="AC57" s="753">
        <f t="shared" si="50"/>
        <v>107.58333333333333</v>
      </c>
      <c r="AD57" s="753">
        <f t="shared" si="51"/>
        <v>122</v>
      </c>
      <c r="AE57" s="753">
        <f t="shared" si="52"/>
        <v>-8.3333333333333329E-2</v>
      </c>
      <c r="AF57" s="753">
        <f t="shared" si="53"/>
        <v>1922.6877935213543</v>
      </c>
      <c r="AG57" s="753"/>
      <c r="AH57" s="753"/>
      <c r="AI57" s="753"/>
    </row>
    <row r="58" spans="1:35">
      <c r="B58" s="41" t="s">
        <v>484</v>
      </c>
      <c r="C58" s="41">
        <v>2003</v>
      </c>
      <c r="D58" s="41">
        <v>103</v>
      </c>
      <c r="E58" s="41">
        <v>12</v>
      </c>
      <c r="F58" s="763">
        <v>0</v>
      </c>
      <c r="G58" s="756" t="s">
        <v>153</v>
      </c>
      <c r="H58" s="41">
        <v>8</v>
      </c>
      <c r="I58" s="41">
        <f t="shared" si="36"/>
        <v>111</v>
      </c>
      <c r="L58" s="753">
        <v>102969.48</v>
      </c>
      <c r="M58" s="753">
        <v>0</v>
      </c>
      <c r="N58" s="753">
        <f t="shared" ref="N58:N67" si="54">L58-(+L58*F58)</f>
        <v>102969.48</v>
      </c>
      <c r="O58" s="753">
        <f t="shared" ref="O58:O67" si="55">N58/H58/12</f>
        <v>1072.5987499999999</v>
      </c>
      <c r="P58" s="753">
        <f t="shared" si="39"/>
        <v>0</v>
      </c>
      <c r="Q58" s="753">
        <f t="shared" si="40"/>
        <v>0</v>
      </c>
      <c r="R58" s="753">
        <f t="shared" ref="R58:R67" si="56">IF(Q58&gt;0,Q58,P58)</f>
        <v>0</v>
      </c>
      <c r="S58" s="764">
        <f>+'WP-11 - Non-Regulated'!$N$57</f>
        <v>0.87226151155039422</v>
      </c>
      <c r="T58" s="753">
        <f t="shared" ref="T58:T67" si="57">S58*SUM(P58:Q58)</f>
        <v>0</v>
      </c>
      <c r="U58" s="753">
        <f t="shared" si="43"/>
        <v>102969.48</v>
      </c>
      <c r="V58" s="753">
        <f t="shared" ref="V58:V67" si="58">U58*S58</f>
        <v>89816.314268358081</v>
      </c>
      <c r="W58" s="764">
        <v>1</v>
      </c>
      <c r="X58" s="753">
        <f t="shared" ref="X58:X67" si="59">V58*W58</f>
        <v>89816.314268358081</v>
      </c>
      <c r="Y58" s="753">
        <f t="shared" ref="Y58:Y67" si="60">IF(M58&gt;0,0,X58+T58*W58)*W58</f>
        <v>89816.314268358081</v>
      </c>
      <c r="Z58" s="753">
        <f t="shared" si="47"/>
        <v>0</v>
      </c>
      <c r="AA58" s="753">
        <f t="shared" si="48"/>
        <v>103.91666666666667</v>
      </c>
      <c r="AB58" s="753">
        <f t="shared" si="49"/>
        <v>123</v>
      </c>
      <c r="AC58" s="753">
        <f t="shared" si="50"/>
        <v>111.91666666666667</v>
      </c>
      <c r="AD58" s="753">
        <f t="shared" si="51"/>
        <v>122</v>
      </c>
      <c r="AE58" s="753">
        <f t="shared" si="52"/>
        <v>-8.3333333333333329E-2</v>
      </c>
      <c r="AF58" s="753">
        <f t="shared" si="53"/>
        <v>13153.165731641915</v>
      </c>
      <c r="AG58" s="753"/>
      <c r="AH58" s="753"/>
      <c r="AI58" s="753"/>
    </row>
    <row r="59" spans="1:35">
      <c r="B59" s="41" t="s">
        <v>485</v>
      </c>
      <c r="C59" s="41">
        <v>2006</v>
      </c>
      <c r="D59" s="41">
        <v>106</v>
      </c>
      <c r="E59" s="41">
        <v>2</v>
      </c>
      <c r="F59" s="763">
        <v>0</v>
      </c>
      <c r="G59" s="756" t="s">
        <v>153</v>
      </c>
      <c r="H59" s="41">
        <v>7</v>
      </c>
      <c r="I59" s="41">
        <f t="shared" si="36"/>
        <v>113</v>
      </c>
      <c r="L59" s="753">
        <v>69824</v>
      </c>
      <c r="M59" s="753">
        <v>0</v>
      </c>
      <c r="N59" s="753">
        <f t="shared" si="54"/>
        <v>69824</v>
      </c>
      <c r="O59" s="753">
        <f t="shared" si="55"/>
        <v>831.2380952380953</v>
      </c>
      <c r="P59" s="753">
        <f t="shared" si="39"/>
        <v>0</v>
      </c>
      <c r="Q59" s="753">
        <f t="shared" si="40"/>
        <v>0</v>
      </c>
      <c r="R59" s="753">
        <f t="shared" si="56"/>
        <v>0</v>
      </c>
      <c r="S59" s="764">
        <f>+'WP-11 - Non-Regulated'!$N$57</f>
        <v>0.87226151155039422</v>
      </c>
      <c r="T59" s="753">
        <f t="shared" si="57"/>
        <v>0</v>
      </c>
      <c r="U59" s="753">
        <f t="shared" si="43"/>
        <v>69824</v>
      </c>
      <c r="V59" s="753">
        <f t="shared" si="58"/>
        <v>60904.787782494728</v>
      </c>
      <c r="W59" s="764">
        <v>1</v>
      </c>
      <c r="X59" s="753">
        <f t="shared" si="59"/>
        <v>60904.787782494728</v>
      </c>
      <c r="Y59" s="753">
        <f t="shared" si="60"/>
        <v>60904.787782494728</v>
      </c>
      <c r="Z59" s="753">
        <f t="shared" si="47"/>
        <v>0</v>
      </c>
      <c r="AA59" s="753">
        <f t="shared" si="48"/>
        <v>106.08333333333333</v>
      </c>
      <c r="AB59" s="753">
        <f t="shared" si="49"/>
        <v>123</v>
      </c>
      <c r="AC59" s="753">
        <f t="shared" si="50"/>
        <v>113.08333333333333</v>
      </c>
      <c r="AD59" s="753">
        <f t="shared" si="51"/>
        <v>122</v>
      </c>
      <c r="AE59" s="753">
        <f t="shared" si="52"/>
        <v>-8.3333333333333329E-2</v>
      </c>
      <c r="AF59" s="753">
        <f t="shared" si="53"/>
        <v>8919.2122175052718</v>
      </c>
      <c r="AG59" s="753"/>
      <c r="AH59" s="753"/>
      <c r="AI59" s="753"/>
    </row>
    <row r="60" spans="1:35">
      <c r="B60" s="41" t="s">
        <v>333</v>
      </c>
      <c r="C60" s="41">
        <v>2006</v>
      </c>
      <c r="D60" s="41">
        <v>106</v>
      </c>
      <c r="E60" s="41">
        <v>7</v>
      </c>
      <c r="F60" s="763">
        <v>0</v>
      </c>
      <c r="G60" s="756" t="s">
        <v>153</v>
      </c>
      <c r="H60" s="41">
        <v>5</v>
      </c>
      <c r="I60" s="41">
        <f t="shared" si="36"/>
        <v>111</v>
      </c>
      <c r="L60" s="753">
        <v>30227.72</v>
      </c>
      <c r="M60" s="753">
        <v>0</v>
      </c>
      <c r="N60" s="753">
        <f t="shared" si="54"/>
        <v>30227.72</v>
      </c>
      <c r="O60" s="753">
        <f t="shared" si="55"/>
        <v>503.7953333333333</v>
      </c>
      <c r="P60" s="753">
        <f t="shared" si="39"/>
        <v>0</v>
      </c>
      <c r="Q60" s="753">
        <f t="shared" si="40"/>
        <v>0</v>
      </c>
      <c r="R60" s="753">
        <f t="shared" si="56"/>
        <v>0</v>
      </c>
      <c r="S60" s="764">
        <f>+'WP-11 - Non-Regulated'!$N$57</f>
        <v>0.87226151155039422</v>
      </c>
      <c r="T60" s="753">
        <f t="shared" si="57"/>
        <v>0</v>
      </c>
      <c r="U60" s="753">
        <f t="shared" si="43"/>
        <v>30227.72</v>
      </c>
      <c r="V60" s="753">
        <f t="shared" si="58"/>
        <v>26366.476737922083</v>
      </c>
      <c r="W60" s="764">
        <v>1</v>
      </c>
      <c r="X60" s="753">
        <f t="shared" si="59"/>
        <v>26366.476737922083</v>
      </c>
      <c r="Y60" s="753">
        <f t="shared" si="60"/>
        <v>26366.476737922083</v>
      </c>
      <c r="Z60" s="753">
        <f t="shared" si="47"/>
        <v>0</v>
      </c>
      <c r="AA60" s="753">
        <f t="shared" si="48"/>
        <v>106.5</v>
      </c>
      <c r="AB60" s="753">
        <f t="shared" si="49"/>
        <v>123</v>
      </c>
      <c r="AC60" s="753">
        <f t="shared" si="50"/>
        <v>111.5</v>
      </c>
      <c r="AD60" s="753">
        <f t="shared" si="51"/>
        <v>122</v>
      </c>
      <c r="AE60" s="753">
        <f t="shared" si="52"/>
        <v>-8.3333333333333329E-2</v>
      </c>
      <c r="AF60" s="753">
        <f t="shared" si="53"/>
        <v>3861.2432620779182</v>
      </c>
      <c r="AG60" s="753"/>
      <c r="AH60" s="753"/>
      <c r="AI60" s="753"/>
    </row>
    <row r="61" spans="1:35">
      <c r="B61" s="41" t="s">
        <v>334</v>
      </c>
      <c r="C61" s="41">
        <v>2007</v>
      </c>
      <c r="D61" s="41">
        <v>107</v>
      </c>
      <c r="E61" s="41">
        <v>2</v>
      </c>
      <c r="F61" s="763">
        <v>0</v>
      </c>
      <c r="G61" s="756" t="s">
        <v>153</v>
      </c>
      <c r="H61" s="41">
        <v>3</v>
      </c>
      <c r="I61" s="41">
        <f t="shared" si="36"/>
        <v>110</v>
      </c>
      <c r="L61" s="753">
        <v>8603.17</v>
      </c>
      <c r="M61" s="753">
        <v>0</v>
      </c>
      <c r="N61" s="753">
        <f t="shared" si="54"/>
        <v>8603.17</v>
      </c>
      <c r="O61" s="753">
        <f t="shared" si="55"/>
        <v>238.97694444444446</v>
      </c>
      <c r="P61" s="753">
        <f t="shared" si="39"/>
        <v>0</v>
      </c>
      <c r="Q61" s="753">
        <f t="shared" si="40"/>
        <v>0</v>
      </c>
      <c r="R61" s="753">
        <f t="shared" si="56"/>
        <v>0</v>
      </c>
      <c r="S61" s="764">
        <f>+'WP-11 - Non-Regulated'!$N$57</f>
        <v>0.87226151155039422</v>
      </c>
      <c r="T61" s="753">
        <f t="shared" si="57"/>
        <v>0</v>
      </c>
      <c r="U61" s="753">
        <f t="shared" si="43"/>
        <v>8603.17</v>
      </c>
      <c r="V61" s="753">
        <f t="shared" si="58"/>
        <v>7504.2140683250054</v>
      </c>
      <c r="W61" s="764">
        <v>1</v>
      </c>
      <c r="X61" s="753">
        <f t="shared" si="59"/>
        <v>7504.2140683250054</v>
      </c>
      <c r="Y61" s="753">
        <f t="shared" si="60"/>
        <v>7504.2140683250054</v>
      </c>
      <c r="Z61" s="753">
        <f t="shared" si="47"/>
        <v>0</v>
      </c>
      <c r="AA61" s="753">
        <f t="shared" si="48"/>
        <v>107.08333333333333</v>
      </c>
      <c r="AB61" s="753">
        <f t="shared" si="49"/>
        <v>123</v>
      </c>
      <c r="AC61" s="753">
        <f t="shared" si="50"/>
        <v>110.08333333333333</v>
      </c>
      <c r="AD61" s="753">
        <f t="shared" si="51"/>
        <v>122</v>
      </c>
      <c r="AE61" s="753">
        <f t="shared" si="52"/>
        <v>-8.3333333333333329E-2</v>
      </c>
      <c r="AF61" s="753">
        <f t="shared" si="53"/>
        <v>1098.9559316749946</v>
      </c>
      <c r="AG61" s="753"/>
      <c r="AH61" s="753"/>
      <c r="AI61" s="753"/>
    </row>
    <row r="62" spans="1:35">
      <c r="B62" s="41" t="s">
        <v>335</v>
      </c>
      <c r="C62" s="41">
        <v>2007</v>
      </c>
      <c r="D62" s="41">
        <v>107</v>
      </c>
      <c r="E62" s="41">
        <v>2</v>
      </c>
      <c r="F62" s="763">
        <v>0</v>
      </c>
      <c r="G62" s="756" t="s">
        <v>153</v>
      </c>
      <c r="H62" s="41">
        <v>3</v>
      </c>
      <c r="I62" s="41">
        <f t="shared" si="36"/>
        <v>110</v>
      </c>
      <c r="L62" s="753">
        <v>9404.4</v>
      </c>
      <c r="M62" s="753">
        <v>0</v>
      </c>
      <c r="N62" s="753">
        <f t="shared" si="54"/>
        <v>9404.4</v>
      </c>
      <c r="O62" s="753">
        <f t="shared" si="55"/>
        <v>261.23333333333329</v>
      </c>
      <c r="P62" s="753">
        <f t="shared" si="39"/>
        <v>0</v>
      </c>
      <c r="Q62" s="753">
        <f t="shared" si="40"/>
        <v>0</v>
      </c>
      <c r="R62" s="753">
        <f t="shared" si="56"/>
        <v>0</v>
      </c>
      <c r="S62" s="764">
        <f>+'WP-11 - Non-Regulated'!$N$57</f>
        <v>0.87226151155039422</v>
      </c>
      <c r="T62" s="753">
        <f t="shared" si="57"/>
        <v>0</v>
      </c>
      <c r="U62" s="753">
        <f t="shared" si="43"/>
        <v>9404.4</v>
      </c>
      <c r="V62" s="753">
        <f t="shared" si="58"/>
        <v>8203.0961592245276</v>
      </c>
      <c r="W62" s="764">
        <v>1</v>
      </c>
      <c r="X62" s="753">
        <f t="shared" si="59"/>
        <v>8203.0961592245276</v>
      </c>
      <c r="Y62" s="753">
        <f t="shared" si="60"/>
        <v>8203.0961592245276</v>
      </c>
      <c r="Z62" s="753">
        <f t="shared" si="47"/>
        <v>0</v>
      </c>
      <c r="AA62" s="753">
        <f t="shared" si="48"/>
        <v>107.08333333333333</v>
      </c>
      <c r="AB62" s="753">
        <f t="shared" si="49"/>
        <v>123</v>
      </c>
      <c r="AC62" s="753">
        <f t="shared" si="50"/>
        <v>110.08333333333333</v>
      </c>
      <c r="AD62" s="753">
        <f t="shared" si="51"/>
        <v>122</v>
      </c>
      <c r="AE62" s="753">
        <f t="shared" si="52"/>
        <v>-8.3333333333333329E-2</v>
      </c>
      <c r="AF62" s="753">
        <f t="shared" si="53"/>
        <v>1201.3038407754721</v>
      </c>
      <c r="AG62" s="753"/>
      <c r="AH62" s="753"/>
      <c r="AI62" s="753"/>
    </row>
    <row r="63" spans="1:35">
      <c r="B63" s="41" t="s">
        <v>336</v>
      </c>
      <c r="C63" s="41">
        <v>2007</v>
      </c>
      <c r="D63" s="41">
        <v>107</v>
      </c>
      <c r="E63" s="41">
        <v>3</v>
      </c>
      <c r="F63" s="763">
        <v>0</v>
      </c>
      <c r="G63" s="756" t="s">
        <v>153</v>
      </c>
      <c r="H63" s="41">
        <v>3</v>
      </c>
      <c r="I63" s="41">
        <f t="shared" si="36"/>
        <v>110</v>
      </c>
      <c r="L63" s="753">
        <v>7453.34</v>
      </c>
      <c r="M63" s="753">
        <v>0</v>
      </c>
      <c r="N63" s="753">
        <f t="shared" si="54"/>
        <v>7453.34</v>
      </c>
      <c r="O63" s="753">
        <f t="shared" si="55"/>
        <v>207.03722222222223</v>
      </c>
      <c r="P63" s="753">
        <f t="shared" si="39"/>
        <v>0</v>
      </c>
      <c r="Q63" s="753">
        <f t="shared" si="40"/>
        <v>0</v>
      </c>
      <c r="R63" s="753">
        <f t="shared" si="56"/>
        <v>0</v>
      </c>
      <c r="S63" s="764">
        <f>+'WP-11 - Non-Regulated'!$N$57</f>
        <v>0.87226151155039422</v>
      </c>
      <c r="T63" s="753">
        <f t="shared" si="57"/>
        <v>0</v>
      </c>
      <c r="U63" s="753">
        <f t="shared" si="43"/>
        <v>7453.34</v>
      </c>
      <c r="V63" s="753">
        <f t="shared" si="58"/>
        <v>6501.2616144990152</v>
      </c>
      <c r="W63" s="764">
        <v>1</v>
      </c>
      <c r="X63" s="753">
        <f t="shared" si="59"/>
        <v>6501.2616144990152</v>
      </c>
      <c r="Y63" s="753">
        <f t="shared" si="60"/>
        <v>6501.2616144990152</v>
      </c>
      <c r="Z63" s="753">
        <f t="shared" si="47"/>
        <v>0</v>
      </c>
      <c r="AA63" s="753">
        <f t="shared" si="48"/>
        <v>107.16666666666667</v>
      </c>
      <c r="AB63" s="753">
        <f t="shared" si="49"/>
        <v>123</v>
      </c>
      <c r="AC63" s="753">
        <f t="shared" si="50"/>
        <v>110.16666666666667</v>
      </c>
      <c r="AD63" s="753">
        <f t="shared" si="51"/>
        <v>122</v>
      </c>
      <c r="AE63" s="753">
        <f t="shared" si="52"/>
        <v>-8.3333333333333329E-2</v>
      </c>
      <c r="AF63" s="753">
        <f t="shared" si="53"/>
        <v>952.07838550098495</v>
      </c>
      <c r="AG63" s="753"/>
      <c r="AH63" s="753"/>
      <c r="AI63" s="753"/>
    </row>
    <row r="64" spans="1:35" ht="16.5" customHeight="1">
      <c r="B64" s="41" t="s">
        <v>486</v>
      </c>
      <c r="C64" s="41">
        <v>2008</v>
      </c>
      <c r="D64" s="41">
        <v>108</v>
      </c>
      <c r="E64" s="41">
        <v>3</v>
      </c>
      <c r="F64" s="763">
        <v>0</v>
      </c>
      <c r="G64" s="756" t="s">
        <v>153</v>
      </c>
      <c r="H64" s="41">
        <v>7</v>
      </c>
      <c r="I64" s="41">
        <f t="shared" si="36"/>
        <v>115</v>
      </c>
      <c r="L64" s="753">
        <v>133950.04</v>
      </c>
      <c r="M64" s="753">
        <v>0</v>
      </c>
      <c r="N64" s="753">
        <f t="shared" si="54"/>
        <v>133950.04</v>
      </c>
      <c r="O64" s="753">
        <f t="shared" si="55"/>
        <v>1594.6433333333334</v>
      </c>
      <c r="P64" s="753">
        <f t="shared" si="39"/>
        <v>0</v>
      </c>
      <c r="Q64" s="753">
        <f t="shared" si="40"/>
        <v>0</v>
      </c>
      <c r="R64" s="753">
        <f t="shared" si="56"/>
        <v>0</v>
      </c>
      <c r="S64" s="764">
        <f>+'WP-11 - Non-Regulated'!$N$57</f>
        <v>0.87226151155039422</v>
      </c>
      <c r="T64" s="753">
        <f t="shared" si="57"/>
        <v>0</v>
      </c>
      <c r="U64" s="753">
        <f t="shared" si="43"/>
        <v>133950.04</v>
      </c>
      <c r="V64" s="753">
        <f t="shared" si="58"/>
        <v>116839.46436263577</v>
      </c>
      <c r="W64" s="764">
        <v>1</v>
      </c>
      <c r="X64" s="753">
        <f t="shared" si="59"/>
        <v>116839.46436263577</v>
      </c>
      <c r="Y64" s="753">
        <f t="shared" si="60"/>
        <v>116839.46436263577</v>
      </c>
      <c r="Z64" s="753">
        <f t="shared" si="47"/>
        <v>0</v>
      </c>
      <c r="AA64" s="753">
        <f t="shared" si="48"/>
        <v>108.16666666666667</v>
      </c>
      <c r="AB64" s="753">
        <f t="shared" si="49"/>
        <v>123</v>
      </c>
      <c r="AC64" s="753">
        <f t="shared" si="50"/>
        <v>115.16666666666667</v>
      </c>
      <c r="AD64" s="753">
        <f t="shared" si="51"/>
        <v>122</v>
      </c>
      <c r="AE64" s="753">
        <f t="shared" si="52"/>
        <v>-8.3333333333333329E-2</v>
      </c>
      <c r="AF64" s="753">
        <f t="shared" si="53"/>
        <v>17110.575637364236</v>
      </c>
      <c r="AG64" s="753"/>
      <c r="AH64" s="753"/>
      <c r="AI64" s="753"/>
    </row>
    <row r="65" spans="2:35">
      <c r="B65" s="41" t="s">
        <v>337</v>
      </c>
      <c r="C65" s="41">
        <v>2011</v>
      </c>
      <c r="D65" s="41">
        <v>111</v>
      </c>
      <c r="E65" s="41">
        <v>12</v>
      </c>
      <c r="F65" s="763">
        <v>0</v>
      </c>
      <c r="G65" s="756" t="s">
        <v>153</v>
      </c>
      <c r="H65" s="41">
        <v>5</v>
      </c>
      <c r="I65" s="41">
        <f t="shared" si="36"/>
        <v>116</v>
      </c>
      <c r="L65" s="753">
        <v>11007</v>
      </c>
      <c r="M65" s="753">
        <v>0</v>
      </c>
      <c r="N65" s="753">
        <f t="shared" si="54"/>
        <v>11007</v>
      </c>
      <c r="O65" s="753">
        <f t="shared" si="55"/>
        <v>183.45000000000002</v>
      </c>
      <c r="P65" s="753">
        <f t="shared" si="39"/>
        <v>0</v>
      </c>
      <c r="Q65" s="753">
        <f t="shared" si="40"/>
        <v>0</v>
      </c>
      <c r="R65" s="753">
        <f t="shared" si="56"/>
        <v>0</v>
      </c>
      <c r="S65" s="764">
        <f>+'WP-11 - Non-Regulated'!$N$57</f>
        <v>0.87226151155039422</v>
      </c>
      <c r="T65" s="753">
        <f t="shared" si="57"/>
        <v>0</v>
      </c>
      <c r="U65" s="753">
        <f t="shared" si="43"/>
        <v>11007</v>
      </c>
      <c r="V65" s="753">
        <f t="shared" si="58"/>
        <v>9600.9824576351893</v>
      </c>
      <c r="W65" s="764">
        <v>1</v>
      </c>
      <c r="X65" s="753">
        <f t="shared" si="59"/>
        <v>9600.9824576351893</v>
      </c>
      <c r="Y65" s="753">
        <f t="shared" si="60"/>
        <v>9600.9824576351893</v>
      </c>
      <c r="Z65" s="753">
        <f t="shared" si="47"/>
        <v>0</v>
      </c>
      <c r="AA65" s="753">
        <f t="shared" si="48"/>
        <v>111.91666666666667</v>
      </c>
      <c r="AB65" s="753">
        <f t="shared" si="49"/>
        <v>123</v>
      </c>
      <c r="AC65" s="753">
        <f t="shared" si="50"/>
        <v>116.91666666666667</v>
      </c>
      <c r="AD65" s="753">
        <f t="shared" si="51"/>
        <v>122</v>
      </c>
      <c r="AE65" s="753">
        <f t="shared" si="52"/>
        <v>-8.3333333333333329E-2</v>
      </c>
      <c r="AF65" s="753">
        <f t="shared" si="53"/>
        <v>1406.0175423648107</v>
      </c>
      <c r="AG65" s="753"/>
      <c r="AH65" s="753"/>
      <c r="AI65" s="753"/>
    </row>
    <row r="66" spans="2:35">
      <c r="B66" s="41" t="s">
        <v>534</v>
      </c>
      <c r="C66" s="41">
        <v>2012</v>
      </c>
      <c r="D66" s="41">
        <v>112</v>
      </c>
      <c r="E66" s="41">
        <v>3</v>
      </c>
      <c r="F66" s="763">
        <v>0</v>
      </c>
      <c r="G66" s="756" t="s">
        <v>153</v>
      </c>
      <c r="H66" s="41">
        <v>5</v>
      </c>
      <c r="I66" s="41">
        <f t="shared" si="36"/>
        <v>117</v>
      </c>
      <c r="L66" s="753">
        <v>32360.89</v>
      </c>
      <c r="M66" s="753">
        <v>0</v>
      </c>
      <c r="N66" s="753">
        <f t="shared" si="54"/>
        <v>32360.89</v>
      </c>
      <c r="O66" s="753">
        <f t="shared" si="55"/>
        <v>539.34816666666666</v>
      </c>
      <c r="P66" s="753">
        <f t="shared" si="39"/>
        <v>0</v>
      </c>
      <c r="Q66" s="753">
        <f t="shared" si="40"/>
        <v>0</v>
      </c>
      <c r="R66" s="753">
        <f t="shared" si="56"/>
        <v>0</v>
      </c>
      <c r="S66" s="764">
        <f>+'WP-11 - Non-Regulated'!$N$57</f>
        <v>0.87226151155039422</v>
      </c>
      <c r="T66" s="753">
        <f t="shared" si="57"/>
        <v>0</v>
      </c>
      <c r="U66" s="753">
        <f t="shared" si="43"/>
        <v>32360.89</v>
      </c>
      <c r="V66" s="753">
        <f t="shared" si="58"/>
        <v>28227.158826516035</v>
      </c>
      <c r="W66" s="764">
        <v>1</v>
      </c>
      <c r="X66" s="753">
        <f t="shared" si="59"/>
        <v>28227.158826516035</v>
      </c>
      <c r="Y66" s="753">
        <f t="shared" si="60"/>
        <v>28227.158826516035</v>
      </c>
      <c r="Z66" s="753">
        <f t="shared" si="47"/>
        <v>0</v>
      </c>
      <c r="AA66" s="753">
        <f t="shared" si="48"/>
        <v>112.16666666666667</v>
      </c>
      <c r="AB66" s="753">
        <f t="shared" si="49"/>
        <v>123</v>
      </c>
      <c r="AC66" s="753">
        <f t="shared" si="50"/>
        <v>117.16666666666667</v>
      </c>
      <c r="AD66" s="753">
        <f t="shared" si="51"/>
        <v>122</v>
      </c>
      <c r="AE66" s="753">
        <f t="shared" si="52"/>
        <v>-8.3333333333333329E-2</v>
      </c>
      <c r="AF66" s="753">
        <f t="shared" si="53"/>
        <v>4133.7311734839641</v>
      </c>
      <c r="AG66" s="753"/>
      <c r="AH66" s="753"/>
      <c r="AI66" s="753"/>
    </row>
    <row r="67" spans="2:35">
      <c r="B67" s="41" t="s">
        <v>487</v>
      </c>
      <c r="C67" s="41">
        <v>2012</v>
      </c>
      <c r="D67" s="41">
        <v>112</v>
      </c>
      <c r="E67" s="41">
        <v>8</v>
      </c>
      <c r="F67" s="763">
        <v>0</v>
      </c>
      <c r="G67" s="756" t="s">
        <v>153</v>
      </c>
      <c r="H67" s="41">
        <v>5</v>
      </c>
      <c r="I67" s="41">
        <f t="shared" si="36"/>
        <v>117</v>
      </c>
      <c r="L67" s="753">
        <v>19339.11</v>
      </c>
      <c r="M67" s="753">
        <v>0</v>
      </c>
      <c r="N67" s="753">
        <f t="shared" si="54"/>
        <v>19339.11</v>
      </c>
      <c r="O67" s="753">
        <f t="shared" si="55"/>
        <v>322.31850000000003</v>
      </c>
      <c r="P67" s="753">
        <f t="shared" si="39"/>
        <v>0</v>
      </c>
      <c r="Q67" s="753">
        <f t="shared" si="40"/>
        <v>0</v>
      </c>
      <c r="R67" s="753">
        <f t="shared" si="56"/>
        <v>0</v>
      </c>
      <c r="S67" s="764">
        <f>+'WP-11 - Non-Regulated'!$N$57</f>
        <v>0.87226151155039422</v>
      </c>
      <c r="T67" s="753">
        <f t="shared" si="57"/>
        <v>0</v>
      </c>
      <c r="U67" s="753">
        <f t="shared" si="43"/>
        <v>19339.11</v>
      </c>
      <c r="V67" s="753">
        <f t="shared" si="58"/>
        <v>16868.761320639343</v>
      </c>
      <c r="W67" s="764">
        <v>1</v>
      </c>
      <c r="X67" s="753">
        <f t="shared" si="59"/>
        <v>16868.761320639343</v>
      </c>
      <c r="Y67" s="753">
        <f t="shared" si="60"/>
        <v>16868.761320639343</v>
      </c>
      <c r="Z67" s="753">
        <f t="shared" si="47"/>
        <v>0</v>
      </c>
      <c r="AA67" s="753">
        <f t="shared" si="48"/>
        <v>112.58333333333333</v>
      </c>
      <c r="AB67" s="753">
        <f t="shared" si="49"/>
        <v>123</v>
      </c>
      <c r="AC67" s="753">
        <f t="shared" si="50"/>
        <v>117.58333333333333</v>
      </c>
      <c r="AD67" s="753">
        <f t="shared" si="51"/>
        <v>122</v>
      </c>
      <c r="AE67" s="753">
        <f t="shared" si="52"/>
        <v>-8.3333333333333329E-2</v>
      </c>
      <c r="AF67" s="753">
        <f t="shared" si="53"/>
        <v>2470.3486793606571</v>
      </c>
      <c r="AG67" s="753"/>
      <c r="AH67" s="753"/>
      <c r="AI67" s="753"/>
    </row>
    <row r="68" spans="2:35">
      <c r="B68" s="41" t="s">
        <v>540</v>
      </c>
      <c r="C68" s="41">
        <v>2013</v>
      </c>
      <c r="D68" s="41">
        <v>113</v>
      </c>
      <c r="E68" s="41">
        <v>2</v>
      </c>
      <c r="F68" s="763">
        <v>0</v>
      </c>
      <c r="G68" s="756" t="s">
        <v>153</v>
      </c>
      <c r="H68" s="41">
        <v>5</v>
      </c>
      <c r="I68" s="41">
        <f t="shared" si="36"/>
        <v>118</v>
      </c>
      <c r="L68" s="753"/>
      <c r="M68" s="753"/>
      <c r="N68" s="753"/>
      <c r="O68" s="753"/>
      <c r="P68" s="753"/>
      <c r="Q68" s="753"/>
      <c r="R68" s="753"/>
      <c r="S68" s="764"/>
      <c r="T68" s="753"/>
      <c r="U68" s="753"/>
      <c r="V68" s="753"/>
      <c r="W68" s="764"/>
      <c r="X68" s="753"/>
      <c r="Y68" s="753"/>
      <c r="Z68" s="753">
        <f t="shared" si="47"/>
        <v>0</v>
      </c>
      <c r="AA68" s="753"/>
      <c r="AB68" s="753"/>
      <c r="AC68" s="753"/>
      <c r="AD68" s="753"/>
      <c r="AE68" s="753"/>
      <c r="AF68" s="753"/>
      <c r="AG68" s="753"/>
      <c r="AH68" s="753"/>
      <c r="AI68" s="753"/>
    </row>
    <row r="69" spans="2:35">
      <c r="B69" s="41" t="s">
        <v>542</v>
      </c>
      <c r="C69" s="41">
        <v>2013</v>
      </c>
      <c r="D69" s="41">
        <v>113</v>
      </c>
      <c r="E69" s="41">
        <v>2</v>
      </c>
      <c r="F69" s="763">
        <v>0</v>
      </c>
      <c r="G69" s="756" t="s">
        <v>153</v>
      </c>
      <c r="H69" s="41">
        <v>5</v>
      </c>
      <c r="I69" s="41">
        <f t="shared" ref="I69:I75" si="61">D69+H69</f>
        <v>118</v>
      </c>
      <c r="L69" s="753">
        <v>4161.93</v>
      </c>
      <c r="M69" s="753">
        <v>0</v>
      </c>
      <c r="N69" s="753">
        <f t="shared" ref="N69:N75" si="62">L69-(+L69*F69)</f>
        <v>4161.93</v>
      </c>
      <c r="O69" s="753">
        <f t="shared" ref="O69:O75" si="63">N69/H69/12</f>
        <v>69.365500000000011</v>
      </c>
      <c r="P69" s="753">
        <f t="shared" ref="P69:P75" si="64">IF(Q69&gt;0,0,IF(OR(AA69&gt;AB69,AC69&lt;AD69),0,IF(AND(AC69&gt;=AD69,AC69&lt;=AB69),O69*((AC69-AD69)*12),IF(AND(AD69&lt;=AA69,AB69&gt;=AA69),((AB69-AA69)*12)*O69,IF(AC69&gt;AB69,12*O69,0)))))</f>
        <v>0</v>
      </c>
      <c r="Q69" s="753">
        <f t="shared" ref="Q69:Q75" si="65">IF(M69=0,0,IF(AND(AE69&gt;=AD69,AE69&lt;=AC69),((AE69-AD69)*12)*O69,0))</f>
        <v>0</v>
      </c>
      <c r="R69" s="753">
        <f t="shared" ref="R69:R75" si="66">IF(Q69&gt;0,Q69,P69)</f>
        <v>0</v>
      </c>
      <c r="S69" s="764">
        <v>0</v>
      </c>
      <c r="T69" s="753">
        <f t="shared" ref="T69:T75" si="67">S69*SUM(P69:Q69)</f>
        <v>0</v>
      </c>
      <c r="U69" s="753">
        <f t="shared" ref="U69:U75" si="68">IF(AA69&gt;AB69,0,IF(AC69&lt;AD69,N69,IF(AND(AC69&gt;=AD69,AC69&lt;=AB69),(N69-R69),IF(AND(AD69&lt;=AA69,AB69&gt;=AA69),0,IF(AC69&gt;AB69,((AD69-AA69)*12)*O69,0)))))</f>
        <v>4161.93</v>
      </c>
      <c r="V69" s="753">
        <f t="shared" ref="V69:V75" si="69">U69*S69</f>
        <v>0</v>
      </c>
      <c r="W69" s="764">
        <v>1</v>
      </c>
      <c r="X69" s="753">
        <f t="shared" ref="X69:X75" si="70">V69*W69</f>
        <v>0</v>
      </c>
      <c r="Y69" s="753">
        <f t="shared" ref="Y69:Y75" si="71">IF(M69&gt;0,0,X69+T69*W69)*W69</f>
        <v>0</v>
      </c>
      <c r="Z69" s="753">
        <f t="shared" si="47"/>
        <v>0</v>
      </c>
      <c r="AA69" s="753">
        <f t="shared" si="48"/>
        <v>113.08333333333333</v>
      </c>
      <c r="AB69" s="753">
        <f t="shared" si="49"/>
        <v>123</v>
      </c>
      <c r="AC69" s="753">
        <f t="shared" si="50"/>
        <v>118.08333333333333</v>
      </c>
      <c r="AD69" s="753">
        <f t="shared" si="51"/>
        <v>122</v>
      </c>
      <c r="AE69" s="753">
        <f t="shared" si="52"/>
        <v>-8.3333333333333329E-2</v>
      </c>
      <c r="AF69" s="753">
        <f t="shared" ref="AF69:AF75" si="72">L69-((X69+Y69)/2)-Z69</f>
        <v>4161.93</v>
      </c>
      <c r="AG69" s="753"/>
      <c r="AH69" s="753"/>
      <c r="AI69" s="753"/>
    </row>
    <row r="70" spans="2:35">
      <c r="B70" s="41" t="s">
        <v>538</v>
      </c>
      <c r="C70" s="41">
        <v>2013</v>
      </c>
      <c r="D70" s="41">
        <v>113</v>
      </c>
      <c r="E70" s="41">
        <v>2</v>
      </c>
      <c r="F70" s="763">
        <v>0</v>
      </c>
      <c r="G70" s="756" t="s">
        <v>153</v>
      </c>
      <c r="H70" s="41">
        <v>5</v>
      </c>
      <c r="I70" s="41">
        <f t="shared" si="61"/>
        <v>118</v>
      </c>
      <c r="L70" s="753">
        <v>1417.7</v>
      </c>
      <c r="M70" s="753">
        <v>0</v>
      </c>
      <c r="N70" s="753">
        <f t="shared" si="62"/>
        <v>1417.7</v>
      </c>
      <c r="O70" s="753">
        <f t="shared" si="63"/>
        <v>23.628333333333334</v>
      </c>
      <c r="P70" s="753">
        <f t="shared" si="64"/>
        <v>0</v>
      </c>
      <c r="Q70" s="753">
        <f t="shared" si="65"/>
        <v>0</v>
      </c>
      <c r="R70" s="753">
        <f t="shared" si="66"/>
        <v>0</v>
      </c>
      <c r="S70" s="764">
        <f>+'WP-11 - Non-Regulated'!$N$57</f>
        <v>0.87226151155039422</v>
      </c>
      <c r="T70" s="753">
        <f t="shared" si="67"/>
        <v>0</v>
      </c>
      <c r="U70" s="753">
        <f t="shared" si="68"/>
        <v>1417.7</v>
      </c>
      <c r="V70" s="753">
        <f t="shared" si="69"/>
        <v>1236.605144924994</v>
      </c>
      <c r="W70" s="764">
        <v>1</v>
      </c>
      <c r="X70" s="753">
        <f t="shared" si="70"/>
        <v>1236.605144924994</v>
      </c>
      <c r="Y70" s="753">
        <f t="shared" si="71"/>
        <v>1236.605144924994</v>
      </c>
      <c r="Z70" s="753">
        <f t="shared" si="47"/>
        <v>0</v>
      </c>
      <c r="AA70" s="753">
        <f t="shared" si="48"/>
        <v>113.08333333333333</v>
      </c>
      <c r="AB70" s="753">
        <f t="shared" si="49"/>
        <v>123</v>
      </c>
      <c r="AC70" s="753">
        <f t="shared" si="50"/>
        <v>118.08333333333333</v>
      </c>
      <c r="AD70" s="753">
        <f t="shared" si="51"/>
        <v>122</v>
      </c>
      <c r="AE70" s="753">
        <f t="shared" si="52"/>
        <v>-8.3333333333333329E-2</v>
      </c>
      <c r="AF70" s="753">
        <f t="shared" si="72"/>
        <v>181.09485507500608</v>
      </c>
      <c r="AG70" s="753"/>
      <c r="AH70" s="753"/>
      <c r="AI70" s="753"/>
    </row>
    <row r="71" spans="2:35">
      <c r="B71" s="41" t="s">
        <v>543</v>
      </c>
      <c r="C71" s="41">
        <v>2013</v>
      </c>
      <c r="D71" s="41">
        <v>113</v>
      </c>
      <c r="E71" s="41">
        <v>2</v>
      </c>
      <c r="F71" s="763">
        <v>0</v>
      </c>
      <c r="G71" s="756" t="s">
        <v>153</v>
      </c>
      <c r="H71" s="41">
        <v>5</v>
      </c>
      <c r="I71" s="41">
        <f t="shared" si="61"/>
        <v>118</v>
      </c>
      <c r="L71" s="753">
        <v>936.92</v>
      </c>
      <c r="M71" s="753">
        <v>0</v>
      </c>
      <c r="N71" s="753">
        <f t="shared" si="62"/>
        <v>936.92</v>
      </c>
      <c r="O71" s="753">
        <f t="shared" si="63"/>
        <v>15.615333333333332</v>
      </c>
      <c r="P71" s="753">
        <f t="shared" si="64"/>
        <v>0</v>
      </c>
      <c r="Q71" s="753">
        <f t="shared" si="65"/>
        <v>0</v>
      </c>
      <c r="R71" s="753">
        <f t="shared" si="66"/>
        <v>0</v>
      </c>
      <c r="S71" s="764">
        <f>+'WP-11 - Non-Regulated'!$N$57</f>
        <v>0.87226151155039422</v>
      </c>
      <c r="T71" s="753">
        <f t="shared" si="67"/>
        <v>0</v>
      </c>
      <c r="U71" s="753">
        <f t="shared" si="68"/>
        <v>936.92</v>
      </c>
      <c r="V71" s="753">
        <f t="shared" si="69"/>
        <v>817.23925540179528</v>
      </c>
      <c r="W71" s="764">
        <v>1</v>
      </c>
      <c r="X71" s="753">
        <f t="shared" si="70"/>
        <v>817.23925540179528</v>
      </c>
      <c r="Y71" s="753">
        <f t="shared" si="71"/>
        <v>817.23925540179528</v>
      </c>
      <c r="Z71" s="753">
        <f t="shared" si="47"/>
        <v>0</v>
      </c>
      <c r="AA71" s="753">
        <f t="shared" si="48"/>
        <v>113.08333333333333</v>
      </c>
      <c r="AB71" s="753">
        <f t="shared" si="49"/>
        <v>123</v>
      </c>
      <c r="AC71" s="753">
        <f t="shared" si="50"/>
        <v>118.08333333333333</v>
      </c>
      <c r="AD71" s="753">
        <f t="shared" si="51"/>
        <v>122</v>
      </c>
      <c r="AE71" s="753">
        <f t="shared" si="52"/>
        <v>-8.3333333333333329E-2</v>
      </c>
      <c r="AF71" s="753">
        <f t="shared" si="72"/>
        <v>119.68074459820468</v>
      </c>
      <c r="AG71" s="753"/>
      <c r="AH71" s="753"/>
      <c r="AI71" s="753"/>
    </row>
    <row r="72" spans="2:35">
      <c r="B72" s="41" t="s">
        <v>544</v>
      </c>
      <c r="C72" s="41">
        <v>2013</v>
      </c>
      <c r="D72" s="41">
        <v>113</v>
      </c>
      <c r="E72" s="41">
        <v>2</v>
      </c>
      <c r="F72" s="763">
        <v>0</v>
      </c>
      <c r="G72" s="756" t="s">
        <v>153</v>
      </c>
      <c r="H72" s="41">
        <v>5</v>
      </c>
      <c r="I72" s="41">
        <f t="shared" si="61"/>
        <v>118</v>
      </c>
      <c r="L72" s="753">
        <v>739.38</v>
      </c>
      <c r="M72" s="753">
        <v>0</v>
      </c>
      <c r="N72" s="753">
        <f t="shared" si="62"/>
        <v>739.38</v>
      </c>
      <c r="O72" s="753">
        <f t="shared" si="63"/>
        <v>12.323</v>
      </c>
      <c r="P72" s="753">
        <f t="shared" si="64"/>
        <v>0</v>
      </c>
      <c r="Q72" s="753">
        <f t="shared" si="65"/>
        <v>0</v>
      </c>
      <c r="R72" s="753">
        <f t="shared" si="66"/>
        <v>0</v>
      </c>
      <c r="S72" s="764">
        <f>+'WP-11 - Non-Regulated'!$N$57</f>
        <v>0.87226151155039422</v>
      </c>
      <c r="T72" s="753">
        <f t="shared" si="67"/>
        <v>0</v>
      </c>
      <c r="U72" s="753">
        <f t="shared" si="68"/>
        <v>739.38</v>
      </c>
      <c r="V72" s="753">
        <f t="shared" si="69"/>
        <v>644.93271641013052</v>
      </c>
      <c r="W72" s="764">
        <v>1</v>
      </c>
      <c r="X72" s="753">
        <f t="shared" si="70"/>
        <v>644.93271641013052</v>
      </c>
      <c r="Y72" s="753">
        <f t="shared" si="71"/>
        <v>644.93271641013052</v>
      </c>
      <c r="Z72" s="753">
        <f t="shared" si="47"/>
        <v>0</v>
      </c>
      <c r="AA72" s="753">
        <f t="shared" si="48"/>
        <v>113.08333333333333</v>
      </c>
      <c r="AB72" s="753">
        <f t="shared" si="49"/>
        <v>123</v>
      </c>
      <c r="AC72" s="753">
        <f t="shared" si="50"/>
        <v>118.08333333333333</v>
      </c>
      <c r="AD72" s="753">
        <f t="shared" si="51"/>
        <v>122</v>
      </c>
      <c r="AE72" s="753">
        <f t="shared" si="52"/>
        <v>-8.3333333333333329E-2</v>
      </c>
      <c r="AF72" s="753">
        <f t="shared" si="72"/>
        <v>94.447283589869471</v>
      </c>
      <c r="AG72" s="753"/>
      <c r="AH72" s="753"/>
      <c r="AI72" s="753"/>
    </row>
    <row r="73" spans="2:35">
      <c r="B73" s="41" t="s">
        <v>527</v>
      </c>
      <c r="C73" s="41">
        <v>2013</v>
      </c>
      <c r="D73" s="41">
        <v>113</v>
      </c>
      <c r="E73" s="41">
        <v>2</v>
      </c>
      <c r="F73" s="763">
        <v>0</v>
      </c>
      <c r="G73" s="756" t="s">
        <v>153</v>
      </c>
      <c r="H73" s="41">
        <v>5</v>
      </c>
      <c r="I73" s="41">
        <f t="shared" si="61"/>
        <v>118</v>
      </c>
      <c r="L73" s="753">
        <v>279.56</v>
      </c>
      <c r="M73" s="753">
        <v>0</v>
      </c>
      <c r="N73" s="753">
        <f t="shared" si="62"/>
        <v>279.56</v>
      </c>
      <c r="O73" s="753">
        <f t="shared" si="63"/>
        <v>4.6593333333333335</v>
      </c>
      <c r="P73" s="753">
        <f t="shared" si="64"/>
        <v>0</v>
      </c>
      <c r="Q73" s="753">
        <f t="shared" si="65"/>
        <v>0</v>
      </c>
      <c r="R73" s="753">
        <f t="shared" si="66"/>
        <v>0</v>
      </c>
      <c r="S73" s="764">
        <f>+'WP-11 - Non-Regulated'!$N$57</f>
        <v>0.87226151155039422</v>
      </c>
      <c r="T73" s="753">
        <f t="shared" si="67"/>
        <v>0</v>
      </c>
      <c r="U73" s="753">
        <f t="shared" si="68"/>
        <v>279.56</v>
      </c>
      <c r="V73" s="753">
        <f t="shared" si="69"/>
        <v>243.84942816902822</v>
      </c>
      <c r="W73" s="764">
        <v>1</v>
      </c>
      <c r="X73" s="753">
        <f t="shared" si="70"/>
        <v>243.84942816902822</v>
      </c>
      <c r="Y73" s="753">
        <f t="shared" si="71"/>
        <v>243.84942816902822</v>
      </c>
      <c r="Z73" s="753">
        <f t="shared" si="47"/>
        <v>0</v>
      </c>
      <c r="AA73" s="753">
        <f t="shared" si="48"/>
        <v>113.08333333333333</v>
      </c>
      <c r="AB73" s="753">
        <f t="shared" si="49"/>
        <v>123</v>
      </c>
      <c r="AC73" s="753">
        <f t="shared" si="50"/>
        <v>118.08333333333333</v>
      </c>
      <c r="AD73" s="753">
        <f t="shared" si="51"/>
        <v>122</v>
      </c>
      <c r="AE73" s="753">
        <f t="shared" si="52"/>
        <v>-8.3333333333333329E-2</v>
      </c>
      <c r="AF73" s="753">
        <f t="shared" si="72"/>
        <v>35.710571830971787</v>
      </c>
      <c r="AG73" s="753"/>
      <c r="AH73" s="753"/>
      <c r="AI73" s="753"/>
    </row>
    <row r="74" spans="2:35">
      <c r="B74" s="41" t="s">
        <v>528</v>
      </c>
      <c r="C74" s="41">
        <v>2013</v>
      </c>
      <c r="D74" s="41">
        <v>113</v>
      </c>
      <c r="E74" s="41">
        <v>2</v>
      </c>
      <c r="F74" s="763">
        <v>0</v>
      </c>
      <c r="G74" s="756" t="s">
        <v>153</v>
      </c>
      <c r="H74" s="41">
        <v>5</v>
      </c>
      <c r="I74" s="41">
        <f t="shared" si="61"/>
        <v>118</v>
      </c>
      <c r="L74" s="753">
        <v>212.28</v>
      </c>
      <c r="M74" s="753">
        <v>0</v>
      </c>
      <c r="N74" s="753">
        <f t="shared" si="62"/>
        <v>212.28</v>
      </c>
      <c r="O74" s="753">
        <f t="shared" si="63"/>
        <v>3.5380000000000003</v>
      </c>
      <c r="P74" s="753">
        <f t="shared" si="64"/>
        <v>0</v>
      </c>
      <c r="Q74" s="753">
        <f t="shared" si="65"/>
        <v>0</v>
      </c>
      <c r="R74" s="753">
        <f t="shared" si="66"/>
        <v>0</v>
      </c>
      <c r="S74" s="764">
        <f>+'WP-11 - Non-Regulated'!$N$57</f>
        <v>0.87226151155039422</v>
      </c>
      <c r="T74" s="753">
        <f t="shared" si="67"/>
        <v>0</v>
      </c>
      <c r="U74" s="753">
        <f t="shared" si="68"/>
        <v>212.28</v>
      </c>
      <c r="V74" s="753">
        <f t="shared" si="69"/>
        <v>185.16367367191768</v>
      </c>
      <c r="W74" s="764">
        <v>1</v>
      </c>
      <c r="X74" s="753">
        <f t="shared" si="70"/>
        <v>185.16367367191768</v>
      </c>
      <c r="Y74" s="753">
        <f t="shared" si="71"/>
        <v>185.16367367191768</v>
      </c>
      <c r="Z74" s="753">
        <f t="shared" si="47"/>
        <v>0</v>
      </c>
      <c r="AA74" s="753">
        <f t="shared" si="48"/>
        <v>113.08333333333333</v>
      </c>
      <c r="AB74" s="753">
        <f t="shared" si="49"/>
        <v>123</v>
      </c>
      <c r="AC74" s="753">
        <f t="shared" si="50"/>
        <v>118.08333333333333</v>
      </c>
      <c r="AD74" s="753">
        <f t="shared" si="51"/>
        <v>122</v>
      </c>
      <c r="AE74" s="753">
        <f t="shared" si="52"/>
        <v>-8.3333333333333329E-2</v>
      </c>
      <c r="AF74" s="753">
        <f t="shared" si="72"/>
        <v>27.116326328082323</v>
      </c>
      <c r="AG74" s="753"/>
      <c r="AH74" s="753"/>
      <c r="AI74" s="753"/>
    </row>
    <row r="75" spans="2:35">
      <c r="B75" s="41" t="s">
        <v>528</v>
      </c>
      <c r="C75" s="41">
        <v>2013</v>
      </c>
      <c r="D75" s="41">
        <v>113</v>
      </c>
      <c r="E75" s="41">
        <v>2</v>
      </c>
      <c r="F75" s="763">
        <v>0</v>
      </c>
      <c r="G75" s="756" t="s">
        <v>153</v>
      </c>
      <c r="H75" s="41">
        <v>5</v>
      </c>
      <c r="I75" s="41">
        <f t="shared" si="61"/>
        <v>118</v>
      </c>
      <c r="L75" s="753">
        <v>100.67</v>
      </c>
      <c r="M75" s="753">
        <v>0</v>
      </c>
      <c r="N75" s="753">
        <f t="shared" si="62"/>
        <v>100.67</v>
      </c>
      <c r="O75" s="753">
        <f t="shared" si="63"/>
        <v>1.6778333333333333</v>
      </c>
      <c r="P75" s="753">
        <f t="shared" si="64"/>
        <v>0</v>
      </c>
      <c r="Q75" s="753">
        <f t="shared" si="65"/>
        <v>0</v>
      </c>
      <c r="R75" s="753">
        <f t="shared" si="66"/>
        <v>0</v>
      </c>
      <c r="S75" s="764">
        <f>+'WP-11 - Non-Regulated'!$N$57</f>
        <v>0.87226151155039422</v>
      </c>
      <c r="T75" s="753">
        <f t="shared" si="67"/>
        <v>0</v>
      </c>
      <c r="U75" s="753">
        <f t="shared" si="68"/>
        <v>100.67</v>
      </c>
      <c r="V75" s="753">
        <f t="shared" si="69"/>
        <v>87.810566367778193</v>
      </c>
      <c r="W75" s="764">
        <v>1</v>
      </c>
      <c r="X75" s="753">
        <f t="shared" si="70"/>
        <v>87.810566367778193</v>
      </c>
      <c r="Y75" s="753">
        <f t="shared" si="71"/>
        <v>87.810566367778193</v>
      </c>
      <c r="Z75" s="753">
        <f t="shared" si="47"/>
        <v>0</v>
      </c>
      <c r="AA75" s="753">
        <f t="shared" si="48"/>
        <v>113.08333333333333</v>
      </c>
      <c r="AB75" s="753">
        <f t="shared" si="49"/>
        <v>123</v>
      </c>
      <c r="AC75" s="753">
        <f t="shared" si="50"/>
        <v>118.08333333333333</v>
      </c>
      <c r="AD75" s="753">
        <f t="shared" si="51"/>
        <v>122</v>
      </c>
      <c r="AE75" s="753">
        <f t="shared" si="52"/>
        <v>-8.3333333333333329E-2</v>
      </c>
      <c r="AF75" s="753">
        <f t="shared" si="72"/>
        <v>12.859433632221808</v>
      </c>
      <c r="AG75" s="753"/>
      <c r="AH75" s="753"/>
      <c r="AI75" s="753"/>
    </row>
    <row r="76" spans="2:35">
      <c r="B76" s="41" t="s">
        <v>541</v>
      </c>
      <c r="C76" s="41">
        <v>2013</v>
      </c>
      <c r="D76" s="41">
        <v>113</v>
      </c>
      <c r="E76" s="41">
        <v>2</v>
      </c>
      <c r="F76" s="763">
        <v>0</v>
      </c>
      <c r="G76" s="756" t="s">
        <v>153</v>
      </c>
      <c r="H76" s="41">
        <v>5</v>
      </c>
      <c r="I76" s="41">
        <f t="shared" ref="I76:I81" si="73">D76+H76</f>
        <v>118</v>
      </c>
      <c r="L76" s="753"/>
      <c r="M76" s="753"/>
      <c r="N76" s="753"/>
      <c r="O76" s="753"/>
      <c r="P76" s="753"/>
      <c r="Q76" s="753"/>
      <c r="R76" s="753"/>
      <c r="S76" s="764"/>
      <c r="T76" s="753"/>
      <c r="U76" s="753"/>
      <c r="V76" s="753"/>
      <c r="W76" s="764"/>
      <c r="X76" s="753"/>
      <c r="Y76" s="753"/>
      <c r="Z76" s="753">
        <f t="shared" si="47"/>
        <v>0</v>
      </c>
      <c r="AA76" s="753"/>
      <c r="AB76" s="753"/>
      <c r="AC76" s="753"/>
      <c r="AD76" s="753"/>
      <c r="AE76" s="753"/>
      <c r="AF76" s="753"/>
      <c r="AG76" s="753"/>
      <c r="AH76" s="753"/>
      <c r="AI76" s="753"/>
    </row>
    <row r="77" spans="2:35">
      <c r="B77" s="41" t="s">
        <v>536</v>
      </c>
      <c r="C77" s="41">
        <v>2013</v>
      </c>
      <c r="D77" s="41">
        <v>113</v>
      </c>
      <c r="E77" s="41">
        <v>2</v>
      </c>
      <c r="F77" s="763">
        <v>0</v>
      </c>
      <c r="G77" s="756" t="s">
        <v>153</v>
      </c>
      <c r="H77" s="41">
        <v>5</v>
      </c>
      <c r="I77" s="41">
        <f t="shared" si="73"/>
        <v>118</v>
      </c>
      <c r="L77" s="753">
        <v>4417.38</v>
      </c>
      <c r="M77" s="753">
        <v>0</v>
      </c>
      <c r="N77" s="753">
        <f>L77-(+L77*F77)</f>
        <v>4417.38</v>
      </c>
      <c r="O77" s="753">
        <f>N77/H77/12</f>
        <v>73.623000000000005</v>
      </c>
      <c r="P77" s="753">
        <f>IF(Q77&gt;0,0,IF(OR(AA77&gt;AB77,AC77&lt;AD77),0,IF(AND(AC77&gt;=AD77,AC77&lt;=AB77),O77*((AC77-AD77)*12),IF(AND(AD77&lt;=AA77,AB77&gt;=AA77),((AB77-AA77)*12)*O77,IF(AC77&gt;AB77,12*O77,0)))))</f>
        <v>0</v>
      </c>
      <c r="Q77" s="753">
        <f>IF(M77=0,0,IF(AND(AE77&gt;=AD77,AE77&lt;=AC77),((AE77-AD77)*12)*O77,0))</f>
        <v>0</v>
      </c>
      <c r="R77" s="753">
        <f>IF(Q77&gt;0,Q77,P77)</f>
        <v>0</v>
      </c>
      <c r="S77" s="764">
        <f>+'WP-11 - Non-Regulated'!$N$57</f>
        <v>0.87226151155039422</v>
      </c>
      <c r="T77" s="753">
        <f>S77*SUM(P77:Q77)</f>
        <v>0</v>
      </c>
      <c r="U77" s="753">
        <f>IF(AA77&gt;AB77,0,IF(AC77&lt;AD77,N77,IF(AND(AC77&gt;=AD77,AC77&lt;=AB77),(N77-R77),IF(AND(AD77&lt;=AA77,AB77&gt;=AA77),0,IF(AC77&gt;AB77,((AD77-AA77)*12)*O77,0)))))</f>
        <v>4417.38</v>
      </c>
      <c r="V77" s="753">
        <f>U77*S77</f>
        <v>3853.1105558924805</v>
      </c>
      <c r="W77" s="764">
        <v>1</v>
      </c>
      <c r="X77" s="753">
        <f>V77*W77</f>
        <v>3853.1105558924805</v>
      </c>
      <c r="Y77" s="753">
        <f>IF(M77&gt;0,0,X77+T77*W77)*W77</f>
        <v>3853.1105558924805</v>
      </c>
      <c r="Z77" s="753">
        <f t="shared" si="47"/>
        <v>0</v>
      </c>
      <c r="AA77" s="753">
        <f t="shared" si="48"/>
        <v>113.08333333333333</v>
      </c>
      <c r="AB77" s="753">
        <f t="shared" si="49"/>
        <v>123</v>
      </c>
      <c r="AC77" s="753">
        <f t="shared" si="50"/>
        <v>118.08333333333333</v>
      </c>
      <c r="AD77" s="753">
        <f t="shared" si="51"/>
        <v>122</v>
      </c>
      <c r="AE77" s="753">
        <f t="shared" si="52"/>
        <v>-8.3333333333333329E-2</v>
      </c>
      <c r="AF77" s="753">
        <f>L77-((X77+Y77)/2)-Z77</f>
        <v>564.26944410751958</v>
      </c>
      <c r="AG77" s="753"/>
      <c r="AH77" s="753"/>
      <c r="AI77" s="753"/>
    </row>
    <row r="78" spans="2:35">
      <c r="B78" s="41" t="s">
        <v>537</v>
      </c>
      <c r="C78" s="41">
        <v>2013</v>
      </c>
      <c r="D78" s="41">
        <v>113</v>
      </c>
      <c r="E78" s="41">
        <v>2</v>
      </c>
      <c r="F78" s="763">
        <v>0</v>
      </c>
      <c r="G78" s="756" t="s">
        <v>153</v>
      </c>
      <c r="H78" s="41">
        <v>5</v>
      </c>
      <c r="I78" s="41">
        <f t="shared" si="73"/>
        <v>118</v>
      </c>
      <c r="L78" s="753">
        <v>3507.11</v>
      </c>
      <c r="M78" s="753">
        <v>0</v>
      </c>
      <c r="N78" s="753">
        <f>L78-(+L78*F78)</f>
        <v>3507.11</v>
      </c>
      <c r="O78" s="753">
        <f>N78/H78/12</f>
        <v>58.451833333333333</v>
      </c>
      <c r="P78" s="753">
        <f>IF(Q78&gt;0,0,IF(OR(AA78&gt;AB78,AC78&lt;AD78),0,IF(AND(AC78&gt;=AD78,AC78&lt;=AB78),O78*((AC78-AD78)*12),IF(AND(AD78&lt;=AA78,AB78&gt;=AA78),((AB78-AA78)*12)*O78,IF(AC78&gt;AB78,12*O78,0)))))</f>
        <v>0</v>
      </c>
      <c r="Q78" s="753">
        <f>IF(M78=0,0,IF(AND(AE78&gt;=AD78,AE78&lt;=AC78),((AE78-AD78)*12)*O78,0))</f>
        <v>0</v>
      </c>
      <c r="R78" s="753">
        <f>IF(Q78&gt;0,Q78,P78)</f>
        <v>0</v>
      </c>
      <c r="S78" s="764">
        <f>+'WP-11 - Non-Regulated'!$N$57</f>
        <v>0.87226151155039422</v>
      </c>
      <c r="T78" s="753">
        <f>S78*SUM(P78:Q78)</f>
        <v>0</v>
      </c>
      <c r="U78" s="753">
        <f>IF(AA78&gt;AB78,0,IF(AC78&lt;AD78,N78,IF(AND(AC78&gt;=AD78,AC78&lt;=AB78),(N78-R78),IF(AND(AD78&lt;=AA78,AB78&gt;=AA78),0,IF(AC78&gt;AB78,((AD78-AA78)*12)*O78,0)))))</f>
        <v>3507.11</v>
      </c>
      <c r="V78" s="753">
        <f>U78*S78</f>
        <v>3059.1170697735033</v>
      </c>
      <c r="W78" s="764">
        <v>1</v>
      </c>
      <c r="X78" s="753">
        <f>V78*W78</f>
        <v>3059.1170697735033</v>
      </c>
      <c r="Y78" s="753">
        <f>IF(M78&gt;0,0,X78+T78*W78)*W78</f>
        <v>3059.1170697735033</v>
      </c>
      <c r="Z78" s="753">
        <f t="shared" si="47"/>
        <v>0</v>
      </c>
      <c r="AA78" s="753">
        <f t="shared" si="48"/>
        <v>113.08333333333333</v>
      </c>
      <c r="AB78" s="753">
        <f t="shared" si="49"/>
        <v>123</v>
      </c>
      <c r="AC78" s="753">
        <f t="shared" si="50"/>
        <v>118.08333333333333</v>
      </c>
      <c r="AD78" s="753">
        <f t="shared" si="51"/>
        <v>122</v>
      </c>
      <c r="AE78" s="753">
        <f t="shared" si="52"/>
        <v>-8.3333333333333329E-2</v>
      </c>
      <c r="AF78" s="753">
        <f>L78-((X78+Y78)/2)-Z78</f>
        <v>447.99293022649681</v>
      </c>
      <c r="AG78" s="753"/>
      <c r="AH78" s="753"/>
      <c r="AI78" s="753"/>
    </row>
    <row r="79" spans="2:35">
      <c r="B79" s="41" t="s">
        <v>538</v>
      </c>
      <c r="C79" s="41">
        <v>2013</v>
      </c>
      <c r="D79" s="41">
        <v>113</v>
      </c>
      <c r="E79" s="41">
        <v>2</v>
      </c>
      <c r="F79" s="763">
        <v>0</v>
      </c>
      <c r="G79" s="756" t="s">
        <v>153</v>
      </c>
      <c r="H79" s="41">
        <v>5</v>
      </c>
      <c r="I79" s="41">
        <f t="shared" si="73"/>
        <v>118</v>
      </c>
      <c r="L79" s="753">
        <v>295.27999999999997</v>
      </c>
      <c r="M79" s="753">
        <v>0</v>
      </c>
      <c r="N79" s="753">
        <f>L79-(+L79*F79)</f>
        <v>295.27999999999997</v>
      </c>
      <c r="O79" s="753">
        <f>N79/H79/12</f>
        <v>4.9213333333333331</v>
      </c>
      <c r="P79" s="753">
        <f>IF(Q79&gt;0,0,IF(OR(AA79&gt;AB79,AC79&lt;AD79),0,IF(AND(AC79&gt;=AD79,AC79&lt;=AB79),O79*((AC79-AD79)*12),IF(AND(AD79&lt;=AA79,AB79&gt;=AA79),((AB79-AA79)*12)*O79,IF(AC79&gt;AB79,12*O79,0)))))</f>
        <v>0</v>
      </c>
      <c r="Q79" s="753">
        <f>IF(M79=0,0,IF(AND(AE79&gt;=AD79,AE79&lt;=AC79),((AE79-AD79)*12)*O79,0))</f>
        <v>0</v>
      </c>
      <c r="R79" s="753">
        <f>IF(Q79&gt;0,Q79,P79)</f>
        <v>0</v>
      </c>
      <c r="S79" s="764">
        <f>+'WP-11 - Non-Regulated'!$N$57</f>
        <v>0.87226151155039422</v>
      </c>
      <c r="T79" s="753">
        <f>S79*SUM(P79:Q79)</f>
        <v>0</v>
      </c>
      <c r="U79" s="753">
        <f>IF(AA79&gt;AB79,0,IF(AC79&lt;AD79,N79,IF(AND(AC79&gt;=AD79,AC79&lt;=AB79),(N79-R79),IF(AND(AD79&lt;=AA79,AB79&gt;=AA79),0,IF(AC79&gt;AB79,((AD79-AA79)*12)*O79,0)))))</f>
        <v>295.27999999999997</v>
      </c>
      <c r="V79" s="753">
        <f>U79*S79</f>
        <v>257.56137913060036</v>
      </c>
      <c r="W79" s="764">
        <v>1</v>
      </c>
      <c r="X79" s="753">
        <f>V79*W79</f>
        <v>257.56137913060036</v>
      </c>
      <c r="Y79" s="753">
        <f>IF(M79&gt;0,0,X79+T79*W79)*W79</f>
        <v>257.56137913060036</v>
      </c>
      <c r="Z79" s="753">
        <f t="shared" si="47"/>
        <v>0</v>
      </c>
      <c r="AA79" s="753">
        <f t="shared" si="48"/>
        <v>113.08333333333333</v>
      </c>
      <c r="AB79" s="753">
        <f t="shared" si="49"/>
        <v>123</v>
      </c>
      <c r="AC79" s="753">
        <f t="shared" si="50"/>
        <v>118.08333333333333</v>
      </c>
      <c r="AD79" s="753">
        <f t="shared" si="51"/>
        <v>122</v>
      </c>
      <c r="AE79" s="753">
        <f t="shared" si="52"/>
        <v>-8.3333333333333329E-2</v>
      </c>
      <c r="AF79" s="753">
        <f>L79-((X79+Y79)/2)-Z79</f>
        <v>37.718620869399615</v>
      </c>
      <c r="AG79" s="753"/>
      <c r="AH79" s="753"/>
      <c r="AI79" s="753"/>
    </row>
    <row r="80" spans="2:35">
      <c r="B80" s="41" t="s">
        <v>523</v>
      </c>
      <c r="C80" s="41">
        <v>2013</v>
      </c>
      <c r="D80" s="41">
        <v>113</v>
      </c>
      <c r="E80" s="41">
        <v>2</v>
      </c>
      <c r="F80" s="763">
        <v>0</v>
      </c>
      <c r="G80" s="756" t="s">
        <v>153</v>
      </c>
      <c r="H80" s="41">
        <v>5</v>
      </c>
      <c r="I80" s="41">
        <f t="shared" si="73"/>
        <v>118</v>
      </c>
      <c r="L80" s="753">
        <v>107.95</v>
      </c>
      <c r="M80" s="753">
        <v>0</v>
      </c>
      <c r="N80" s="753">
        <f>L80-(+L80*F80)</f>
        <v>107.95</v>
      </c>
      <c r="O80" s="753">
        <f>N80/H80/12</f>
        <v>1.7991666666666666</v>
      </c>
      <c r="P80" s="753">
        <f>IF(Q80&gt;0,0,IF(OR(AA80&gt;AB80,AC80&lt;AD80),0,IF(AND(AC80&gt;=AD80,AC80&lt;=AB80),O80*((AC80-AD80)*12),IF(AND(AD80&lt;=AA80,AB80&gt;=AA80),((AB80-AA80)*12)*O80,IF(AC80&gt;AB80,12*O80,0)))))</f>
        <v>0</v>
      </c>
      <c r="Q80" s="753">
        <f>IF(M80=0,0,IF(AND(AE80&gt;=AD80,AE80&lt;=AC80),((AE80-AD80)*12)*O80,0))</f>
        <v>0</v>
      </c>
      <c r="R80" s="753">
        <f>IF(Q80&gt;0,Q80,P80)</f>
        <v>0</v>
      </c>
      <c r="S80" s="764">
        <v>0</v>
      </c>
      <c r="T80" s="753">
        <f>S80*SUM(P80:Q80)</f>
        <v>0</v>
      </c>
      <c r="U80" s="753">
        <f>IF(AA80&gt;AB80,0,IF(AC80&lt;AD80,N80,IF(AND(AC80&gt;=AD80,AC80&lt;=AB80),(N80-R80),IF(AND(AD80&lt;=AA80,AB80&gt;=AA80),0,IF(AC80&gt;AB80,((AD80-AA80)*12)*O80,0)))))</f>
        <v>107.95</v>
      </c>
      <c r="V80" s="753">
        <f>U80*S80</f>
        <v>0</v>
      </c>
      <c r="W80" s="764">
        <v>1</v>
      </c>
      <c r="X80" s="753">
        <f>V80*W80</f>
        <v>0</v>
      </c>
      <c r="Y80" s="753">
        <f>IF(M80&gt;0,0,X80+T80*W80)*W80</f>
        <v>0</v>
      </c>
      <c r="Z80" s="753">
        <f t="shared" ref="Z80:Z111" si="74">IF(M80&gt;0,(L80-X80)/2,IF(AA80&gt;=AD80,(((L80*S80)*W80)-Y80),(+(((L80*S80)*W80)-Y80))))</f>
        <v>0</v>
      </c>
      <c r="AA80" s="753">
        <f t="shared" si="48"/>
        <v>113.08333333333333</v>
      </c>
      <c r="AB80" s="753">
        <f t="shared" si="49"/>
        <v>123</v>
      </c>
      <c r="AC80" s="753">
        <f t="shared" si="50"/>
        <v>118.08333333333333</v>
      </c>
      <c r="AD80" s="753">
        <f t="shared" si="51"/>
        <v>122</v>
      </c>
      <c r="AE80" s="753">
        <f t="shared" si="52"/>
        <v>-8.3333333333333329E-2</v>
      </c>
      <c r="AF80" s="753">
        <f>L80-((X80+Y80)/2)-Z80</f>
        <v>107.95</v>
      </c>
      <c r="AG80" s="753"/>
      <c r="AH80" s="753"/>
      <c r="AI80" s="753"/>
    </row>
    <row r="81" spans="2:35">
      <c r="B81" s="41" t="s">
        <v>597</v>
      </c>
      <c r="C81" s="41">
        <v>2014</v>
      </c>
      <c r="D81" s="41">
        <v>114</v>
      </c>
      <c r="E81" s="41">
        <v>2</v>
      </c>
      <c r="F81" s="763">
        <v>0</v>
      </c>
      <c r="G81" s="756" t="s">
        <v>153</v>
      </c>
      <c r="H81" s="41">
        <v>5</v>
      </c>
      <c r="I81" s="41">
        <f t="shared" si="73"/>
        <v>119</v>
      </c>
      <c r="L81" s="753"/>
      <c r="M81" s="753"/>
      <c r="N81" s="753"/>
      <c r="O81" s="753"/>
      <c r="P81" s="753"/>
      <c r="Q81" s="753"/>
      <c r="R81" s="753"/>
      <c r="S81" s="764"/>
      <c r="T81" s="753"/>
      <c r="U81" s="753"/>
      <c r="V81" s="753"/>
      <c r="W81" s="764"/>
      <c r="X81" s="753"/>
      <c r="Y81" s="753"/>
      <c r="Z81" s="753">
        <f t="shared" si="74"/>
        <v>0</v>
      </c>
      <c r="AA81" s="753"/>
      <c r="AB81" s="753"/>
      <c r="AC81" s="753"/>
      <c r="AD81" s="753"/>
      <c r="AE81" s="753"/>
      <c r="AF81" s="753"/>
      <c r="AG81" s="753"/>
      <c r="AH81" s="753"/>
      <c r="AI81" s="753"/>
    </row>
    <row r="82" spans="2:35">
      <c r="B82" s="41" t="s">
        <v>594</v>
      </c>
      <c r="C82" s="41">
        <v>2014</v>
      </c>
      <c r="D82" s="41">
        <v>114</v>
      </c>
      <c r="E82" s="41">
        <v>2</v>
      </c>
      <c r="F82" s="763">
        <v>0</v>
      </c>
      <c r="G82" s="756" t="s">
        <v>153</v>
      </c>
      <c r="H82" s="41">
        <v>5</v>
      </c>
      <c r="I82" s="41">
        <f t="shared" ref="I82:I92" si="75">D82+H82</f>
        <v>119</v>
      </c>
      <c r="L82" s="753">
        <v>10723.1</v>
      </c>
      <c r="M82" s="753">
        <v>0</v>
      </c>
      <c r="N82" s="753">
        <f t="shared" ref="N82:N92" si="76">L82-(+L82*F82)</f>
        <v>10723.1</v>
      </c>
      <c r="O82" s="753">
        <f t="shared" ref="O82:O92" si="77">N82/H82/12</f>
        <v>178.71833333333333</v>
      </c>
      <c r="P82" s="753">
        <f t="shared" ref="P82:P92" si="78">IF(Q82&gt;0,0,IF(OR(AA82&gt;AB82,AC82&lt;AD82),0,IF(AND(AC82&gt;=AD82,AC82&lt;=AB82),O82*((AC82-AD82)*12),IF(AND(AD82&lt;=AA82,AB82&gt;=AA82),((AB82-AA82)*12)*O82,IF(AC82&gt;AB82,12*O82,0)))))</f>
        <v>0</v>
      </c>
      <c r="Q82" s="753">
        <f t="shared" ref="Q82:Q92" si="79">IF(M82=0,0,IF(AND(AE82&gt;=AD82,AE82&lt;=AC82),((AE82-AD82)*12)*O82,0))</f>
        <v>0</v>
      </c>
      <c r="R82" s="753">
        <f t="shared" ref="R82:R92" si="80">IF(Q82&gt;0,Q82,P82)</f>
        <v>0</v>
      </c>
      <c r="S82" s="764">
        <f>+'WP-11 - Non-Regulated'!$N$57</f>
        <v>0.87226151155039422</v>
      </c>
      <c r="T82" s="753">
        <f t="shared" ref="T82:T92" si="81">S82*SUM(P82:Q82)</f>
        <v>0</v>
      </c>
      <c r="U82" s="753">
        <f t="shared" ref="U82:U92" si="82">IF(AA82&gt;AB82,0,IF(AC82&lt;AD82,N82,IF(AND(AC82&gt;=AD82,AC82&lt;=AB82),(N82-R82),IF(AND(AD82&lt;=AA82,AB82&gt;=AA82),0,IF(AC82&gt;AB82,((AD82-AA82)*12)*O82,0)))))</f>
        <v>10723.1</v>
      </c>
      <c r="V82" s="753">
        <f t="shared" ref="V82:V92" si="83">U82*S82</f>
        <v>9353.3474145060318</v>
      </c>
      <c r="W82" s="764">
        <v>1</v>
      </c>
      <c r="X82" s="753">
        <f t="shared" ref="X82:X92" si="84">V82*W82</f>
        <v>9353.3474145060318</v>
      </c>
      <c r="Y82" s="753">
        <f t="shared" ref="Y82:Y92" si="85">IF(M82&gt;0,0,X82+T82*W82)*W82</f>
        <v>9353.3474145060318</v>
      </c>
      <c r="Z82" s="753">
        <f t="shared" si="74"/>
        <v>0</v>
      </c>
      <c r="AA82" s="753">
        <f t="shared" si="48"/>
        <v>114.08333333333333</v>
      </c>
      <c r="AB82" s="753">
        <f t="shared" si="49"/>
        <v>123</v>
      </c>
      <c r="AC82" s="753">
        <f t="shared" si="50"/>
        <v>119.08333333333333</v>
      </c>
      <c r="AD82" s="753">
        <f t="shared" si="51"/>
        <v>122</v>
      </c>
      <c r="AE82" s="753">
        <f t="shared" si="52"/>
        <v>-8.3333333333333329E-2</v>
      </c>
      <c r="AF82" s="753">
        <f t="shared" ref="AF82:AF92" si="86">L82-((X82+Y82)/2)-Z82</f>
        <v>1369.7525854939686</v>
      </c>
      <c r="AG82" s="753"/>
      <c r="AH82" s="753"/>
      <c r="AI82" s="753"/>
    </row>
    <row r="83" spans="2:35">
      <c r="B83" s="41" t="s">
        <v>595</v>
      </c>
      <c r="C83" s="41">
        <v>2014</v>
      </c>
      <c r="D83" s="41">
        <v>114</v>
      </c>
      <c r="E83" s="41">
        <v>2</v>
      </c>
      <c r="F83" s="763">
        <v>0</v>
      </c>
      <c r="G83" s="756" t="s">
        <v>153</v>
      </c>
      <c r="H83" s="41">
        <v>5</v>
      </c>
      <c r="I83" s="41">
        <f t="shared" si="75"/>
        <v>119</v>
      </c>
      <c r="L83" s="753">
        <v>4160.3500000000004</v>
      </c>
      <c r="M83" s="753">
        <v>0</v>
      </c>
      <c r="N83" s="753">
        <f t="shared" si="76"/>
        <v>4160.3500000000004</v>
      </c>
      <c r="O83" s="753">
        <f t="shared" si="77"/>
        <v>69.339166666666671</v>
      </c>
      <c r="P83" s="753">
        <f t="shared" si="78"/>
        <v>0</v>
      </c>
      <c r="Q83" s="753">
        <f t="shared" si="79"/>
        <v>0</v>
      </c>
      <c r="R83" s="753">
        <f t="shared" si="80"/>
        <v>0</v>
      </c>
      <c r="S83" s="764">
        <f>+'WP-11 - Non-Regulated'!$N$57</f>
        <v>0.87226151155039422</v>
      </c>
      <c r="T83" s="753">
        <f t="shared" si="81"/>
        <v>0</v>
      </c>
      <c r="U83" s="753">
        <f t="shared" si="82"/>
        <v>4160.3500000000004</v>
      </c>
      <c r="V83" s="753">
        <f t="shared" si="83"/>
        <v>3628.913179578683</v>
      </c>
      <c r="W83" s="764">
        <v>1</v>
      </c>
      <c r="X83" s="753">
        <f t="shared" si="84"/>
        <v>3628.913179578683</v>
      </c>
      <c r="Y83" s="753">
        <f t="shared" si="85"/>
        <v>3628.913179578683</v>
      </c>
      <c r="Z83" s="753">
        <f t="shared" si="74"/>
        <v>0</v>
      </c>
      <c r="AA83" s="753">
        <f t="shared" si="48"/>
        <v>114.08333333333333</v>
      </c>
      <c r="AB83" s="753">
        <f t="shared" si="49"/>
        <v>123</v>
      </c>
      <c r="AC83" s="753">
        <f t="shared" si="50"/>
        <v>119.08333333333333</v>
      </c>
      <c r="AD83" s="753">
        <f t="shared" si="51"/>
        <v>122</v>
      </c>
      <c r="AE83" s="753">
        <f t="shared" si="52"/>
        <v>-8.3333333333333329E-2</v>
      </c>
      <c r="AF83" s="753">
        <f t="shared" si="86"/>
        <v>531.43682042131741</v>
      </c>
      <c r="AG83" s="753"/>
      <c r="AH83" s="753"/>
      <c r="AI83" s="753"/>
    </row>
    <row r="84" spans="2:35">
      <c r="B84" s="41" t="s">
        <v>525</v>
      </c>
      <c r="C84" s="41">
        <v>2014</v>
      </c>
      <c r="D84" s="41">
        <v>114</v>
      </c>
      <c r="E84" s="41">
        <v>2</v>
      </c>
      <c r="F84" s="763">
        <v>0</v>
      </c>
      <c r="G84" s="756" t="s">
        <v>153</v>
      </c>
      <c r="H84" s="41">
        <v>5</v>
      </c>
      <c r="I84" s="41">
        <f t="shared" si="75"/>
        <v>119</v>
      </c>
      <c r="L84" s="753">
        <v>2597.64</v>
      </c>
      <c r="M84" s="753">
        <v>0</v>
      </c>
      <c r="N84" s="753">
        <f t="shared" si="76"/>
        <v>2597.64</v>
      </c>
      <c r="O84" s="753">
        <f t="shared" si="77"/>
        <v>43.294000000000004</v>
      </c>
      <c r="P84" s="753">
        <f t="shared" si="78"/>
        <v>0</v>
      </c>
      <c r="Q84" s="753">
        <f t="shared" si="79"/>
        <v>0</v>
      </c>
      <c r="R84" s="753">
        <f t="shared" si="80"/>
        <v>0</v>
      </c>
      <c r="S84" s="764">
        <f>+'WP-11 - Non-Regulated'!$N$57</f>
        <v>0.87226151155039422</v>
      </c>
      <c r="T84" s="753">
        <f t="shared" si="81"/>
        <v>0</v>
      </c>
      <c r="U84" s="753">
        <f t="shared" si="82"/>
        <v>2597.64</v>
      </c>
      <c r="V84" s="753">
        <f t="shared" si="83"/>
        <v>2265.8213928637661</v>
      </c>
      <c r="W84" s="764">
        <v>1</v>
      </c>
      <c r="X84" s="753">
        <f t="shared" si="84"/>
        <v>2265.8213928637661</v>
      </c>
      <c r="Y84" s="753">
        <f t="shared" si="85"/>
        <v>2265.8213928637661</v>
      </c>
      <c r="Z84" s="753">
        <f t="shared" si="74"/>
        <v>0</v>
      </c>
      <c r="AA84" s="753">
        <f t="shared" si="48"/>
        <v>114.08333333333333</v>
      </c>
      <c r="AB84" s="753">
        <f t="shared" si="49"/>
        <v>123</v>
      </c>
      <c r="AC84" s="753">
        <f t="shared" si="50"/>
        <v>119.08333333333333</v>
      </c>
      <c r="AD84" s="753">
        <f t="shared" si="51"/>
        <v>122</v>
      </c>
      <c r="AE84" s="753">
        <f t="shared" si="52"/>
        <v>-8.3333333333333329E-2</v>
      </c>
      <c r="AF84" s="753">
        <f t="shared" si="86"/>
        <v>331.81860713623382</v>
      </c>
      <c r="AG84" s="753"/>
      <c r="AH84" s="753"/>
      <c r="AI84" s="753"/>
    </row>
    <row r="85" spans="2:35">
      <c r="B85" s="41" t="s">
        <v>538</v>
      </c>
      <c r="C85" s="41">
        <v>2014</v>
      </c>
      <c r="D85" s="41">
        <v>114</v>
      </c>
      <c r="E85" s="41">
        <v>2</v>
      </c>
      <c r="F85" s="763">
        <v>0</v>
      </c>
      <c r="G85" s="756" t="s">
        <v>153</v>
      </c>
      <c r="H85" s="41">
        <v>5</v>
      </c>
      <c r="I85" s="41">
        <f t="shared" si="75"/>
        <v>119</v>
      </c>
      <c r="L85" s="753">
        <v>1797.6</v>
      </c>
      <c r="M85" s="753">
        <v>0</v>
      </c>
      <c r="N85" s="753">
        <f t="shared" si="76"/>
        <v>1797.6</v>
      </c>
      <c r="O85" s="753">
        <f t="shared" si="77"/>
        <v>29.959999999999997</v>
      </c>
      <c r="P85" s="753">
        <f t="shared" si="78"/>
        <v>0</v>
      </c>
      <c r="Q85" s="753">
        <f t="shared" si="79"/>
        <v>0</v>
      </c>
      <c r="R85" s="753">
        <f t="shared" si="80"/>
        <v>0</v>
      </c>
      <c r="S85" s="764">
        <f>+'WP-11 - Non-Regulated'!$N$57</f>
        <v>0.87226151155039422</v>
      </c>
      <c r="T85" s="753">
        <f t="shared" si="81"/>
        <v>0</v>
      </c>
      <c r="U85" s="753">
        <f t="shared" si="82"/>
        <v>1797.6</v>
      </c>
      <c r="V85" s="753">
        <f t="shared" si="83"/>
        <v>1567.9772931629886</v>
      </c>
      <c r="W85" s="764">
        <v>1</v>
      </c>
      <c r="X85" s="753">
        <f t="shared" si="84"/>
        <v>1567.9772931629886</v>
      </c>
      <c r="Y85" s="753">
        <f t="shared" si="85"/>
        <v>1567.9772931629886</v>
      </c>
      <c r="Z85" s="753">
        <f t="shared" si="74"/>
        <v>0</v>
      </c>
      <c r="AA85" s="753">
        <f t="shared" si="48"/>
        <v>114.08333333333333</v>
      </c>
      <c r="AB85" s="753">
        <f t="shared" si="49"/>
        <v>123</v>
      </c>
      <c r="AC85" s="753">
        <f t="shared" si="50"/>
        <v>119.08333333333333</v>
      </c>
      <c r="AD85" s="753">
        <f t="shared" si="51"/>
        <v>122</v>
      </c>
      <c r="AE85" s="753">
        <f t="shared" si="52"/>
        <v>-8.3333333333333329E-2</v>
      </c>
      <c r="AF85" s="753">
        <f t="shared" si="86"/>
        <v>229.62270683701126</v>
      </c>
      <c r="AG85" s="753"/>
      <c r="AH85" s="753"/>
      <c r="AI85" s="753"/>
    </row>
    <row r="86" spans="2:35">
      <c r="B86" s="41" t="s">
        <v>544</v>
      </c>
      <c r="C86" s="41">
        <v>2014</v>
      </c>
      <c r="D86" s="41">
        <v>114</v>
      </c>
      <c r="E86" s="41">
        <v>2</v>
      </c>
      <c r="F86" s="763">
        <v>0</v>
      </c>
      <c r="G86" s="756" t="s">
        <v>153</v>
      </c>
      <c r="H86" s="41">
        <v>5</v>
      </c>
      <c r="I86" s="41">
        <f t="shared" si="75"/>
        <v>119</v>
      </c>
      <c r="L86" s="753">
        <v>949.36</v>
      </c>
      <c r="M86" s="753">
        <v>0</v>
      </c>
      <c r="N86" s="753">
        <f t="shared" si="76"/>
        <v>949.36</v>
      </c>
      <c r="O86" s="753">
        <f t="shared" si="77"/>
        <v>15.822666666666668</v>
      </c>
      <c r="P86" s="753">
        <f t="shared" si="78"/>
        <v>0</v>
      </c>
      <c r="Q86" s="753">
        <f t="shared" si="79"/>
        <v>0</v>
      </c>
      <c r="R86" s="753">
        <f t="shared" si="80"/>
        <v>0</v>
      </c>
      <c r="S86" s="764">
        <f>+'WP-11 - Non-Regulated'!$N$57</f>
        <v>0.87226151155039422</v>
      </c>
      <c r="T86" s="753">
        <f t="shared" si="81"/>
        <v>0</v>
      </c>
      <c r="U86" s="753">
        <f t="shared" si="82"/>
        <v>949.36</v>
      </c>
      <c r="V86" s="753">
        <f t="shared" si="83"/>
        <v>828.09018860548224</v>
      </c>
      <c r="W86" s="764">
        <v>1</v>
      </c>
      <c r="X86" s="753">
        <f t="shared" si="84"/>
        <v>828.09018860548224</v>
      </c>
      <c r="Y86" s="753">
        <f t="shared" si="85"/>
        <v>828.09018860548224</v>
      </c>
      <c r="Z86" s="753">
        <f t="shared" si="74"/>
        <v>0</v>
      </c>
      <c r="AA86" s="753">
        <f t="shared" si="48"/>
        <v>114.08333333333333</v>
      </c>
      <c r="AB86" s="753">
        <f t="shared" si="49"/>
        <v>123</v>
      </c>
      <c r="AC86" s="753">
        <f t="shared" si="50"/>
        <v>119.08333333333333</v>
      </c>
      <c r="AD86" s="753">
        <f t="shared" si="51"/>
        <v>122</v>
      </c>
      <c r="AE86" s="753">
        <f t="shared" si="52"/>
        <v>-8.3333333333333329E-2</v>
      </c>
      <c r="AF86" s="753">
        <f t="shared" si="86"/>
        <v>121.26981139451777</v>
      </c>
      <c r="AG86" s="753"/>
      <c r="AH86" s="753"/>
      <c r="AI86" s="753"/>
    </row>
    <row r="87" spans="2:35">
      <c r="B87" s="41" t="s">
        <v>594</v>
      </c>
      <c r="C87" s="41">
        <v>2014</v>
      </c>
      <c r="D87" s="41">
        <v>114</v>
      </c>
      <c r="E87" s="41">
        <v>2</v>
      </c>
      <c r="F87" s="763">
        <v>0</v>
      </c>
      <c r="G87" s="756" t="s">
        <v>153</v>
      </c>
      <c r="H87" s="41">
        <v>5</v>
      </c>
      <c r="I87" s="41">
        <f t="shared" si="75"/>
        <v>119</v>
      </c>
      <c r="L87" s="753">
        <v>860.13</v>
      </c>
      <c r="M87" s="753">
        <v>0</v>
      </c>
      <c r="N87" s="753">
        <f t="shared" si="76"/>
        <v>860.13</v>
      </c>
      <c r="O87" s="753">
        <f t="shared" si="77"/>
        <v>14.335500000000001</v>
      </c>
      <c r="P87" s="753">
        <f t="shared" si="78"/>
        <v>0</v>
      </c>
      <c r="Q87" s="753">
        <f t="shared" si="79"/>
        <v>0</v>
      </c>
      <c r="R87" s="753">
        <f t="shared" si="80"/>
        <v>0</v>
      </c>
      <c r="S87" s="764">
        <f>+'WP-11 - Non-Regulated'!$N$57</f>
        <v>0.87226151155039422</v>
      </c>
      <c r="T87" s="753">
        <f t="shared" si="81"/>
        <v>0</v>
      </c>
      <c r="U87" s="753">
        <f t="shared" si="82"/>
        <v>860.13</v>
      </c>
      <c r="V87" s="753">
        <f t="shared" si="83"/>
        <v>750.25829392984053</v>
      </c>
      <c r="W87" s="764">
        <v>1</v>
      </c>
      <c r="X87" s="753">
        <f t="shared" si="84"/>
        <v>750.25829392984053</v>
      </c>
      <c r="Y87" s="753">
        <f t="shared" si="85"/>
        <v>750.25829392984053</v>
      </c>
      <c r="Z87" s="753">
        <f t="shared" si="74"/>
        <v>0</v>
      </c>
      <c r="AA87" s="753">
        <f t="shared" si="48"/>
        <v>114.08333333333333</v>
      </c>
      <c r="AB87" s="753">
        <f t="shared" si="49"/>
        <v>123</v>
      </c>
      <c r="AC87" s="753">
        <f t="shared" si="50"/>
        <v>119.08333333333333</v>
      </c>
      <c r="AD87" s="753">
        <f t="shared" si="51"/>
        <v>122</v>
      </c>
      <c r="AE87" s="753">
        <f t="shared" si="52"/>
        <v>-8.3333333333333329E-2</v>
      </c>
      <c r="AF87" s="753">
        <f t="shared" si="86"/>
        <v>109.87170607015946</v>
      </c>
      <c r="AG87" s="753"/>
      <c r="AH87" s="753"/>
      <c r="AI87" s="753"/>
    </row>
    <row r="88" spans="2:35">
      <c r="B88" s="41" t="s">
        <v>595</v>
      </c>
      <c r="C88" s="41">
        <v>2014</v>
      </c>
      <c r="D88" s="41">
        <v>114</v>
      </c>
      <c r="E88" s="41">
        <v>2</v>
      </c>
      <c r="F88" s="763">
        <v>0</v>
      </c>
      <c r="G88" s="756" t="s">
        <v>153</v>
      </c>
      <c r="H88" s="41">
        <v>5</v>
      </c>
      <c r="I88" s="41">
        <f t="shared" si="75"/>
        <v>119</v>
      </c>
      <c r="L88" s="753">
        <v>625.16</v>
      </c>
      <c r="M88" s="753">
        <v>0</v>
      </c>
      <c r="N88" s="753">
        <f t="shared" si="76"/>
        <v>625.16</v>
      </c>
      <c r="O88" s="753">
        <f t="shared" si="77"/>
        <v>10.419333333333332</v>
      </c>
      <c r="P88" s="753">
        <f t="shared" si="78"/>
        <v>0</v>
      </c>
      <c r="Q88" s="753">
        <f t="shared" si="79"/>
        <v>0</v>
      </c>
      <c r="R88" s="753">
        <f t="shared" si="80"/>
        <v>0</v>
      </c>
      <c r="S88" s="764">
        <f>+'WP-11 - Non-Regulated'!$N$57</f>
        <v>0.87226151155039422</v>
      </c>
      <c r="T88" s="753">
        <f t="shared" si="81"/>
        <v>0</v>
      </c>
      <c r="U88" s="753">
        <f t="shared" si="82"/>
        <v>625.16</v>
      </c>
      <c r="V88" s="753">
        <f t="shared" si="83"/>
        <v>545.30300656084444</v>
      </c>
      <c r="W88" s="764">
        <v>1</v>
      </c>
      <c r="X88" s="753">
        <f t="shared" si="84"/>
        <v>545.30300656084444</v>
      </c>
      <c r="Y88" s="753">
        <f t="shared" si="85"/>
        <v>545.30300656084444</v>
      </c>
      <c r="Z88" s="753">
        <f t="shared" si="74"/>
        <v>0</v>
      </c>
      <c r="AA88" s="753">
        <f t="shared" si="48"/>
        <v>114.08333333333333</v>
      </c>
      <c r="AB88" s="753">
        <f t="shared" si="49"/>
        <v>123</v>
      </c>
      <c r="AC88" s="753">
        <f t="shared" si="50"/>
        <v>119.08333333333333</v>
      </c>
      <c r="AD88" s="753">
        <f t="shared" si="51"/>
        <v>122</v>
      </c>
      <c r="AE88" s="753">
        <f t="shared" si="52"/>
        <v>-8.3333333333333329E-2</v>
      </c>
      <c r="AF88" s="753">
        <f t="shared" si="86"/>
        <v>79.856993439155531</v>
      </c>
      <c r="AG88" s="753"/>
      <c r="AH88" s="753"/>
      <c r="AI88" s="753"/>
    </row>
    <row r="89" spans="2:35">
      <c r="B89" s="41" t="s">
        <v>526</v>
      </c>
      <c r="C89" s="41">
        <v>2014</v>
      </c>
      <c r="D89" s="41">
        <v>114</v>
      </c>
      <c r="E89" s="41">
        <v>2</v>
      </c>
      <c r="F89" s="763">
        <v>0</v>
      </c>
      <c r="G89" s="756" t="s">
        <v>153</v>
      </c>
      <c r="H89" s="41">
        <v>5</v>
      </c>
      <c r="I89" s="41">
        <f t="shared" si="75"/>
        <v>119</v>
      </c>
      <c r="L89" s="753">
        <v>265.12</v>
      </c>
      <c r="M89" s="753">
        <v>0</v>
      </c>
      <c r="N89" s="753">
        <f t="shared" si="76"/>
        <v>265.12</v>
      </c>
      <c r="O89" s="753">
        <f t="shared" si="77"/>
        <v>4.4186666666666667</v>
      </c>
      <c r="P89" s="753">
        <f t="shared" si="78"/>
        <v>0</v>
      </c>
      <c r="Q89" s="753">
        <f t="shared" si="79"/>
        <v>0</v>
      </c>
      <c r="R89" s="753">
        <f t="shared" si="80"/>
        <v>0</v>
      </c>
      <c r="S89" s="764">
        <f>+'WP-11 - Non-Regulated'!$N$57</f>
        <v>0.87226151155039422</v>
      </c>
      <c r="T89" s="753">
        <f t="shared" si="81"/>
        <v>0</v>
      </c>
      <c r="U89" s="753">
        <f t="shared" si="82"/>
        <v>265.12</v>
      </c>
      <c r="V89" s="753">
        <f t="shared" si="83"/>
        <v>231.25397194224053</v>
      </c>
      <c r="W89" s="764">
        <v>1</v>
      </c>
      <c r="X89" s="753">
        <f t="shared" si="84"/>
        <v>231.25397194224053</v>
      </c>
      <c r="Y89" s="753">
        <f t="shared" si="85"/>
        <v>231.25397194224053</v>
      </c>
      <c r="Z89" s="753">
        <f t="shared" si="74"/>
        <v>0</v>
      </c>
      <c r="AA89" s="753">
        <f t="shared" si="48"/>
        <v>114.08333333333333</v>
      </c>
      <c r="AB89" s="753">
        <f t="shared" si="49"/>
        <v>123</v>
      </c>
      <c r="AC89" s="753">
        <f t="shared" si="50"/>
        <v>119.08333333333333</v>
      </c>
      <c r="AD89" s="753">
        <f t="shared" si="51"/>
        <v>122</v>
      </c>
      <c r="AE89" s="753">
        <f t="shared" si="52"/>
        <v>-8.3333333333333329E-2</v>
      </c>
      <c r="AF89" s="753">
        <f t="shared" si="86"/>
        <v>33.866028057759479</v>
      </c>
      <c r="AG89" s="753"/>
      <c r="AH89" s="753"/>
      <c r="AI89" s="753"/>
    </row>
    <row r="90" spans="2:35">
      <c r="B90" s="41" t="s">
        <v>544</v>
      </c>
      <c r="C90" s="41">
        <v>2014</v>
      </c>
      <c r="D90" s="41">
        <v>114</v>
      </c>
      <c r="E90" s="41">
        <v>2</v>
      </c>
      <c r="F90" s="763">
        <v>0</v>
      </c>
      <c r="G90" s="756" t="s">
        <v>153</v>
      </c>
      <c r="H90" s="41">
        <v>5</v>
      </c>
      <c r="I90" s="41">
        <f t="shared" si="75"/>
        <v>119</v>
      </c>
      <c r="L90" s="753">
        <v>161.27000000000001</v>
      </c>
      <c r="M90" s="753">
        <v>0</v>
      </c>
      <c r="N90" s="753">
        <f t="shared" si="76"/>
        <v>161.27000000000001</v>
      </c>
      <c r="O90" s="753">
        <f t="shared" si="77"/>
        <v>2.6878333333333337</v>
      </c>
      <c r="P90" s="753">
        <f t="shared" si="78"/>
        <v>0</v>
      </c>
      <c r="Q90" s="753">
        <f t="shared" si="79"/>
        <v>0</v>
      </c>
      <c r="R90" s="753">
        <f t="shared" si="80"/>
        <v>0</v>
      </c>
      <c r="S90" s="764">
        <f>+'WP-11 - Non-Regulated'!$N$57</f>
        <v>0.87226151155039422</v>
      </c>
      <c r="T90" s="753">
        <f t="shared" si="81"/>
        <v>0</v>
      </c>
      <c r="U90" s="753">
        <f t="shared" si="82"/>
        <v>161.27000000000001</v>
      </c>
      <c r="V90" s="753">
        <f t="shared" si="83"/>
        <v>140.66961396773209</v>
      </c>
      <c r="W90" s="764">
        <v>1</v>
      </c>
      <c r="X90" s="753">
        <f t="shared" si="84"/>
        <v>140.66961396773209</v>
      </c>
      <c r="Y90" s="753">
        <f t="shared" si="85"/>
        <v>140.66961396773209</v>
      </c>
      <c r="Z90" s="753">
        <f t="shared" si="74"/>
        <v>0</v>
      </c>
      <c r="AA90" s="753">
        <f t="shared" si="48"/>
        <v>114.08333333333333</v>
      </c>
      <c r="AB90" s="753">
        <f t="shared" si="49"/>
        <v>123</v>
      </c>
      <c r="AC90" s="753">
        <f t="shared" si="50"/>
        <v>119.08333333333333</v>
      </c>
      <c r="AD90" s="753">
        <f t="shared" si="51"/>
        <v>122</v>
      </c>
      <c r="AE90" s="753">
        <f t="shared" si="52"/>
        <v>-8.3333333333333329E-2</v>
      </c>
      <c r="AF90" s="753">
        <f t="shared" si="86"/>
        <v>20.60038603226792</v>
      </c>
      <c r="AG90" s="753"/>
      <c r="AH90" s="753"/>
      <c r="AI90" s="753"/>
    </row>
    <row r="91" spans="2:35">
      <c r="B91" s="41" t="s">
        <v>543</v>
      </c>
      <c r="C91" s="41">
        <v>2014</v>
      </c>
      <c r="D91" s="41">
        <v>114</v>
      </c>
      <c r="E91" s="41">
        <v>2</v>
      </c>
      <c r="F91" s="763">
        <v>0</v>
      </c>
      <c r="G91" s="756" t="s">
        <v>153</v>
      </c>
      <c r="H91" s="41">
        <v>5</v>
      </c>
      <c r="I91" s="41">
        <f t="shared" si="75"/>
        <v>119</v>
      </c>
      <c r="L91" s="753">
        <v>319.2</v>
      </c>
      <c r="M91" s="753">
        <v>0</v>
      </c>
      <c r="N91" s="753">
        <f t="shared" si="76"/>
        <v>319.2</v>
      </c>
      <c r="O91" s="753">
        <f t="shared" si="77"/>
        <v>5.3199999999999994</v>
      </c>
      <c r="P91" s="753">
        <f t="shared" si="78"/>
        <v>0</v>
      </c>
      <c r="Q91" s="753">
        <f t="shared" si="79"/>
        <v>0</v>
      </c>
      <c r="R91" s="753">
        <f t="shared" si="80"/>
        <v>0</v>
      </c>
      <c r="S91" s="764">
        <f>+'WP-11 - Non-Regulated'!$N$57</f>
        <v>0.87226151155039422</v>
      </c>
      <c r="T91" s="753">
        <f t="shared" si="81"/>
        <v>0</v>
      </c>
      <c r="U91" s="753">
        <f t="shared" si="82"/>
        <v>319.2</v>
      </c>
      <c r="V91" s="753">
        <f t="shared" si="83"/>
        <v>278.42587448688585</v>
      </c>
      <c r="W91" s="764">
        <v>1</v>
      </c>
      <c r="X91" s="753">
        <f t="shared" si="84"/>
        <v>278.42587448688585</v>
      </c>
      <c r="Y91" s="753">
        <f t="shared" si="85"/>
        <v>278.42587448688585</v>
      </c>
      <c r="Z91" s="753">
        <f t="shared" si="74"/>
        <v>0</v>
      </c>
      <c r="AA91" s="753">
        <f t="shared" si="48"/>
        <v>114.08333333333333</v>
      </c>
      <c r="AB91" s="753">
        <f t="shared" si="49"/>
        <v>123</v>
      </c>
      <c r="AC91" s="753">
        <f t="shared" si="50"/>
        <v>119.08333333333333</v>
      </c>
      <c r="AD91" s="753">
        <f t="shared" si="51"/>
        <v>122</v>
      </c>
      <c r="AE91" s="753">
        <f t="shared" si="52"/>
        <v>-8.3333333333333329E-2</v>
      </c>
      <c r="AF91" s="753">
        <f t="shared" si="86"/>
        <v>40.774125513114143</v>
      </c>
      <c r="AG91" s="753"/>
      <c r="AH91" s="753"/>
      <c r="AI91" s="753"/>
    </row>
    <row r="92" spans="2:35">
      <c r="B92" s="41" t="s">
        <v>596</v>
      </c>
      <c r="C92" s="41">
        <v>2014</v>
      </c>
      <c r="D92" s="41">
        <v>114</v>
      </c>
      <c r="E92" s="41">
        <v>2</v>
      </c>
      <c r="F92" s="763">
        <v>0</v>
      </c>
      <c r="G92" s="756" t="s">
        <v>153</v>
      </c>
      <c r="H92" s="41">
        <v>5</v>
      </c>
      <c r="I92" s="41">
        <f t="shared" si="75"/>
        <v>119</v>
      </c>
      <c r="L92" s="753">
        <v>78.83</v>
      </c>
      <c r="M92" s="753">
        <v>0</v>
      </c>
      <c r="N92" s="753">
        <f t="shared" si="76"/>
        <v>78.83</v>
      </c>
      <c r="O92" s="753">
        <f t="shared" si="77"/>
        <v>1.3138333333333334</v>
      </c>
      <c r="P92" s="753">
        <f t="shared" si="78"/>
        <v>0</v>
      </c>
      <c r="Q92" s="753">
        <f t="shared" si="79"/>
        <v>0</v>
      </c>
      <c r="R92" s="753">
        <f t="shared" si="80"/>
        <v>0</v>
      </c>
      <c r="S92" s="764">
        <f>+'WP-11 - Non-Regulated'!$N$57</f>
        <v>0.87226151155039422</v>
      </c>
      <c r="T92" s="753">
        <f t="shared" si="81"/>
        <v>0</v>
      </c>
      <c r="U92" s="753">
        <f t="shared" si="82"/>
        <v>78.83</v>
      </c>
      <c r="V92" s="753">
        <f t="shared" si="83"/>
        <v>68.760374955517577</v>
      </c>
      <c r="W92" s="764">
        <v>1</v>
      </c>
      <c r="X92" s="753">
        <f t="shared" si="84"/>
        <v>68.760374955517577</v>
      </c>
      <c r="Y92" s="753">
        <f t="shared" si="85"/>
        <v>68.760374955517577</v>
      </c>
      <c r="Z92" s="753">
        <f t="shared" si="74"/>
        <v>0</v>
      </c>
      <c r="AA92" s="753">
        <f t="shared" si="48"/>
        <v>114.08333333333333</v>
      </c>
      <c r="AB92" s="753">
        <f t="shared" si="49"/>
        <v>123</v>
      </c>
      <c r="AC92" s="753">
        <f t="shared" si="50"/>
        <v>119.08333333333333</v>
      </c>
      <c r="AD92" s="753">
        <f t="shared" si="51"/>
        <v>122</v>
      </c>
      <c r="AE92" s="753">
        <f t="shared" si="52"/>
        <v>-8.3333333333333329E-2</v>
      </c>
      <c r="AF92" s="753">
        <f t="shared" si="86"/>
        <v>10.069625044482422</v>
      </c>
      <c r="AG92" s="753"/>
      <c r="AH92" s="753"/>
      <c r="AI92" s="753"/>
    </row>
    <row r="93" spans="2:35">
      <c r="B93" s="41" t="s">
        <v>535</v>
      </c>
      <c r="C93" s="41">
        <v>2015</v>
      </c>
      <c r="D93" s="41">
        <v>115</v>
      </c>
      <c r="E93" s="41">
        <v>8</v>
      </c>
      <c r="F93" s="763">
        <v>0</v>
      </c>
      <c r="G93" s="756" t="s">
        <v>153</v>
      </c>
      <c r="H93" s="41">
        <v>5</v>
      </c>
      <c r="I93" s="41">
        <f>D93+H93</f>
        <v>120</v>
      </c>
      <c r="L93" s="753"/>
      <c r="M93" s="753"/>
      <c r="N93" s="753"/>
      <c r="O93" s="753"/>
      <c r="P93" s="753"/>
      <c r="Q93" s="753"/>
      <c r="R93" s="753"/>
      <c r="S93" s="764"/>
      <c r="T93" s="753"/>
      <c r="U93" s="753"/>
      <c r="V93" s="753"/>
      <c r="W93" s="764"/>
      <c r="X93" s="753"/>
      <c r="Y93" s="753"/>
      <c r="Z93" s="753">
        <f t="shared" si="74"/>
        <v>0</v>
      </c>
      <c r="AA93" s="753"/>
      <c r="AB93" s="753"/>
      <c r="AC93" s="753"/>
      <c r="AD93" s="753"/>
      <c r="AE93" s="753"/>
      <c r="AF93" s="753"/>
      <c r="AG93" s="753"/>
      <c r="AH93" s="753"/>
      <c r="AI93" s="753"/>
    </row>
    <row r="94" spans="2:35">
      <c r="B94" s="41" t="s">
        <v>523</v>
      </c>
      <c r="C94" s="41">
        <v>2015</v>
      </c>
      <c r="D94" s="41">
        <v>115</v>
      </c>
      <c r="E94" s="41">
        <v>8</v>
      </c>
      <c r="F94" s="763">
        <v>0</v>
      </c>
      <c r="G94" s="756" t="s">
        <v>153</v>
      </c>
      <c r="H94" s="41">
        <v>5</v>
      </c>
      <c r="I94" s="41">
        <f t="shared" ref="I94:I101" si="87">D94+H94</f>
        <v>120</v>
      </c>
      <c r="L94" s="753">
        <f>4435-28.28</f>
        <v>4406.72</v>
      </c>
      <c r="M94" s="753">
        <v>0</v>
      </c>
      <c r="N94" s="753">
        <f t="shared" ref="N94:N101" si="88">L94-(+L94*F94)</f>
        <v>4406.72</v>
      </c>
      <c r="O94" s="753">
        <f t="shared" ref="O94:O101" si="89">N94/H94/12</f>
        <v>73.445333333333338</v>
      </c>
      <c r="P94" s="753">
        <f t="shared" ref="P94:P122" si="90">IF(Q94&gt;0,0,IF(OR(AA94&gt;AB94,AC94&lt;AD94),0,IF(AND(AC94&gt;=AD94,AC94&lt;=AB94),O94*((AC94-AD94)*12),IF(AND(AD94&lt;=AA94,AB94&gt;=AA94),((AB94-AA94)*12)*O94,IF(AC94&gt;AB94,12*O94,0)))))</f>
        <v>0</v>
      </c>
      <c r="Q94" s="753">
        <f t="shared" ref="Q94:Q122" si="91">IF(M94=0,0,IF(AND(AE94&gt;=AD94,AE94&lt;=AC94),((AE94-AD94)*12)*O94,0))</f>
        <v>0</v>
      </c>
      <c r="R94" s="753">
        <f t="shared" ref="R94:R101" si="92">IF(Q94&gt;0,Q94,P94)</f>
        <v>0</v>
      </c>
      <c r="S94" s="764">
        <f>+'WP-11 - Non-Regulated'!$N$57</f>
        <v>0.87226151155039422</v>
      </c>
      <c r="T94" s="753">
        <f t="shared" ref="T94:T101" si="93">S94*SUM(P94:Q94)</f>
        <v>0</v>
      </c>
      <c r="U94" s="753">
        <f t="shared" ref="U94:U122" si="94">IF(AA94&gt;AB94,0,IF(AC94&lt;AD94,N94,IF(AND(AC94&gt;=AD94,AC94&lt;=AB94),(N94-R94),IF(AND(AD94&lt;=AA94,AB94&gt;=AA94),0,IF(AC94&gt;AB94,((AD94-AA94)*12)*O94,0)))))</f>
        <v>4406.72</v>
      </c>
      <c r="V94" s="753">
        <f t="shared" ref="V94:V101" si="95">U94*S94</f>
        <v>3843.8122481793534</v>
      </c>
      <c r="W94" s="764">
        <v>1</v>
      </c>
      <c r="X94" s="753">
        <f t="shared" ref="X94:X101" si="96">V94*W94</f>
        <v>3843.8122481793534</v>
      </c>
      <c r="Y94" s="753">
        <f t="shared" ref="Y94:Y101" si="97">IF(M94&gt;0,0,X94+T94*W94)*W94</f>
        <v>3843.8122481793534</v>
      </c>
      <c r="Z94" s="753">
        <f t="shared" si="74"/>
        <v>0</v>
      </c>
      <c r="AA94" s="753">
        <f t="shared" si="48"/>
        <v>115.58333333333333</v>
      </c>
      <c r="AB94" s="753">
        <f t="shared" si="49"/>
        <v>123</v>
      </c>
      <c r="AC94" s="753">
        <f t="shared" si="50"/>
        <v>120.58333333333333</v>
      </c>
      <c r="AD94" s="753">
        <f t="shared" si="51"/>
        <v>122</v>
      </c>
      <c r="AE94" s="753">
        <f t="shared" si="52"/>
        <v>-8.3333333333333329E-2</v>
      </c>
      <c r="AF94" s="753">
        <f t="shared" ref="AF94:AF122" si="98">L94-((X94+Y94)/2)-Z94</f>
        <v>562.90775182064681</v>
      </c>
      <c r="AG94" s="753"/>
      <c r="AH94" s="753"/>
      <c r="AI94" s="753"/>
    </row>
    <row r="95" spans="2:35">
      <c r="B95" s="41" t="s">
        <v>524</v>
      </c>
      <c r="C95" s="41">
        <v>2015</v>
      </c>
      <c r="D95" s="41">
        <v>115</v>
      </c>
      <c r="E95" s="41">
        <v>8</v>
      </c>
      <c r="F95" s="763">
        <v>0</v>
      </c>
      <c r="G95" s="756" t="s">
        <v>153</v>
      </c>
      <c r="H95" s="41">
        <v>5</v>
      </c>
      <c r="I95" s="41">
        <f t="shared" si="87"/>
        <v>120</v>
      </c>
      <c r="L95" s="753">
        <v>6000.97</v>
      </c>
      <c r="M95" s="753">
        <v>0</v>
      </c>
      <c r="N95" s="753">
        <f t="shared" si="88"/>
        <v>6000.97</v>
      </c>
      <c r="O95" s="753">
        <f t="shared" si="89"/>
        <v>100.01616666666666</v>
      </c>
      <c r="P95" s="753">
        <f t="shared" si="90"/>
        <v>0</v>
      </c>
      <c r="Q95" s="753">
        <f t="shared" si="91"/>
        <v>0</v>
      </c>
      <c r="R95" s="753">
        <f t="shared" si="92"/>
        <v>0</v>
      </c>
      <c r="S95" s="764">
        <f>+'WP-11 - Non-Regulated'!$N$57</f>
        <v>0.87226151155039422</v>
      </c>
      <c r="T95" s="753">
        <f t="shared" si="93"/>
        <v>0</v>
      </c>
      <c r="U95" s="753">
        <f t="shared" si="94"/>
        <v>6000.97</v>
      </c>
      <c r="V95" s="753">
        <f t="shared" si="95"/>
        <v>5234.4151629685693</v>
      </c>
      <c r="W95" s="764">
        <v>1</v>
      </c>
      <c r="X95" s="753">
        <f t="shared" si="96"/>
        <v>5234.4151629685693</v>
      </c>
      <c r="Y95" s="753">
        <f t="shared" si="97"/>
        <v>5234.4151629685693</v>
      </c>
      <c r="Z95" s="753">
        <f t="shared" si="74"/>
        <v>0</v>
      </c>
      <c r="AA95" s="753">
        <f t="shared" si="48"/>
        <v>115.58333333333333</v>
      </c>
      <c r="AB95" s="753">
        <f t="shared" si="49"/>
        <v>123</v>
      </c>
      <c r="AC95" s="753">
        <f t="shared" si="50"/>
        <v>120.58333333333333</v>
      </c>
      <c r="AD95" s="753">
        <f t="shared" si="51"/>
        <v>122</v>
      </c>
      <c r="AE95" s="753">
        <f t="shared" si="52"/>
        <v>-8.3333333333333329E-2</v>
      </c>
      <c r="AF95" s="753">
        <f t="shared" si="98"/>
        <v>766.55483703143091</v>
      </c>
      <c r="AG95" s="753"/>
      <c r="AH95" s="753"/>
      <c r="AI95" s="753"/>
    </row>
    <row r="96" spans="2:35">
      <c r="B96" s="41" t="s">
        <v>525</v>
      </c>
      <c r="C96" s="41">
        <v>2015</v>
      </c>
      <c r="D96" s="41">
        <v>115</v>
      </c>
      <c r="E96" s="41">
        <v>8</v>
      </c>
      <c r="F96" s="763">
        <v>0</v>
      </c>
      <c r="G96" s="756" t="s">
        <v>153</v>
      </c>
      <c r="H96" s="41">
        <v>5</v>
      </c>
      <c r="I96" s="41">
        <f t="shared" si="87"/>
        <v>120</v>
      </c>
      <c r="L96" s="753">
        <v>2595.5100000000002</v>
      </c>
      <c r="M96" s="753">
        <v>0</v>
      </c>
      <c r="N96" s="753">
        <f t="shared" si="88"/>
        <v>2595.5100000000002</v>
      </c>
      <c r="O96" s="753">
        <f t="shared" si="89"/>
        <v>43.258500000000005</v>
      </c>
      <c r="P96" s="753">
        <f t="shared" si="90"/>
        <v>0</v>
      </c>
      <c r="Q96" s="753">
        <f t="shared" si="91"/>
        <v>0</v>
      </c>
      <c r="R96" s="753">
        <f t="shared" si="92"/>
        <v>0</v>
      </c>
      <c r="S96" s="764">
        <f>+'WP-11 - Non-Regulated'!$N$57</f>
        <v>0.87226151155039422</v>
      </c>
      <c r="T96" s="753">
        <f t="shared" si="93"/>
        <v>0</v>
      </c>
      <c r="U96" s="753">
        <f t="shared" si="94"/>
        <v>2595.5100000000002</v>
      </c>
      <c r="V96" s="753">
        <f t="shared" si="95"/>
        <v>2263.9634758441639</v>
      </c>
      <c r="W96" s="764">
        <v>1</v>
      </c>
      <c r="X96" s="753">
        <f t="shared" si="96"/>
        <v>2263.9634758441639</v>
      </c>
      <c r="Y96" s="753">
        <f t="shared" si="97"/>
        <v>2263.9634758441639</v>
      </c>
      <c r="Z96" s="753">
        <f t="shared" si="74"/>
        <v>0</v>
      </c>
      <c r="AA96" s="753">
        <f t="shared" si="48"/>
        <v>115.58333333333333</v>
      </c>
      <c r="AB96" s="753">
        <f t="shared" si="49"/>
        <v>123</v>
      </c>
      <c r="AC96" s="753">
        <f t="shared" si="50"/>
        <v>120.58333333333333</v>
      </c>
      <c r="AD96" s="753">
        <f t="shared" si="51"/>
        <v>122</v>
      </c>
      <c r="AE96" s="753">
        <f t="shared" si="52"/>
        <v>-8.3333333333333329E-2</v>
      </c>
      <c r="AF96" s="753">
        <f t="shared" si="98"/>
        <v>331.54652415583632</v>
      </c>
      <c r="AG96" s="753"/>
      <c r="AH96" s="753"/>
      <c r="AI96" s="753"/>
    </row>
    <row r="97" spans="2:35">
      <c r="B97" s="41" t="s">
        <v>525</v>
      </c>
      <c r="C97" s="41">
        <v>2015</v>
      </c>
      <c r="D97" s="41">
        <v>115</v>
      </c>
      <c r="E97" s="41">
        <v>8</v>
      </c>
      <c r="F97" s="763">
        <v>0</v>
      </c>
      <c r="G97" s="756" t="s">
        <v>153</v>
      </c>
      <c r="H97" s="41">
        <v>5</v>
      </c>
      <c r="I97" s="41">
        <f t="shared" si="87"/>
        <v>120</v>
      </c>
      <c r="L97" s="753">
        <v>482.06</v>
      </c>
      <c r="M97" s="753">
        <v>0</v>
      </c>
      <c r="N97" s="753">
        <f t="shared" si="88"/>
        <v>482.06</v>
      </c>
      <c r="O97" s="753">
        <f t="shared" si="89"/>
        <v>8.0343333333333344</v>
      </c>
      <c r="P97" s="753">
        <f t="shared" si="90"/>
        <v>0</v>
      </c>
      <c r="Q97" s="753">
        <f t="shared" si="91"/>
        <v>0</v>
      </c>
      <c r="R97" s="753">
        <f t="shared" si="92"/>
        <v>0</v>
      </c>
      <c r="S97" s="764">
        <f>+'WP-11 - Non-Regulated'!$N$57</f>
        <v>0.87226151155039422</v>
      </c>
      <c r="T97" s="753">
        <f t="shared" si="93"/>
        <v>0</v>
      </c>
      <c r="U97" s="753">
        <f t="shared" si="94"/>
        <v>482.06</v>
      </c>
      <c r="V97" s="753">
        <f t="shared" si="95"/>
        <v>420.48238425798303</v>
      </c>
      <c r="W97" s="764">
        <v>1</v>
      </c>
      <c r="X97" s="753">
        <f t="shared" si="96"/>
        <v>420.48238425798303</v>
      </c>
      <c r="Y97" s="753">
        <f t="shared" si="97"/>
        <v>420.48238425798303</v>
      </c>
      <c r="Z97" s="753">
        <f t="shared" si="74"/>
        <v>0</v>
      </c>
      <c r="AA97" s="753">
        <f t="shared" si="48"/>
        <v>115.58333333333333</v>
      </c>
      <c r="AB97" s="753">
        <f t="shared" si="49"/>
        <v>123</v>
      </c>
      <c r="AC97" s="753">
        <f t="shared" si="50"/>
        <v>120.58333333333333</v>
      </c>
      <c r="AD97" s="753">
        <f t="shared" si="51"/>
        <v>122</v>
      </c>
      <c r="AE97" s="753">
        <f t="shared" si="52"/>
        <v>-8.3333333333333329E-2</v>
      </c>
      <c r="AF97" s="753">
        <f t="shared" si="98"/>
        <v>61.577615742016974</v>
      </c>
      <c r="AG97" s="753"/>
      <c r="AH97" s="753"/>
      <c r="AI97" s="753"/>
    </row>
    <row r="98" spans="2:35">
      <c r="B98" s="41" t="s">
        <v>526</v>
      </c>
      <c r="C98" s="41">
        <v>2015</v>
      </c>
      <c r="D98" s="41">
        <v>115</v>
      </c>
      <c r="E98" s="41">
        <v>8</v>
      </c>
      <c r="F98" s="763">
        <v>0</v>
      </c>
      <c r="G98" s="756" t="s">
        <v>153</v>
      </c>
      <c r="H98" s="41">
        <v>5</v>
      </c>
      <c r="I98" s="41">
        <f t="shared" si="87"/>
        <v>120</v>
      </c>
      <c r="L98" s="753">
        <v>313.05</v>
      </c>
      <c r="M98" s="753">
        <v>0</v>
      </c>
      <c r="N98" s="753">
        <f t="shared" si="88"/>
        <v>313.05</v>
      </c>
      <c r="O98" s="753">
        <f t="shared" si="89"/>
        <v>5.2175000000000002</v>
      </c>
      <c r="P98" s="753">
        <f t="shared" si="90"/>
        <v>0</v>
      </c>
      <c r="Q98" s="753">
        <f t="shared" si="91"/>
        <v>0</v>
      </c>
      <c r="R98" s="753">
        <f t="shared" si="92"/>
        <v>0</v>
      </c>
      <c r="S98" s="764">
        <f>+'WP-11 - Non-Regulated'!$N$57</f>
        <v>0.87226151155039422</v>
      </c>
      <c r="T98" s="753">
        <f t="shared" si="93"/>
        <v>0</v>
      </c>
      <c r="U98" s="753">
        <f t="shared" si="94"/>
        <v>313.05</v>
      </c>
      <c r="V98" s="753">
        <f t="shared" si="95"/>
        <v>273.06146619085092</v>
      </c>
      <c r="W98" s="764">
        <v>1</v>
      </c>
      <c r="X98" s="753">
        <f t="shared" si="96"/>
        <v>273.06146619085092</v>
      </c>
      <c r="Y98" s="753">
        <f t="shared" si="97"/>
        <v>273.06146619085092</v>
      </c>
      <c r="Z98" s="753">
        <f t="shared" si="74"/>
        <v>0</v>
      </c>
      <c r="AA98" s="753">
        <f t="shared" si="48"/>
        <v>115.58333333333333</v>
      </c>
      <c r="AB98" s="753">
        <f t="shared" si="49"/>
        <v>123</v>
      </c>
      <c r="AC98" s="753">
        <f t="shared" si="50"/>
        <v>120.58333333333333</v>
      </c>
      <c r="AD98" s="753">
        <f t="shared" si="51"/>
        <v>122</v>
      </c>
      <c r="AE98" s="753">
        <f t="shared" si="52"/>
        <v>-8.3333333333333329E-2</v>
      </c>
      <c r="AF98" s="753">
        <f t="shared" si="98"/>
        <v>39.988533809149089</v>
      </c>
      <c r="AG98" s="753"/>
      <c r="AH98" s="753"/>
      <c r="AI98" s="753"/>
    </row>
    <row r="99" spans="2:35">
      <c r="B99" s="41" t="s">
        <v>524</v>
      </c>
      <c r="C99" s="41">
        <v>2015</v>
      </c>
      <c r="D99" s="41">
        <v>115</v>
      </c>
      <c r="E99" s="41">
        <v>8</v>
      </c>
      <c r="F99" s="763">
        <v>0</v>
      </c>
      <c r="G99" s="756" t="s">
        <v>153</v>
      </c>
      <c r="H99" s="41">
        <v>5</v>
      </c>
      <c r="I99" s="41">
        <f t="shared" si="87"/>
        <v>120</v>
      </c>
      <c r="L99" s="753">
        <v>310.88</v>
      </c>
      <c r="M99" s="753">
        <v>0</v>
      </c>
      <c r="N99" s="753">
        <f t="shared" si="88"/>
        <v>310.88</v>
      </c>
      <c r="O99" s="753">
        <f t="shared" si="89"/>
        <v>5.1813333333333338</v>
      </c>
      <c r="P99" s="753">
        <f t="shared" si="90"/>
        <v>0</v>
      </c>
      <c r="Q99" s="753">
        <f t="shared" si="91"/>
        <v>0</v>
      </c>
      <c r="R99" s="753">
        <f t="shared" si="92"/>
        <v>0</v>
      </c>
      <c r="S99" s="764">
        <f>+'WP-11 - Non-Regulated'!$N$57</f>
        <v>0.87226151155039422</v>
      </c>
      <c r="T99" s="753">
        <f t="shared" si="93"/>
        <v>0</v>
      </c>
      <c r="U99" s="753">
        <f t="shared" si="94"/>
        <v>310.88</v>
      </c>
      <c r="V99" s="753">
        <f t="shared" si="95"/>
        <v>271.16865871078653</v>
      </c>
      <c r="W99" s="764">
        <v>1</v>
      </c>
      <c r="X99" s="753">
        <f t="shared" si="96"/>
        <v>271.16865871078653</v>
      </c>
      <c r="Y99" s="753">
        <f t="shared" si="97"/>
        <v>271.16865871078653</v>
      </c>
      <c r="Z99" s="753">
        <f t="shared" si="74"/>
        <v>0</v>
      </c>
      <c r="AA99" s="753">
        <f t="shared" si="48"/>
        <v>115.58333333333333</v>
      </c>
      <c r="AB99" s="753">
        <f t="shared" si="49"/>
        <v>123</v>
      </c>
      <c r="AC99" s="753">
        <f t="shared" si="50"/>
        <v>120.58333333333333</v>
      </c>
      <c r="AD99" s="753">
        <f t="shared" si="51"/>
        <v>122</v>
      </c>
      <c r="AE99" s="753">
        <f t="shared" si="52"/>
        <v>-8.3333333333333329E-2</v>
      </c>
      <c r="AF99" s="753">
        <f t="shared" si="98"/>
        <v>39.711341289213465</v>
      </c>
      <c r="AG99" s="753"/>
      <c r="AH99" s="753"/>
      <c r="AI99" s="753"/>
    </row>
    <row r="100" spans="2:35">
      <c r="B100" s="41" t="s">
        <v>527</v>
      </c>
      <c r="C100" s="41">
        <v>2015</v>
      </c>
      <c r="D100" s="41">
        <v>115</v>
      </c>
      <c r="E100" s="41">
        <v>8</v>
      </c>
      <c r="F100" s="763">
        <v>0</v>
      </c>
      <c r="G100" s="756" t="s">
        <v>153</v>
      </c>
      <c r="H100" s="41">
        <v>5</v>
      </c>
      <c r="I100" s="41">
        <f t="shared" si="87"/>
        <v>120</v>
      </c>
      <c r="L100" s="753">
        <v>696.38</v>
      </c>
      <c r="M100" s="753">
        <v>0</v>
      </c>
      <c r="N100" s="753">
        <f t="shared" si="88"/>
        <v>696.38</v>
      </c>
      <c r="O100" s="753">
        <f t="shared" si="89"/>
        <v>11.606333333333334</v>
      </c>
      <c r="P100" s="753">
        <f t="shared" si="90"/>
        <v>0</v>
      </c>
      <c r="Q100" s="753">
        <f t="shared" si="91"/>
        <v>0</v>
      </c>
      <c r="R100" s="753">
        <f t="shared" si="92"/>
        <v>0</v>
      </c>
      <c r="S100" s="764">
        <f>+'WP-11 - Non-Regulated'!$N$57</f>
        <v>0.87226151155039422</v>
      </c>
      <c r="T100" s="753">
        <f t="shared" si="93"/>
        <v>0</v>
      </c>
      <c r="U100" s="753">
        <f t="shared" si="94"/>
        <v>696.38</v>
      </c>
      <c r="V100" s="753">
        <f t="shared" si="95"/>
        <v>607.42547141346347</v>
      </c>
      <c r="W100" s="764">
        <v>1</v>
      </c>
      <c r="X100" s="753">
        <f t="shared" si="96"/>
        <v>607.42547141346347</v>
      </c>
      <c r="Y100" s="753">
        <f t="shared" si="97"/>
        <v>607.42547141346347</v>
      </c>
      <c r="Z100" s="753">
        <f t="shared" si="74"/>
        <v>0</v>
      </c>
      <c r="AA100" s="753">
        <f t="shared" si="48"/>
        <v>115.58333333333333</v>
      </c>
      <c r="AB100" s="753">
        <f t="shared" si="49"/>
        <v>123</v>
      </c>
      <c r="AC100" s="753">
        <f t="shared" si="50"/>
        <v>120.58333333333333</v>
      </c>
      <c r="AD100" s="753">
        <f t="shared" si="51"/>
        <v>122</v>
      </c>
      <c r="AE100" s="753">
        <f t="shared" si="52"/>
        <v>-8.3333333333333329E-2</v>
      </c>
      <c r="AF100" s="753">
        <f t="shared" si="98"/>
        <v>88.954528586536526</v>
      </c>
      <c r="AG100" s="753"/>
      <c r="AH100" s="753"/>
      <c r="AI100" s="753"/>
    </row>
    <row r="101" spans="2:35">
      <c r="B101" s="41" t="s">
        <v>528</v>
      </c>
      <c r="C101" s="41">
        <v>2015</v>
      </c>
      <c r="D101" s="41">
        <v>115</v>
      </c>
      <c r="E101" s="41">
        <v>8</v>
      </c>
      <c r="F101" s="763">
        <v>0</v>
      </c>
      <c r="G101" s="756" t="s">
        <v>153</v>
      </c>
      <c r="H101" s="41">
        <v>5</v>
      </c>
      <c r="I101" s="41">
        <f t="shared" si="87"/>
        <v>120</v>
      </c>
      <c r="L101" s="753">
        <v>4535.51</v>
      </c>
      <c r="M101" s="753">
        <v>0</v>
      </c>
      <c r="N101" s="753">
        <f t="shared" si="88"/>
        <v>4535.51</v>
      </c>
      <c r="O101" s="753">
        <f t="shared" si="89"/>
        <v>75.591833333333341</v>
      </c>
      <c r="P101" s="753">
        <f t="shared" si="90"/>
        <v>0</v>
      </c>
      <c r="Q101" s="753">
        <f t="shared" si="91"/>
        <v>0</v>
      </c>
      <c r="R101" s="753">
        <f t="shared" si="92"/>
        <v>0</v>
      </c>
      <c r="S101" s="764">
        <f>+'WP-11 - Non-Regulated'!$N$57</f>
        <v>0.87226151155039422</v>
      </c>
      <c r="T101" s="753">
        <f t="shared" si="93"/>
        <v>0</v>
      </c>
      <c r="U101" s="753">
        <f t="shared" si="94"/>
        <v>4535.51</v>
      </c>
      <c r="V101" s="753">
        <f t="shared" si="95"/>
        <v>3956.1508082519285</v>
      </c>
      <c r="W101" s="764">
        <v>1</v>
      </c>
      <c r="X101" s="753">
        <f t="shared" si="96"/>
        <v>3956.1508082519285</v>
      </c>
      <c r="Y101" s="753">
        <f t="shared" si="97"/>
        <v>3956.1508082519285</v>
      </c>
      <c r="Z101" s="753">
        <f t="shared" si="74"/>
        <v>0</v>
      </c>
      <c r="AA101" s="753">
        <f t="shared" si="48"/>
        <v>115.58333333333333</v>
      </c>
      <c r="AB101" s="753">
        <f t="shared" si="49"/>
        <v>123</v>
      </c>
      <c r="AC101" s="753">
        <f t="shared" si="50"/>
        <v>120.58333333333333</v>
      </c>
      <c r="AD101" s="753">
        <f t="shared" si="51"/>
        <v>122</v>
      </c>
      <c r="AE101" s="753">
        <f t="shared" si="52"/>
        <v>-8.3333333333333329E-2</v>
      </c>
      <c r="AF101" s="753">
        <f t="shared" si="98"/>
        <v>579.35919174807168</v>
      </c>
      <c r="AG101" s="753"/>
      <c r="AH101" s="753"/>
      <c r="AI101" s="753"/>
    </row>
    <row r="102" spans="2:35">
      <c r="B102" s="41" t="s">
        <v>585</v>
      </c>
      <c r="C102" s="41">
        <v>2015</v>
      </c>
      <c r="D102" s="41">
        <v>115</v>
      </c>
      <c r="E102" s="41">
        <v>10</v>
      </c>
      <c r="F102" s="763">
        <v>0</v>
      </c>
      <c r="G102" s="756" t="s">
        <v>153</v>
      </c>
      <c r="H102" s="41">
        <v>5</v>
      </c>
      <c r="I102" s="41">
        <f t="shared" ref="I102:I129" si="99">D102+H102</f>
        <v>120</v>
      </c>
      <c r="L102" s="753">
        <v>13130.53</v>
      </c>
      <c r="M102" s="753">
        <v>0</v>
      </c>
      <c r="N102" s="753">
        <f t="shared" ref="N102:N126" si="100">L102-(+L102*F102)</f>
        <v>13130.53</v>
      </c>
      <c r="O102" s="753">
        <f t="shared" ref="O102:O126" si="101">N102/H102/12</f>
        <v>218.84216666666669</v>
      </c>
      <c r="P102" s="753">
        <f t="shared" si="90"/>
        <v>0</v>
      </c>
      <c r="Q102" s="753">
        <f t="shared" si="91"/>
        <v>0</v>
      </c>
      <c r="R102" s="753">
        <f t="shared" ref="R102:R119" si="102">IF(Q102&gt;0,Q102,P102)</f>
        <v>0</v>
      </c>
      <c r="S102" s="764">
        <f>+'WP-11 - Non-Regulated'!$N$57</f>
        <v>0.87226151155039422</v>
      </c>
      <c r="T102" s="753">
        <f>S102*SUM(P102:Q102)</f>
        <v>0</v>
      </c>
      <c r="U102" s="753">
        <f t="shared" si="94"/>
        <v>13130.53</v>
      </c>
      <c r="V102" s="753">
        <f>U102*S102</f>
        <v>11453.255945257799</v>
      </c>
      <c r="W102" s="764">
        <v>1</v>
      </c>
      <c r="X102" s="753">
        <f>V102*W102</f>
        <v>11453.255945257799</v>
      </c>
      <c r="Y102" s="753">
        <f>IF(M102&gt;0,0,X102+T102*W102)*W102</f>
        <v>11453.255945257799</v>
      </c>
      <c r="Z102" s="753">
        <f t="shared" si="74"/>
        <v>0</v>
      </c>
      <c r="AA102" s="753">
        <f t="shared" si="48"/>
        <v>115.75</v>
      </c>
      <c r="AB102" s="753">
        <f t="shared" si="49"/>
        <v>123</v>
      </c>
      <c r="AC102" s="753">
        <f t="shared" si="50"/>
        <v>120.75</v>
      </c>
      <c r="AD102" s="753">
        <f t="shared" si="51"/>
        <v>122</v>
      </c>
      <c r="AE102" s="753">
        <f t="shared" si="52"/>
        <v>-8.3333333333333329E-2</v>
      </c>
      <c r="AF102" s="753">
        <f t="shared" si="98"/>
        <v>1677.2740547422018</v>
      </c>
      <c r="AG102" s="753"/>
      <c r="AH102" s="753"/>
      <c r="AI102" s="753"/>
    </row>
    <row r="103" spans="2:35">
      <c r="B103" s="41" t="s">
        <v>785</v>
      </c>
      <c r="C103" s="41">
        <v>2016</v>
      </c>
      <c r="D103" s="41">
        <v>116</v>
      </c>
      <c r="E103" s="41">
        <v>3</v>
      </c>
      <c r="F103" s="763">
        <v>0</v>
      </c>
      <c r="G103" s="756" t="s">
        <v>153</v>
      </c>
      <c r="H103" s="41">
        <v>5</v>
      </c>
      <c r="I103" s="41">
        <f t="shared" si="99"/>
        <v>121</v>
      </c>
      <c r="L103" s="753">
        <v>18737.46</v>
      </c>
      <c r="M103" s="753">
        <v>0</v>
      </c>
      <c r="N103" s="753">
        <f t="shared" si="100"/>
        <v>18737.46</v>
      </c>
      <c r="O103" s="753">
        <f t="shared" si="101"/>
        <v>312.291</v>
      </c>
      <c r="P103" s="753">
        <f t="shared" si="90"/>
        <v>0</v>
      </c>
      <c r="Q103" s="753">
        <f t="shared" si="91"/>
        <v>0</v>
      </c>
      <c r="R103" s="753">
        <f t="shared" si="102"/>
        <v>0</v>
      </c>
      <c r="S103" s="764">
        <f>+'WP-11 - Non-Regulated'!$N$57</f>
        <v>0.87226151155039422</v>
      </c>
      <c r="T103" s="753">
        <f>S103*SUM(P103:Q103)</f>
        <v>0</v>
      </c>
      <c r="U103" s="753">
        <f t="shared" si="94"/>
        <v>18737.46</v>
      </c>
      <c r="V103" s="753">
        <f>U103*S103</f>
        <v>16343.965182215048</v>
      </c>
      <c r="W103" s="764">
        <v>1</v>
      </c>
      <c r="X103" s="753">
        <f>V103*W103</f>
        <v>16343.965182215048</v>
      </c>
      <c r="Y103" s="753">
        <f>IF(M103&gt;0,0,X103+T103*W103)*W103</f>
        <v>16343.965182215048</v>
      </c>
      <c r="Z103" s="753">
        <f t="shared" si="74"/>
        <v>0</v>
      </c>
      <c r="AA103" s="753">
        <f t="shared" si="48"/>
        <v>116.16666666666667</v>
      </c>
      <c r="AB103" s="753">
        <f>($B$10+1)-($B$7/12)</f>
        <v>123</v>
      </c>
      <c r="AC103" s="753">
        <f t="shared" ref="AC103:AC129" si="103">$I103+(($E103-1)/12)</f>
        <v>121.16666666666667</v>
      </c>
      <c r="AD103" s="753">
        <f>$B$9+($B$8/12)</f>
        <v>122</v>
      </c>
      <c r="AE103" s="753">
        <f>$J103+(($K103-1)/12)</f>
        <v>-8.3333333333333329E-2</v>
      </c>
      <c r="AF103" s="753">
        <f t="shared" si="98"/>
        <v>2393.494817784951</v>
      </c>
      <c r="AG103" s="753"/>
      <c r="AH103" s="753"/>
      <c r="AI103" s="753"/>
    </row>
    <row r="104" spans="2:35">
      <c r="B104" s="768" t="s">
        <v>783</v>
      </c>
      <c r="C104" s="41">
        <v>2016</v>
      </c>
      <c r="D104" s="41">
        <v>116</v>
      </c>
      <c r="E104" s="41">
        <v>7</v>
      </c>
      <c r="F104" s="763">
        <f>12369/L104</f>
        <v>0.33333027913075963</v>
      </c>
      <c r="G104" s="756" t="s">
        <v>153</v>
      </c>
      <c r="H104" s="41">
        <v>5</v>
      </c>
      <c r="I104" s="41">
        <f t="shared" si="99"/>
        <v>121</v>
      </c>
      <c r="L104" s="753">
        <v>37107.339999999997</v>
      </c>
      <c r="M104" s="753">
        <v>0</v>
      </c>
      <c r="N104" s="753">
        <f t="shared" si="100"/>
        <v>24738.339999999997</v>
      </c>
      <c r="O104" s="753">
        <f t="shared" si="101"/>
        <v>412.30566666666664</v>
      </c>
      <c r="P104" s="753">
        <f t="shared" si="90"/>
        <v>0</v>
      </c>
      <c r="Q104" s="753">
        <f t="shared" si="91"/>
        <v>0</v>
      </c>
      <c r="R104" s="753">
        <f t="shared" si="102"/>
        <v>0</v>
      </c>
      <c r="S104" s="764">
        <f>+'WP-11 - Non-Regulated'!$N$57</f>
        <v>0.87226151155039422</v>
      </c>
      <c r="T104" s="753">
        <f>S104*SUM(P104:Q104)</f>
        <v>0</v>
      </c>
      <c r="U104" s="753">
        <f t="shared" si="94"/>
        <v>24738.339999999997</v>
      </c>
      <c r="V104" s="753">
        <f>U104*S104</f>
        <v>21578.301841647575</v>
      </c>
      <c r="W104" s="764">
        <v>1</v>
      </c>
      <c r="X104" s="753">
        <f>V104*W104</f>
        <v>21578.301841647575</v>
      </c>
      <c r="Y104" s="753">
        <f>IF(M104&gt;0,0,X104+T104*W104)*W104</f>
        <v>21578.301841647575</v>
      </c>
      <c r="Z104" s="753">
        <f t="shared" si="74"/>
        <v>10789.002636366826</v>
      </c>
      <c r="AA104" s="753">
        <f t="shared" ref="AA104:AA129" si="104">$D104+(($E104-1)/12)</f>
        <v>116.5</v>
      </c>
      <c r="AB104" s="753">
        <f>($B$10+1)-($B$7/12)</f>
        <v>123</v>
      </c>
      <c r="AC104" s="753">
        <f t="shared" si="103"/>
        <v>121.5</v>
      </c>
      <c r="AD104" s="753">
        <f>$B$9+($B$8/12)</f>
        <v>122</v>
      </c>
      <c r="AE104" s="753">
        <f>$J104+(($K104-1)/12)</f>
        <v>-8.3333333333333329E-2</v>
      </c>
      <c r="AF104" s="753">
        <f t="shared" si="98"/>
        <v>4740.0355219855956</v>
      </c>
      <c r="AG104" s="753"/>
      <c r="AH104" s="753"/>
      <c r="AI104" s="753"/>
    </row>
    <row r="105" spans="2:35">
      <c r="B105" s="768" t="s">
        <v>784</v>
      </c>
      <c r="C105" s="41">
        <v>2016</v>
      </c>
      <c r="D105" s="41">
        <v>116</v>
      </c>
      <c r="E105" s="41">
        <v>9</v>
      </c>
      <c r="F105" s="763">
        <f>31581/L105</f>
        <v>0.19999602300426056</v>
      </c>
      <c r="G105" s="756" t="s">
        <v>153</v>
      </c>
      <c r="H105" s="41">
        <v>7</v>
      </c>
      <c r="I105" s="41">
        <f t="shared" si="99"/>
        <v>123</v>
      </c>
      <c r="L105" s="753">
        <v>157908.14000000001</v>
      </c>
      <c r="M105" s="753">
        <v>0</v>
      </c>
      <c r="N105" s="753">
        <f t="shared" si="100"/>
        <v>126327.14000000001</v>
      </c>
      <c r="O105" s="753">
        <f t="shared" si="101"/>
        <v>1503.8945238095239</v>
      </c>
      <c r="P105" s="753">
        <f t="shared" si="90"/>
        <v>18046.734285714287</v>
      </c>
      <c r="Q105" s="753">
        <f t="shared" si="91"/>
        <v>0</v>
      </c>
      <c r="R105" s="753">
        <f t="shared" si="102"/>
        <v>18046.734285714287</v>
      </c>
      <c r="S105" s="764">
        <f>+'WP-11 - Non-Regulated'!$N$57</f>
        <v>0.87226151155039422</v>
      </c>
      <c r="T105" s="753">
        <f>S105*SUM(P105:Q105)</f>
        <v>15741.471726605467</v>
      </c>
      <c r="U105" s="753">
        <f t="shared" si="94"/>
        <v>96249.249523809442</v>
      </c>
      <c r="V105" s="753">
        <f>U105*S105</f>
        <v>83954.515875229088</v>
      </c>
      <c r="W105" s="764">
        <v>1</v>
      </c>
      <c r="X105" s="753">
        <f>V105*W105</f>
        <v>83954.515875229088</v>
      </c>
      <c r="Y105" s="753">
        <f>IF(M105&gt;0,0,X105+T105*W105)*W105</f>
        <v>99695.987601834553</v>
      </c>
      <c r="Z105" s="753">
        <f t="shared" si="74"/>
        <v>38041.205280676717</v>
      </c>
      <c r="AA105" s="753">
        <f t="shared" si="104"/>
        <v>116.66666666666667</v>
      </c>
      <c r="AB105" s="753">
        <f>($B$10+1)-($B$7/12)</f>
        <v>123</v>
      </c>
      <c r="AC105" s="753">
        <f t="shared" si="103"/>
        <v>123.66666666666667</v>
      </c>
      <c r="AD105" s="753">
        <f>$B$9+($B$8/12)</f>
        <v>122</v>
      </c>
      <c r="AE105" s="753">
        <f>$J105+(($K105-1)/12)</f>
        <v>-8.3333333333333329E-2</v>
      </c>
      <c r="AF105" s="753">
        <f t="shared" si="98"/>
        <v>28041.682980791476</v>
      </c>
      <c r="AG105" s="753"/>
      <c r="AH105" s="753"/>
      <c r="AI105" s="753"/>
    </row>
    <row r="106" spans="2:35">
      <c r="B106" s="41" t="s">
        <v>786</v>
      </c>
      <c r="C106" s="41">
        <v>2016</v>
      </c>
      <c r="D106" s="41">
        <v>116</v>
      </c>
      <c r="E106" s="41">
        <v>12</v>
      </c>
      <c r="F106" s="763">
        <v>0</v>
      </c>
      <c r="G106" s="756" t="s">
        <v>153</v>
      </c>
      <c r="H106" s="41">
        <v>7</v>
      </c>
      <c r="I106" s="41">
        <f t="shared" si="99"/>
        <v>123</v>
      </c>
      <c r="L106" s="753">
        <v>60458.94</v>
      </c>
      <c r="M106" s="753">
        <v>0</v>
      </c>
      <c r="N106" s="753">
        <f t="shared" si="100"/>
        <v>60458.94</v>
      </c>
      <c r="O106" s="753">
        <f t="shared" si="101"/>
        <v>719.74928571428575</v>
      </c>
      <c r="P106" s="753">
        <f t="shared" si="90"/>
        <v>8636.9914285714294</v>
      </c>
      <c r="Q106" s="753">
        <f t="shared" si="91"/>
        <v>0</v>
      </c>
      <c r="R106" s="753">
        <f t="shared" si="102"/>
        <v>8636.9914285714294</v>
      </c>
      <c r="S106" s="764">
        <f>+'WP-11 - Non-Regulated'!$N$57</f>
        <v>0.87226151155039422</v>
      </c>
      <c r="T106" s="753">
        <f t="shared" ref="T106:T122" si="105">S106*SUM(P106:Q106)</f>
        <v>7533.7151987335137</v>
      </c>
      <c r="U106" s="753">
        <f t="shared" si="94"/>
        <v>43904.706428571393</v>
      </c>
      <c r="V106" s="753">
        <f t="shared" ref="V106:V119" si="106">U106*S106</f>
        <v>38296.385593561994</v>
      </c>
      <c r="W106" s="764">
        <v>1</v>
      </c>
      <c r="X106" s="753">
        <f t="shared" ref="X106:X122" si="107">V106*W106</f>
        <v>38296.385593561994</v>
      </c>
      <c r="Y106" s="753">
        <f t="shared" ref="Y106:Y122" si="108">IF(M106&gt;0,0,X106+T106*W106)*W106</f>
        <v>45830.10079229551</v>
      </c>
      <c r="Z106" s="753">
        <f t="shared" si="74"/>
        <v>6905.9055988390828</v>
      </c>
      <c r="AA106" s="753">
        <f t="shared" si="104"/>
        <v>116.91666666666667</v>
      </c>
      <c r="AB106" s="753">
        <f t="shared" ref="AB106:AB122" si="109">($B$10+1)-($B$7/12)</f>
        <v>123</v>
      </c>
      <c r="AC106" s="753">
        <f t="shared" si="103"/>
        <v>123.91666666666667</v>
      </c>
      <c r="AD106" s="753">
        <f t="shared" ref="AD106:AD122" si="110">$B$9+($B$8/12)</f>
        <v>122</v>
      </c>
      <c r="AE106" s="753">
        <f t="shared" ref="AE106:AE122" si="111">$J106+(($K106-1)/12)</f>
        <v>-8.3333333333333329E-2</v>
      </c>
      <c r="AF106" s="753">
        <f t="shared" si="98"/>
        <v>11489.791208232164</v>
      </c>
      <c r="AG106" s="753"/>
      <c r="AH106" s="753"/>
      <c r="AI106" s="753"/>
    </row>
    <row r="107" spans="2:35">
      <c r="B107" s="41" t="s">
        <v>787</v>
      </c>
      <c r="C107" s="41">
        <v>2017</v>
      </c>
      <c r="D107" s="41">
        <v>117</v>
      </c>
      <c r="E107" s="41">
        <v>5</v>
      </c>
      <c r="F107" s="763">
        <v>0</v>
      </c>
      <c r="G107" s="756" t="s">
        <v>153</v>
      </c>
      <c r="H107" s="41">
        <v>5</v>
      </c>
      <c r="I107" s="41">
        <f t="shared" si="99"/>
        <v>122</v>
      </c>
      <c r="L107" s="753">
        <v>24303.35</v>
      </c>
      <c r="M107" s="753">
        <v>0</v>
      </c>
      <c r="N107" s="753">
        <f t="shared" si="100"/>
        <v>24303.35</v>
      </c>
      <c r="O107" s="753">
        <f t="shared" si="101"/>
        <v>405.05583333333334</v>
      </c>
      <c r="P107" s="753">
        <f t="shared" si="90"/>
        <v>1620.2233333333104</v>
      </c>
      <c r="Q107" s="753">
        <f t="shared" si="91"/>
        <v>0</v>
      </c>
      <c r="R107" s="753">
        <f t="shared" si="102"/>
        <v>1620.2233333333104</v>
      </c>
      <c r="S107" s="764">
        <f>+'WP-11 - Non-Regulated'!$N$57</f>
        <v>0.87226151155039422</v>
      </c>
      <c r="T107" s="753">
        <f t="shared" si="105"/>
        <v>1413.2584537825317</v>
      </c>
      <c r="U107" s="753">
        <f t="shared" si="94"/>
        <v>22683.126666666689</v>
      </c>
      <c r="V107" s="753">
        <f t="shared" si="106"/>
        <v>19785.618352955742</v>
      </c>
      <c r="W107" s="764">
        <v>1</v>
      </c>
      <c r="X107" s="753">
        <f t="shared" si="107"/>
        <v>19785.618352955742</v>
      </c>
      <c r="Y107" s="753">
        <f t="shared" si="108"/>
        <v>21198.876806738273</v>
      </c>
      <c r="Z107" s="753">
        <f t="shared" si="74"/>
        <v>0</v>
      </c>
      <c r="AA107" s="753">
        <f t="shared" si="104"/>
        <v>117.33333333333333</v>
      </c>
      <c r="AB107" s="753">
        <f t="shared" si="109"/>
        <v>123</v>
      </c>
      <c r="AC107" s="753">
        <f t="shared" si="103"/>
        <v>122.33333333333333</v>
      </c>
      <c r="AD107" s="753">
        <f t="shared" si="110"/>
        <v>122</v>
      </c>
      <c r="AE107" s="753">
        <f t="shared" si="111"/>
        <v>-8.3333333333333329E-2</v>
      </c>
      <c r="AF107" s="753">
        <f t="shared" si="98"/>
        <v>3811.1024201529908</v>
      </c>
      <c r="AG107" s="753"/>
      <c r="AH107" s="753"/>
      <c r="AI107" s="753"/>
    </row>
    <row r="108" spans="2:35">
      <c r="B108" s="41" t="s">
        <v>788</v>
      </c>
      <c r="C108" s="41">
        <v>2017</v>
      </c>
      <c r="D108" s="41">
        <v>117</v>
      </c>
      <c r="E108" s="41">
        <v>11</v>
      </c>
      <c r="F108" s="141">
        <v>0</v>
      </c>
      <c r="G108" s="756" t="s">
        <v>153</v>
      </c>
      <c r="H108" s="41">
        <v>5</v>
      </c>
      <c r="I108" s="41">
        <f t="shared" si="99"/>
        <v>122</v>
      </c>
      <c r="L108" s="753">
        <v>44752.1</v>
      </c>
      <c r="M108" s="753">
        <v>0</v>
      </c>
      <c r="N108" s="753">
        <f t="shared" si="100"/>
        <v>44752.1</v>
      </c>
      <c r="O108" s="753">
        <f t="shared" si="101"/>
        <v>745.86833333333334</v>
      </c>
      <c r="P108" s="753">
        <f t="shared" si="90"/>
        <v>7458.6833333332906</v>
      </c>
      <c r="Q108" s="753">
        <f t="shared" si="91"/>
        <v>0</v>
      </c>
      <c r="R108" s="753">
        <f t="shared" si="102"/>
        <v>7458.6833333332906</v>
      </c>
      <c r="S108" s="764">
        <f>+'WP-11 - Non-Regulated'!$N$57</f>
        <v>0.87226151155039422</v>
      </c>
      <c r="T108" s="753">
        <f t="shared" si="105"/>
        <v>6505.9223985090293</v>
      </c>
      <c r="U108" s="753">
        <f t="shared" si="94"/>
        <v>37293.416666666708</v>
      </c>
      <c r="V108" s="753">
        <f t="shared" si="106"/>
        <v>32529.611992545368</v>
      </c>
      <c r="W108" s="764">
        <v>1</v>
      </c>
      <c r="X108" s="753">
        <f t="shared" si="107"/>
        <v>32529.611992545368</v>
      </c>
      <c r="Y108" s="753">
        <f t="shared" si="108"/>
        <v>39035.534391054396</v>
      </c>
      <c r="Z108" s="753">
        <f t="shared" si="74"/>
        <v>0</v>
      </c>
      <c r="AA108" s="753">
        <f t="shared" si="104"/>
        <v>117.83333333333333</v>
      </c>
      <c r="AB108" s="753">
        <f t="shared" si="109"/>
        <v>123</v>
      </c>
      <c r="AC108" s="753">
        <f t="shared" si="103"/>
        <v>122.83333333333333</v>
      </c>
      <c r="AD108" s="753">
        <f t="shared" si="110"/>
        <v>122</v>
      </c>
      <c r="AE108" s="753">
        <f t="shared" si="111"/>
        <v>-8.3333333333333329E-2</v>
      </c>
      <c r="AF108" s="753">
        <f t="shared" si="98"/>
        <v>8969.5268082001203</v>
      </c>
      <c r="AG108" s="753"/>
      <c r="AH108" s="753"/>
      <c r="AI108" s="753"/>
    </row>
    <row r="109" spans="2:35">
      <c r="B109" s="41" t="s">
        <v>789</v>
      </c>
      <c r="C109" s="41">
        <v>2018</v>
      </c>
      <c r="D109" s="41">
        <v>118</v>
      </c>
      <c r="E109" s="41">
        <v>2</v>
      </c>
      <c r="F109" s="763">
        <v>0</v>
      </c>
      <c r="G109" s="756" t="s">
        <v>153</v>
      </c>
      <c r="H109" s="41">
        <v>7</v>
      </c>
      <c r="I109" s="41">
        <f t="shared" si="99"/>
        <v>125</v>
      </c>
      <c r="L109" s="753">
        <v>87807.1</v>
      </c>
      <c r="M109" s="753">
        <v>0</v>
      </c>
      <c r="N109" s="753">
        <f t="shared" si="100"/>
        <v>87807.1</v>
      </c>
      <c r="O109" s="753">
        <f t="shared" si="101"/>
        <v>1045.3226190476191</v>
      </c>
      <c r="P109" s="753">
        <f t="shared" si="90"/>
        <v>12543.87142857143</v>
      </c>
      <c r="Q109" s="753">
        <f t="shared" si="91"/>
        <v>0</v>
      </c>
      <c r="R109" s="753">
        <f t="shared" si="102"/>
        <v>12543.87142857143</v>
      </c>
      <c r="S109" s="764">
        <f>+'WP-11 - Non-Regulated'!$N$57</f>
        <v>0.87226151155039422</v>
      </c>
      <c r="T109" s="753">
        <f t="shared" si="105"/>
        <v>10941.536252979518</v>
      </c>
      <c r="U109" s="753">
        <f t="shared" si="94"/>
        <v>49130.16309523816</v>
      </c>
      <c r="V109" s="753">
        <f t="shared" si="106"/>
        <v>42854.350324169834</v>
      </c>
      <c r="W109" s="764">
        <v>1</v>
      </c>
      <c r="X109" s="753">
        <f t="shared" si="107"/>
        <v>42854.350324169834</v>
      </c>
      <c r="Y109" s="753">
        <f t="shared" si="108"/>
        <v>53795.886577149351</v>
      </c>
      <c r="Z109" s="753">
        <f t="shared" si="74"/>
        <v>22794.867193707272</v>
      </c>
      <c r="AA109" s="753">
        <f t="shared" si="104"/>
        <v>118.08333333333333</v>
      </c>
      <c r="AB109" s="753">
        <f t="shared" si="109"/>
        <v>123</v>
      </c>
      <c r="AC109" s="753">
        <f t="shared" si="103"/>
        <v>125.08333333333333</v>
      </c>
      <c r="AD109" s="753">
        <f t="shared" si="110"/>
        <v>122</v>
      </c>
      <c r="AE109" s="753">
        <f t="shared" si="111"/>
        <v>-8.3333333333333329E-2</v>
      </c>
      <c r="AF109" s="753">
        <f t="shared" si="98"/>
        <v>16687.114355633144</v>
      </c>
      <c r="AG109" s="753"/>
      <c r="AH109" s="753"/>
      <c r="AI109" s="753"/>
    </row>
    <row r="110" spans="2:35">
      <c r="B110" s="41" t="s">
        <v>790</v>
      </c>
      <c r="C110" s="41">
        <v>2019</v>
      </c>
      <c r="D110" s="41">
        <v>119</v>
      </c>
      <c r="E110" s="41">
        <v>1</v>
      </c>
      <c r="F110" s="763">
        <v>0</v>
      </c>
      <c r="G110" s="756" t="s">
        <v>153</v>
      </c>
      <c r="H110" s="41">
        <v>7</v>
      </c>
      <c r="I110" s="41">
        <f t="shared" si="99"/>
        <v>126</v>
      </c>
      <c r="L110" s="753">
        <v>69587.990000000005</v>
      </c>
      <c r="M110" s="753">
        <v>0</v>
      </c>
      <c r="N110" s="753">
        <f t="shared" si="100"/>
        <v>69587.990000000005</v>
      </c>
      <c r="O110" s="753">
        <f t="shared" si="101"/>
        <v>828.42845238095242</v>
      </c>
      <c r="P110" s="753">
        <f t="shared" si="90"/>
        <v>9941.1414285714291</v>
      </c>
      <c r="Q110" s="753">
        <f t="shared" si="91"/>
        <v>0</v>
      </c>
      <c r="R110" s="753">
        <f t="shared" si="102"/>
        <v>9941.1414285714291</v>
      </c>
      <c r="S110" s="764">
        <f>+'WP-11 - Non-Regulated'!$N$57</f>
        <v>0.87226151155039422</v>
      </c>
      <c r="T110" s="753">
        <f t="shared" si="105"/>
        <v>8671.2750490219605</v>
      </c>
      <c r="U110" s="753">
        <f t="shared" si="94"/>
        <v>29823.424285714289</v>
      </c>
      <c r="V110" s="753">
        <f t="shared" si="106"/>
        <v>26013.825147065883</v>
      </c>
      <c r="W110" s="764">
        <v>1</v>
      </c>
      <c r="X110" s="753">
        <f t="shared" si="107"/>
        <v>26013.825147065883</v>
      </c>
      <c r="Y110" s="753">
        <f t="shared" si="108"/>
        <v>34685.100196087842</v>
      </c>
      <c r="Z110" s="753">
        <f t="shared" si="74"/>
        <v>26013.82514706588</v>
      </c>
      <c r="AA110" s="753">
        <f t="shared" si="104"/>
        <v>119</v>
      </c>
      <c r="AB110" s="753">
        <f t="shared" si="109"/>
        <v>123</v>
      </c>
      <c r="AC110" s="753">
        <f t="shared" si="103"/>
        <v>126</v>
      </c>
      <c r="AD110" s="753">
        <f t="shared" si="110"/>
        <v>122</v>
      </c>
      <c r="AE110" s="753">
        <f t="shared" si="111"/>
        <v>-8.3333333333333329E-2</v>
      </c>
      <c r="AF110" s="753">
        <f t="shared" si="98"/>
        <v>13224.702181357265</v>
      </c>
      <c r="AG110" s="753"/>
      <c r="AH110" s="753"/>
      <c r="AI110" s="753"/>
    </row>
    <row r="111" spans="2:35">
      <c r="B111" s="41" t="s">
        <v>791</v>
      </c>
      <c r="C111" s="41">
        <v>2019</v>
      </c>
      <c r="D111" s="41">
        <v>119</v>
      </c>
      <c r="E111" s="41">
        <v>1</v>
      </c>
      <c r="F111" s="763">
        <v>0</v>
      </c>
      <c r="G111" s="756" t="s">
        <v>153</v>
      </c>
      <c r="H111" s="41">
        <v>7</v>
      </c>
      <c r="I111" s="41">
        <f t="shared" si="99"/>
        <v>126</v>
      </c>
      <c r="L111" s="753">
        <v>63021.06</v>
      </c>
      <c r="M111" s="753">
        <v>0</v>
      </c>
      <c r="N111" s="753">
        <f t="shared" si="100"/>
        <v>63021.06</v>
      </c>
      <c r="O111" s="753">
        <f t="shared" si="101"/>
        <v>750.25071428571425</v>
      </c>
      <c r="P111" s="753">
        <f t="shared" si="90"/>
        <v>9003.0085714285706</v>
      </c>
      <c r="Q111" s="753">
        <f t="shared" si="91"/>
        <v>0</v>
      </c>
      <c r="R111" s="753">
        <f t="shared" si="102"/>
        <v>9003.0085714285706</v>
      </c>
      <c r="S111" s="764">
        <v>0</v>
      </c>
      <c r="T111" s="753">
        <f t="shared" si="105"/>
        <v>0</v>
      </c>
      <c r="U111" s="753">
        <f t="shared" si="94"/>
        <v>27009.025714285712</v>
      </c>
      <c r="V111" s="753">
        <f t="shared" si="106"/>
        <v>0</v>
      </c>
      <c r="W111" s="764">
        <v>1</v>
      </c>
      <c r="X111" s="753">
        <f t="shared" si="107"/>
        <v>0</v>
      </c>
      <c r="Y111" s="753">
        <f t="shared" si="108"/>
        <v>0</v>
      </c>
      <c r="Z111" s="753">
        <f t="shared" si="74"/>
        <v>0</v>
      </c>
      <c r="AA111" s="753">
        <f t="shared" si="104"/>
        <v>119</v>
      </c>
      <c r="AB111" s="753">
        <f t="shared" si="109"/>
        <v>123</v>
      </c>
      <c r="AC111" s="753">
        <f t="shared" si="103"/>
        <v>126</v>
      </c>
      <c r="AD111" s="753">
        <f t="shared" si="110"/>
        <v>122</v>
      </c>
      <c r="AE111" s="753">
        <f t="shared" si="111"/>
        <v>-8.3333333333333329E-2</v>
      </c>
      <c r="AF111" s="753">
        <f t="shared" si="98"/>
        <v>63021.06</v>
      </c>
      <c r="AG111" s="753"/>
      <c r="AH111" s="753"/>
      <c r="AI111" s="753"/>
    </row>
    <row r="112" spans="2:35">
      <c r="B112" s="41" t="s">
        <v>793</v>
      </c>
      <c r="C112" s="41">
        <v>2019</v>
      </c>
      <c r="D112" s="41">
        <v>119</v>
      </c>
      <c r="E112" s="41">
        <v>9</v>
      </c>
      <c r="F112" s="763">
        <v>0</v>
      </c>
      <c r="G112" s="756" t="s">
        <v>153</v>
      </c>
      <c r="H112" s="41">
        <v>7</v>
      </c>
      <c r="I112" s="41">
        <f t="shared" si="99"/>
        <v>126</v>
      </c>
      <c r="L112" s="753">
        <v>44355.24</v>
      </c>
      <c r="M112" s="753">
        <v>0</v>
      </c>
      <c r="N112" s="753">
        <f t="shared" si="100"/>
        <v>44355.24</v>
      </c>
      <c r="O112" s="753">
        <f t="shared" si="101"/>
        <v>528.03857142857134</v>
      </c>
      <c r="P112" s="753">
        <f t="shared" si="90"/>
        <v>6336.4628571428566</v>
      </c>
      <c r="Q112" s="753">
        <f t="shared" si="91"/>
        <v>0</v>
      </c>
      <c r="R112" s="753">
        <f t="shared" si="102"/>
        <v>6336.4628571428566</v>
      </c>
      <c r="S112" s="764">
        <f>+'WP-11 - Non-Regulated'!$N$57</f>
        <v>0.87226151155039422</v>
      </c>
      <c r="T112" s="753">
        <f t="shared" si="105"/>
        <v>5527.0526696543575</v>
      </c>
      <c r="U112" s="753">
        <f t="shared" si="94"/>
        <v>14785.079999999967</v>
      </c>
      <c r="V112" s="753">
        <f t="shared" si="106"/>
        <v>12896.456229193474</v>
      </c>
      <c r="W112" s="764">
        <v>1</v>
      </c>
      <c r="X112" s="753">
        <f t="shared" si="107"/>
        <v>12896.456229193474</v>
      </c>
      <c r="Y112" s="753">
        <f t="shared" si="108"/>
        <v>18423.508898847831</v>
      </c>
      <c r="Z112" s="753">
        <f t="shared" ref="Z112:Z122" si="112">IF(M112&gt;0,(L112-X112)/2,IF(AA112&gt;=AD112,(((L112*S112)*W112)-Y112),(+(((L112*S112)*W112)-Y112))))</f>
        <v>20265.859788732676</v>
      </c>
      <c r="AA112" s="753">
        <f t="shared" si="104"/>
        <v>119.66666666666667</v>
      </c>
      <c r="AB112" s="753">
        <f t="shared" si="109"/>
        <v>123</v>
      </c>
      <c r="AC112" s="753">
        <f t="shared" si="103"/>
        <v>126.66666666666667</v>
      </c>
      <c r="AD112" s="753">
        <f t="shared" si="110"/>
        <v>122</v>
      </c>
      <c r="AE112" s="753">
        <f t="shared" si="111"/>
        <v>-8.3333333333333329E-2</v>
      </c>
      <c r="AF112" s="753">
        <f t="shared" si="98"/>
        <v>8429.3976472466675</v>
      </c>
      <c r="AG112" s="753"/>
      <c r="AH112" s="753"/>
      <c r="AI112" s="753"/>
    </row>
    <row r="113" spans="2:35">
      <c r="B113" s="41" t="s">
        <v>792</v>
      </c>
      <c r="C113" s="41">
        <v>2019</v>
      </c>
      <c r="D113" s="41">
        <v>119</v>
      </c>
      <c r="E113" s="41">
        <v>10</v>
      </c>
      <c r="F113" s="763">
        <v>0</v>
      </c>
      <c r="G113" s="756" t="s">
        <v>153</v>
      </c>
      <c r="H113" s="41">
        <v>7</v>
      </c>
      <c r="I113" s="41">
        <f t="shared" si="99"/>
        <v>126</v>
      </c>
      <c r="L113" s="753">
        <v>40953.800000000003</v>
      </c>
      <c r="M113" s="753">
        <v>0</v>
      </c>
      <c r="N113" s="753">
        <f t="shared" si="100"/>
        <v>40953.800000000003</v>
      </c>
      <c r="O113" s="753">
        <f t="shared" si="101"/>
        <v>487.54523809523812</v>
      </c>
      <c r="P113" s="753">
        <f t="shared" si="90"/>
        <v>5850.5428571428574</v>
      </c>
      <c r="Q113" s="753">
        <f t="shared" si="91"/>
        <v>0</v>
      </c>
      <c r="R113" s="753">
        <f t="shared" si="102"/>
        <v>5850.5428571428574</v>
      </c>
      <c r="S113" s="764">
        <f>+'WP-11 - Non-Regulated'!$N$57</f>
        <v>0.87226151155039422</v>
      </c>
      <c r="T113" s="753">
        <f t="shared" si="105"/>
        <v>5103.2033559617912</v>
      </c>
      <c r="U113" s="753">
        <f t="shared" si="94"/>
        <v>13163.721428571429</v>
      </c>
      <c r="V113" s="753">
        <f t="shared" si="106"/>
        <v>11482.207550914029</v>
      </c>
      <c r="W113" s="764">
        <v>1</v>
      </c>
      <c r="X113" s="753">
        <f t="shared" si="107"/>
        <v>11482.207550914029</v>
      </c>
      <c r="Y113" s="753">
        <f t="shared" si="108"/>
        <v>16585.410906875819</v>
      </c>
      <c r="Z113" s="753">
        <f t="shared" si="112"/>
        <v>19137.012584856719</v>
      </c>
      <c r="AA113" s="753">
        <f t="shared" si="104"/>
        <v>119.75</v>
      </c>
      <c r="AB113" s="753">
        <f>($B$10+1)-($B$7/12)</f>
        <v>123</v>
      </c>
      <c r="AC113" s="753">
        <f t="shared" si="103"/>
        <v>126.75</v>
      </c>
      <c r="AD113" s="753">
        <f>$B$9+($B$8/12)</f>
        <v>122</v>
      </c>
      <c r="AE113" s="753">
        <f t="shared" si="111"/>
        <v>-8.3333333333333329E-2</v>
      </c>
      <c r="AF113" s="753">
        <f t="shared" si="98"/>
        <v>7782.9781862483615</v>
      </c>
      <c r="AG113" s="753"/>
      <c r="AH113" s="753"/>
      <c r="AI113" s="753"/>
    </row>
    <row r="114" spans="2:35">
      <c r="B114" s="41" t="s">
        <v>794</v>
      </c>
      <c r="C114" s="41">
        <v>2020</v>
      </c>
      <c r="D114" s="41">
        <v>120</v>
      </c>
      <c r="E114" s="41">
        <v>8</v>
      </c>
      <c r="F114" s="763">
        <v>0</v>
      </c>
      <c r="G114" s="756" t="s">
        <v>153</v>
      </c>
      <c r="H114" s="41">
        <v>7</v>
      </c>
      <c r="I114" s="41">
        <f t="shared" si="99"/>
        <v>127</v>
      </c>
      <c r="L114" s="753">
        <v>34624.94</v>
      </c>
      <c r="M114" s="753">
        <v>0</v>
      </c>
      <c r="N114" s="753">
        <f t="shared" si="100"/>
        <v>34624.94</v>
      </c>
      <c r="O114" s="753">
        <f t="shared" si="101"/>
        <v>412.20166666666665</v>
      </c>
      <c r="P114" s="753">
        <f t="shared" si="90"/>
        <v>4946.42</v>
      </c>
      <c r="Q114" s="753">
        <f t="shared" si="91"/>
        <v>0</v>
      </c>
      <c r="R114" s="753">
        <f t="shared" si="102"/>
        <v>4946.42</v>
      </c>
      <c r="S114" s="764">
        <f>+'WP-11 - Non-Regulated'!$N$57</f>
        <v>0.87226151155039422</v>
      </c>
      <c r="T114" s="753">
        <f t="shared" si="105"/>
        <v>4314.5717859631013</v>
      </c>
      <c r="U114" s="753">
        <f t="shared" si="94"/>
        <v>7007.4283333333569</v>
      </c>
      <c r="V114" s="753">
        <f t="shared" si="106"/>
        <v>6112.3100301144141</v>
      </c>
      <c r="W114" s="764">
        <v>1</v>
      </c>
      <c r="X114" s="753">
        <f t="shared" si="107"/>
        <v>6112.3100301144141</v>
      </c>
      <c r="Y114" s="753">
        <f t="shared" si="108"/>
        <v>10426.881816077515</v>
      </c>
      <c r="Z114" s="753">
        <f t="shared" si="112"/>
        <v>19775.120685664195</v>
      </c>
      <c r="AA114" s="753">
        <f t="shared" si="104"/>
        <v>120.58333333333333</v>
      </c>
      <c r="AB114" s="753">
        <f t="shared" si="109"/>
        <v>123</v>
      </c>
      <c r="AC114" s="753">
        <f t="shared" si="103"/>
        <v>127.58333333333333</v>
      </c>
      <c r="AD114" s="753">
        <f t="shared" si="110"/>
        <v>122</v>
      </c>
      <c r="AE114" s="753">
        <f t="shared" si="111"/>
        <v>-8.3333333333333329E-2</v>
      </c>
      <c r="AF114" s="753">
        <f t="shared" si="98"/>
        <v>6580.2233912398442</v>
      </c>
      <c r="AG114" s="753"/>
      <c r="AH114" s="753"/>
      <c r="AI114" s="753"/>
    </row>
    <row r="115" spans="2:35">
      <c r="B115" s="41" t="s">
        <v>795</v>
      </c>
      <c r="C115" s="41">
        <v>2020</v>
      </c>
      <c r="D115" s="41">
        <v>120</v>
      </c>
      <c r="E115" s="41">
        <v>8</v>
      </c>
      <c r="F115" s="763">
        <v>0</v>
      </c>
      <c r="G115" s="756" t="s">
        <v>153</v>
      </c>
      <c r="H115" s="41">
        <v>7</v>
      </c>
      <c r="I115" s="41">
        <f t="shared" si="99"/>
        <v>127</v>
      </c>
      <c r="L115" s="753">
        <v>19523.86</v>
      </c>
      <c r="M115" s="753">
        <v>0</v>
      </c>
      <c r="N115" s="753">
        <f t="shared" si="100"/>
        <v>19523.86</v>
      </c>
      <c r="O115" s="753">
        <f t="shared" si="101"/>
        <v>232.42690476190478</v>
      </c>
      <c r="P115" s="753">
        <f t="shared" si="90"/>
        <v>2789.1228571428574</v>
      </c>
      <c r="Q115" s="753">
        <f t="shared" si="91"/>
        <v>0</v>
      </c>
      <c r="R115" s="753">
        <f t="shared" si="102"/>
        <v>2789.1228571428574</v>
      </c>
      <c r="S115" s="764">
        <f>+'WP-11 - Non-Regulated'!$N$57</f>
        <v>0.87226151155039422</v>
      </c>
      <c r="T115" s="753">
        <f t="shared" si="105"/>
        <v>2432.8445192711829</v>
      </c>
      <c r="U115" s="753">
        <f t="shared" si="94"/>
        <v>3951.2573809523947</v>
      </c>
      <c r="V115" s="753">
        <f t="shared" si="106"/>
        <v>3446.5297356341875</v>
      </c>
      <c r="W115" s="764">
        <v>1</v>
      </c>
      <c r="X115" s="753">
        <f t="shared" si="107"/>
        <v>3446.5297356341875</v>
      </c>
      <c r="Y115" s="753">
        <f t="shared" si="108"/>
        <v>5879.3742549053704</v>
      </c>
      <c r="Z115" s="753">
        <f t="shared" si="112"/>
        <v>11150.537379992908</v>
      </c>
      <c r="AA115" s="753">
        <f t="shared" si="104"/>
        <v>120.58333333333333</v>
      </c>
      <c r="AB115" s="753">
        <f t="shared" si="109"/>
        <v>123</v>
      </c>
      <c r="AC115" s="753">
        <f t="shared" si="103"/>
        <v>127.58333333333333</v>
      </c>
      <c r="AD115" s="753">
        <f t="shared" si="110"/>
        <v>122</v>
      </c>
      <c r="AE115" s="753">
        <f t="shared" si="111"/>
        <v>-8.3333333333333329E-2</v>
      </c>
      <c r="AF115" s="753">
        <f t="shared" si="98"/>
        <v>3710.3706247373138</v>
      </c>
      <c r="AG115" s="753"/>
      <c r="AH115" s="753"/>
      <c r="AI115" s="753"/>
    </row>
    <row r="116" spans="2:35">
      <c r="B116" s="41" t="s">
        <v>796</v>
      </c>
      <c r="C116" s="41">
        <v>2020</v>
      </c>
      <c r="D116" s="41">
        <v>120</v>
      </c>
      <c r="E116" s="41">
        <v>8</v>
      </c>
      <c r="F116" s="763">
        <v>0</v>
      </c>
      <c r="G116" s="756" t="s">
        <v>153</v>
      </c>
      <c r="H116" s="41">
        <v>7</v>
      </c>
      <c r="I116" s="41">
        <f t="shared" si="99"/>
        <v>127</v>
      </c>
      <c r="L116" s="753">
        <v>91410.9</v>
      </c>
      <c r="M116" s="753">
        <v>0</v>
      </c>
      <c r="N116" s="753">
        <f t="shared" si="100"/>
        <v>91410.9</v>
      </c>
      <c r="O116" s="753">
        <f t="shared" si="101"/>
        <v>1088.2249999999999</v>
      </c>
      <c r="P116" s="753">
        <f t="shared" si="90"/>
        <v>13058.699999999999</v>
      </c>
      <c r="Q116" s="753">
        <f t="shared" si="91"/>
        <v>0</v>
      </c>
      <c r="R116" s="753">
        <f t="shared" si="102"/>
        <v>13058.699999999999</v>
      </c>
      <c r="S116" s="764">
        <f>+'WP-11 - Non-Regulated'!$N$57</f>
        <v>0.87226151155039422</v>
      </c>
      <c r="T116" s="753">
        <f t="shared" si="105"/>
        <v>11390.601400883132</v>
      </c>
      <c r="U116" s="753">
        <f t="shared" si="94"/>
        <v>18499.825000000059</v>
      </c>
      <c r="V116" s="753">
        <f t="shared" si="106"/>
        <v>16136.685317917823</v>
      </c>
      <c r="W116" s="764">
        <v>1</v>
      </c>
      <c r="X116" s="753">
        <f t="shared" si="107"/>
        <v>16136.685317917823</v>
      </c>
      <c r="Y116" s="753">
        <f t="shared" si="108"/>
        <v>27527.286718800955</v>
      </c>
      <c r="Z116" s="753">
        <f t="shared" si="112"/>
        <v>52206.923087380972</v>
      </c>
      <c r="AA116" s="753">
        <f t="shared" si="104"/>
        <v>120.58333333333333</v>
      </c>
      <c r="AB116" s="753">
        <f t="shared" si="109"/>
        <v>123</v>
      </c>
      <c r="AC116" s="753">
        <f t="shared" si="103"/>
        <v>127.58333333333333</v>
      </c>
      <c r="AD116" s="753">
        <f t="shared" si="110"/>
        <v>122</v>
      </c>
      <c r="AE116" s="753">
        <f t="shared" si="111"/>
        <v>-8.3333333333333329E-2</v>
      </c>
      <c r="AF116" s="753">
        <f t="shared" si="98"/>
        <v>17371.990894259638</v>
      </c>
      <c r="AG116" s="753"/>
      <c r="AH116" s="753"/>
      <c r="AI116" s="753"/>
    </row>
    <row r="117" spans="2:35">
      <c r="B117" s="41" t="s">
        <v>797</v>
      </c>
      <c r="C117" s="41">
        <v>2021</v>
      </c>
      <c r="D117" s="41">
        <v>121</v>
      </c>
      <c r="E117" s="41">
        <v>3</v>
      </c>
      <c r="F117" s="763">
        <v>0</v>
      </c>
      <c r="G117" s="756" t="s">
        <v>153</v>
      </c>
      <c r="H117" s="41">
        <v>7</v>
      </c>
      <c r="I117" s="41">
        <f t="shared" si="99"/>
        <v>128</v>
      </c>
      <c r="L117" s="753">
        <v>47280.13</v>
      </c>
      <c r="M117" s="753">
        <v>0</v>
      </c>
      <c r="N117" s="753">
        <f t="shared" si="100"/>
        <v>47280.13</v>
      </c>
      <c r="O117" s="753">
        <f t="shared" si="101"/>
        <v>562.85869047619042</v>
      </c>
      <c r="P117" s="753">
        <f t="shared" si="90"/>
        <v>6754.3042857142846</v>
      </c>
      <c r="Q117" s="753">
        <f t="shared" si="91"/>
        <v>0</v>
      </c>
      <c r="R117" s="753">
        <f t="shared" si="102"/>
        <v>6754.3042857142846</v>
      </c>
      <c r="S117" s="764">
        <f>+'WP-11 - Non-Regulated'!$N$57</f>
        <v>0.87226151155039422</v>
      </c>
      <c r="T117" s="753">
        <f t="shared" si="105"/>
        <v>5891.5196657284478</v>
      </c>
      <c r="U117" s="753">
        <f t="shared" si="94"/>
        <v>5628.5869047618726</v>
      </c>
      <c r="V117" s="753">
        <f t="shared" si="106"/>
        <v>4909.599721440346</v>
      </c>
      <c r="W117" s="764">
        <v>1</v>
      </c>
      <c r="X117" s="753">
        <f t="shared" si="107"/>
        <v>4909.599721440346</v>
      </c>
      <c r="Y117" s="753">
        <f t="shared" si="108"/>
        <v>10801.119387168794</v>
      </c>
      <c r="Z117" s="753">
        <f t="shared" si="112"/>
        <v>30439.518272930341</v>
      </c>
      <c r="AA117" s="753">
        <f t="shared" si="104"/>
        <v>121.16666666666667</v>
      </c>
      <c r="AB117" s="753">
        <f t="shared" si="109"/>
        <v>123</v>
      </c>
      <c r="AC117" s="753">
        <f t="shared" si="103"/>
        <v>128.16666666666666</v>
      </c>
      <c r="AD117" s="753">
        <f t="shared" si="110"/>
        <v>122</v>
      </c>
      <c r="AE117" s="753">
        <f t="shared" si="111"/>
        <v>-8.3333333333333329E-2</v>
      </c>
      <c r="AF117" s="753">
        <f t="shared" si="98"/>
        <v>8985.2521727650819</v>
      </c>
      <c r="AG117" s="753"/>
      <c r="AH117" s="753"/>
      <c r="AI117" s="753"/>
    </row>
    <row r="118" spans="2:35">
      <c r="B118" s="41" t="s">
        <v>798</v>
      </c>
      <c r="C118" s="41">
        <v>2021</v>
      </c>
      <c r="D118" s="41">
        <v>121</v>
      </c>
      <c r="E118" s="41">
        <v>5</v>
      </c>
      <c r="F118" s="763">
        <v>0</v>
      </c>
      <c r="G118" s="756" t="s">
        <v>153</v>
      </c>
      <c r="H118" s="41">
        <v>7</v>
      </c>
      <c r="I118" s="41">
        <f t="shared" si="99"/>
        <v>128</v>
      </c>
      <c r="L118" s="753">
        <v>66121.58</v>
      </c>
      <c r="M118" s="753">
        <v>0</v>
      </c>
      <c r="N118" s="753">
        <f t="shared" si="100"/>
        <v>66121.58</v>
      </c>
      <c r="O118" s="753">
        <f t="shared" si="101"/>
        <v>787.16166666666675</v>
      </c>
      <c r="P118" s="753">
        <f t="shared" si="90"/>
        <v>9445.94</v>
      </c>
      <c r="Q118" s="753">
        <f t="shared" si="91"/>
        <v>0</v>
      </c>
      <c r="R118" s="753">
        <f t="shared" si="102"/>
        <v>9445.94</v>
      </c>
      <c r="S118" s="764">
        <f>+'WP-11 - Non-Regulated'!$N$57</f>
        <v>0.87226151155039422</v>
      </c>
      <c r="T118" s="753">
        <f t="shared" si="105"/>
        <v>8239.3299024143307</v>
      </c>
      <c r="U118" s="753">
        <f t="shared" si="94"/>
        <v>6297.2933333333785</v>
      </c>
      <c r="V118" s="753">
        <f t="shared" si="106"/>
        <v>5492.8866016095935</v>
      </c>
      <c r="W118" s="764">
        <v>1</v>
      </c>
      <c r="X118" s="753">
        <f t="shared" si="107"/>
        <v>5492.8866016095935</v>
      </c>
      <c r="Y118" s="753">
        <f t="shared" si="108"/>
        <v>13732.216504023923</v>
      </c>
      <c r="Z118" s="753">
        <f t="shared" si="112"/>
        <v>43943.092812876392</v>
      </c>
      <c r="AA118" s="753">
        <f t="shared" si="104"/>
        <v>121.33333333333333</v>
      </c>
      <c r="AB118" s="753">
        <f t="shared" si="109"/>
        <v>123</v>
      </c>
      <c r="AC118" s="753">
        <f t="shared" si="103"/>
        <v>128.33333333333334</v>
      </c>
      <c r="AD118" s="753">
        <f t="shared" si="110"/>
        <v>122</v>
      </c>
      <c r="AE118" s="753">
        <f t="shared" si="111"/>
        <v>-8.3333333333333329E-2</v>
      </c>
      <c r="AF118" s="753">
        <f t="shared" si="98"/>
        <v>12565.93563430685</v>
      </c>
      <c r="AG118" s="753"/>
      <c r="AH118" s="753"/>
      <c r="AI118" s="753"/>
    </row>
    <row r="119" spans="2:35">
      <c r="B119" s="41" t="s">
        <v>799</v>
      </c>
      <c r="C119" s="41">
        <v>2021</v>
      </c>
      <c r="D119" s="41">
        <v>121</v>
      </c>
      <c r="E119" s="41">
        <v>5</v>
      </c>
      <c r="F119" s="763">
        <v>0</v>
      </c>
      <c r="G119" s="756" t="s">
        <v>153</v>
      </c>
      <c r="H119" s="41">
        <v>7</v>
      </c>
      <c r="I119" s="41">
        <f t="shared" si="99"/>
        <v>128</v>
      </c>
      <c r="L119" s="753">
        <v>182910.32</v>
      </c>
      <c r="M119" s="753">
        <v>0</v>
      </c>
      <c r="N119" s="753">
        <f t="shared" si="100"/>
        <v>182910.32</v>
      </c>
      <c r="O119" s="753">
        <f t="shared" si="101"/>
        <v>2177.5038095238097</v>
      </c>
      <c r="P119" s="753">
        <f t="shared" si="90"/>
        <v>26130.045714285716</v>
      </c>
      <c r="Q119" s="753">
        <f t="shared" si="91"/>
        <v>0</v>
      </c>
      <c r="R119" s="753">
        <f t="shared" si="102"/>
        <v>26130.045714285716</v>
      </c>
      <c r="S119" s="764">
        <f>+'WP-11 - Non-Regulated'!$N$57</f>
        <v>0.87226151155039422</v>
      </c>
      <c r="T119" s="753">
        <f t="shared" si="105"/>
        <v>22792.23317162376</v>
      </c>
      <c r="U119" s="753">
        <f t="shared" si="94"/>
        <v>17420.030476190601</v>
      </c>
      <c r="V119" s="753">
        <f t="shared" si="106"/>
        <v>15194.822114415947</v>
      </c>
      <c r="W119" s="764">
        <v>1</v>
      </c>
      <c r="X119" s="753">
        <f t="shared" si="107"/>
        <v>15194.822114415947</v>
      </c>
      <c r="Y119" s="753">
        <f t="shared" si="108"/>
        <v>37987.055286039707</v>
      </c>
      <c r="Z119" s="753">
        <f t="shared" si="112"/>
        <v>121558.57691532659</v>
      </c>
      <c r="AA119" s="753">
        <f t="shared" si="104"/>
        <v>121.33333333333333</v>
      </c>
      <c r="AB119" s="753">
        <f t="shared" si="109"/>
        <v>123</v>
      </c>
      <c r="AC119" s="753">
        <f t="shared" si="103"/>
        <v>128.33333333333334</v>
      </c>
      <c r="AD119" s="753">
        <f t="shared" si="110"/>
        <v>122</v>
      </c>
      <c r="AE119" s="753">
        <f t="shared" si="111"/>
        <v>-8.3333333333333329E-2</v>
      </c>
      <c r="AF119" s="753">
        <f t="shared" si="98"/>
        <v>34760.804384445597</v>
      </c>
      <c r="AG119" s="753"/>
      <c r="AH119" s="753"/>
      <c r="AI119" s="753"/>
    </row>
    <row r="120" spans="2:35">
      <c r="B120" s="41" t="s">
        <v>800</v>
      </c>
      <c r="C120" s="41">
        <v>2022</v>
      </c>
      <c r="D120" s="41">
        <v>122</v>
      </c>
      <c r="E120" s="41">
        <v>4</v>
      </c>
      <c r="F120" s="763">
        <v>0</v>
      </c>
      <c r="G120" s="756" t="s">
        <v>153</v>
      </c>
      <c r="H120" s="41">
        <v>7</v>
      </c>
      <c r="I120" s="41">
        <f t="shared" si="99"/>
        <v>129</v>
      </c>
      <c r="L120" s="753">
        <v>11933.2</v>
      </c>
      <c r="M120" s="753">
        <v>0</v>
      </c>
      <c r="N120" s="753">
        <f t="shared" si="100"/>
        <v>11933.2</v>
      </c>
      <c r="O120" s="753">
        <f t="shared" si="101"/>
        <v>142.06190476190477</v>
      </c>
      <c r="P120" s="753">
        <f t="shared" si="90"/>
        <v>1278.5571428571429</v>
      </c>
      <c r="Q120" s="753">
        <f t="shared" si="91"/>
        <v>0</v>
      </c>
      <c r="R120" s="753">
        <f>IF(Q120&gt;0,Q120,P120)</f>
        <v>1278.5571428571429</v>
      </c>
      <c r="S120" s="764">
        <f>+'WP-11 - Non-Regulated'!$N$57</f>
        <v>0.87226151155039422</v>
      </c>
      <c r="T120" s="753">
        <f t="shared" si="105"/>
        <v>1115.2361860321248</v>
      </c>
      <c r="U120" s="753">
        <f t="shared" si="94"/>
        <v>0</v>
      </c>
      <c r="V120" s="753">
        <f>U120*S120</f>
        <v>0</v>
      </c>
      <c r="W120" s="764">
        <v>1</v>
      </c>
      <c r="X120" s="753">
        <f>V120*W120</f>
        <v>0</v>
      </c>
      <c r="Y120" s="753">
        <f t="shared" si="108"/>
        <v>1115.2361860321248</v>
      </c>
      <c r="Z120" s="753">
        <f t="shared" si="112"/>
        <v>9293.6348836010402</v>
      </c>
      <c r="AA120" s="753">
        <f t="shared" si="104"/>
        <v>122.25</v>
      </c>
      <c r="AB120" s="753">
        <f t="shared" si="109"/>
        <v>123</v>
      </c>
      <c r="AC120" s="753">
        <f t="shared" si="103"/>
        <v>129.25</v>
      </c>
      <c r="AD120" s="753">
        <f t="shared" si="110"/>
        <v>122</v>
      </c>
      <c r="AE120" s="753">
        <f t="shared" si="111"/>
        <v>-8.3333333333333329E-2</v>
      </c>
      <c r="AF120" s="753">
        <f t="shared" si="98"/>
        <v>2081.9470233828979</v>
      </c>
      <c r="AG120" s="753"/>
      <c r="AH120" s="753"/>
      <c r="AI120" s="753"/>
    </row>
    <row r="121" spans="2:35">
      <c r="B121" s="41" t="s">
        <v>801</v>
      </c>
      <c r="C121" s="41">
        <v>2022</v>
      </c>
      <c r="D121" s="41">
        <v>122</v>
      </c>
      <c r="E121" s="41">
        <v>6</v>
      </c>
      <c r="F121" s="763">
        <v>0</v>
      </c>
      <c r="G121" s="756" t="s">
        <v>153</v>
      </c>
      <c r="H121" s="41">
        <v>7</v>
      </c>
      <c r="I121" s="41">
        <f t="shared" si="99"/>
        <v>129</v>
      </c>
      <c r="L121" s="753">
        <v>12019.99</v>
      </c>
      <c r="M121" s="753">
        <v>0</v>
      </c>
      <c r="N121" s="753">
        <f t="shared" si="100"/>
        <v>12019.99</v>
      </c>
      <c r="O121" s="753">
        <f t="shared" si="101"/>
        <v>143.09511904761905</v>
      </c>
      <c r="P121" s="753">
        <f t="shared" si="90"/>
        <v>1001.6658333333252</v>
      </c>
      <c r="Q121" s="753">
        <f t="shared" si="91"/>
        <v>0</v>
      </c>
      <c r="R121" s="753">
        <f>IF(Q121&gt;0,Q121,P121)</f>
        <v>1001.6658333333252</v>
      </c>
      <c r="S121" s="764">
        <f>+'WP-11 - Non-Regulated'!$N$57</f>
        <v>0.87226151155039422</v>
      </c>
      <c r="T121" s="753">
        <f t="shared" si="105"/>
        <v>873.71455385171146</v>
      </c>
      <c r="U121" s="753">
        <f t="shared" si="94"/>
        <v>0</v>
      </c>
      <c r="V121" s="753">
        <f>U121*S121</f>
        <v>0</v>
      </c>
      <c r="W121" s="764">
        <v>1</v>
      </c>
      <c r="X121" s="753">
        <f t="shared" si="107"/>
        <v>0</v>
      </c>
      <c r="Y121" s="753">
        <f t="shared" si="108"/>
        <v>873.71455385171146</v>
      </c>
      <c r="Z121" s="753">
        <f t="shared" si="112"/>
        <v>9610.8600923689119</v>
      </c>
      <c r="AA121" s="753">
        <f t="shared" si="104"/>
        <v>122.41666666666667</v>
      </c>
      <c r="AB121" s="753">
        <f t="shared" si="109"/>
        <v>123</v>
      </c>
      <c r="AC121" s="753">
        <f t="shared" si="103"/>
        <v>129.41666666666666</v>
      </c>
      <c r="AD121" s="753">
        <f t="shared" si="110"/>
        <v>122</v>
      </c>
      <c r="AE121" s="753">
        <f t="shared" si="111"/>
        <v>-8.3333333333333329E-2</v>
      </c>
      <c r="AF121" s="753">
        <f t="shared" si="98"/>
        <v>1972.2726307052326</v>
      </c>
      <c r="AG121" s="753"/>
      <c r="AH121" s="753"/>
      <c r="AI121" s="753"/>
    </row>
    <row r="122" spans="2:35">
      <c r="B122" s="41" t="s">
        <v>802</v>
      </c>
      <c r="C122" s="41">
        <v>2022</v>
      </c>
      <c r="D122" s="41">
        <v>122</v>
      </c>
      <c r="E122" s="41">
        <v>11</v>
      </c>
      <c r="F122" s="763">
        <v>0</v>
      </c>
      <c r="G122" s="756" t="s">
        <v>153</v>
      </c>
      <c r="H122" s="41">
        <v>7</v>
      </c>
      <c r="I122" s="41">
        <f t="shared" si="99"/>
        <v>129</v>
      </c>
      <c r="L122" s="753">
        <v>10711.55</v>
      </c>
      <c r="M122" s="755">
        <v>0</v>
      </c>
      <c r="N122" s="753">
        <f t="shared" si="100"/>
        <v>10711.55</v>
      </c>
      <c r="O122" s="753">
        <f t="shared" si="101"/>
        <v>127.51845238095238</v>
      </c>
      <c r="P122" s="753">
        <f t="shared" si="90"/>
        <v>255.03690476191201</v>
      </c>
      <c r="Q122" s="753">
        <f t="shared" si="91"/>
        <v>0</v>
      </c>
      <c r="R122" s="753">
        <f>IF(Q122&gt;0,Q122,P122)</f>
        <v>255.03690476191201</v>
      </c>
      <c r="S122" s="764">
        <f>+'WP-11 - Non-Regulated'!$N$57</f>
        <v>0.87226151155039422</v>
      </c>
      <c r="T122" s="753">
        <f t="shared" si="105"/>
        <v>222.45887604875929</v>
      </c>
      <c r="U122" s="753">
        <f t="shared" si="94"/>
        <v>0</v>
      </c>
      <c r="V122" s="753">
        <f>U122*S122</f>
        <v>0</v>
      </c>
      <c r="W122" s="764">
        <v>1</v>
      </c>
      <c r="X122" s="753">
        <f t="shared" si="107"/>
        <v>0</v>
      </c>
      <c r="Y122" s="753">
        <f t="shared" si="108"/>
        <v>222.45887604875929</v>
      </c>
      <c r="Z122" s="753">
        <f t="shared" si="112"/>
        <v>9120.8139179988666</v>
      </c>
      <c r="AA122" s="753">
        <f t="shared" si="104"/>
        <v>122.83333333333333</v>
      </c>
      <c r="AB122" s="753">
        <f t="shared" si="109"/>
        <v>123</v>
      </c>
      <c r="AC122" s="753">
        <f t="shared" si="103"/>
        <v>129.83333333333334</v>
      </c>
      <c r="AD122" s="753">
        <f t="shared" si="110"/>
        <v>122</v>
      </c>
      <c r="AE122" s="753">
        <f t="shared" si="111"/>
        <v>-8.3333333333333329E-2</v>
      </c>
      <c r="AF122" s="753">
        <f t="shared" si="98"/>
        <v>1479.5066439767525</v>
      </c>
      <c r="AG122" s="753"/>
      <c r="AH122" s="753"/>
      <c r="AI122" s="753"/>
    </row>
    <row r="123" spans="2:35" s="757" customFormat="1">
      <c r="B123" s="757" t="s">
        <v>959</v>
      </c>
      <c r="C123" s="757">
        <v>2023</v>
      </c>
      <c r="D123" s="757">
        <v>123</v>
      </c>
      <c r="E123" s="757">
        <v>4</v>
      </c>
      <c r="F123" s="769">
        <v>0</v>
      </c>
      <c r="G123" s="770" t="s">
        <v>153</v>
      </c>
      <c r="H123" s="757">
        <v>7</v>
      </c>
      <c r="I123" s="757">
        <f t="shared" si="99"/>
        <v>130</v>
      </c>
      <c r="L123" s="755">
        <v>105000.39</v>
      </c>
      <c r="M123" s="755">
        <v>0</v>
      </c>
      <c r="N123" s="755">
        <f t="shared" si="100"/>
        <v>105000.39</v>
      </c>
      <c r="O123" s="755">
        <f t="shared" si="101"/>
        <v>1250.0046428571429</v>
      </c>
      <c r="P123" s="755"/>
      <c r="Q123" s="755"/>
      <c r="R123" s="755"/>
      <c r="S123" s="771"/>
      <c r="T123" s="755"/>
      <c r="U123" s="755"/>
      <c r="V123" s="755"/>
      <c r="W123" s="771"/>
      <c r="X123" s="755"/>
      <c r="Y123" s="755"/>
      <c r="Z123" s="755"/>
      <c r="AA123" s="755">
        <f t="shared" si="104"/>
        <v>123.25</v>
      </c>
      <c r="AB123" s="755"/>
      <c r="AC123" s="755">
        <f t="shared" si="103"/>
        <v>130.25</v>
      </c>
      <c r="AD123" s="755"/>
      <c r="AE123" s="755"/>
      <c r="AF123" s="755"/>
      <c r="AG123" s="755"/>
      <c r="AH123" s="755"/>
      <c r="AI123" s="755"/>
    </row>
    <row r="124" spans="2:35" s="757" customFormat="1">
      <c r="B124" s="757" t="s">
        <v>891</v>
      </c>
      <c r="C124" s="757">
        <v>2023</v>
      </c>
      <c r="D124" s="757">
        <v>123</v>
      </c>
      <c r="E124" s="757">
        <v>4</v>
      </c>
      <c r="F124" s="769">
        <v>0</v>
      </c>
      <c r="G124" s="770" t="s">
        <v>153</v>
      </c>
      <c r="H124" s="757">
        <v>7</v>
      </c>
      <c r="I124" s="757">
        <f t="shared" si="99"/>
        <v>130</v>
      </c>
      <c r="L124" s="755">
        <v>98959.22</v>
      </c>
      <c r="M124" s="755">
        <v>0</v>
      </c>
      <c r="N124" s="755">
        <f t="shared" si="100"/>
        <v>98959.22</v>
      </c>
      <c r="O124" s="755">
        <f t="shared" si="101"/>
        <v>1178.0859523809524</v>
      </c>
      <c r="P124" s="755"/>
      <c r="Q124" s="755"/>
      <c r="R124" s="755"/>
      <c r="S124" s="771"/>
      <c r="T124" s="755"/>
      <c r="U124" s="755"/>
      <c r="V124" s="755"/>
      <c r="W124" s="771"/>
      <c r="X124" s="755"/>
      <c r="Y124" s="755"/>
      <c r="Z124" s="755"/>
      <c r="AA124" s="755">
        <f t="shared" si="104"/>
        <v>123.25</v>
      </c>
      <c r="AB124" s="755"/>
      <c r="AC124" s="755">
        <f t="shared" si="103"/>
        <v>130.25</v>
      </c>
      <c r="AD124" s="755"/>
      <c r="AE124" s="755"/>
      <c r="AF124" s="755"/>
      <c r="AG124" s="755"/>
      <c r="AH124" s="755"/>
      <c r="AI124" s="755"/>
    </row>
    <row r="125" spans="2:35" s="757" customFormat="1">
      <c r="B125" s="757" t="s">
        <v>960</v>
      </c>
      <c r="C125" s="757">
        <v>2023</v>
      </c>
      <c r="D125" s="757">
        <v>123</v>
      </c>
      <c r="E125" s="757">
        <v>4</v>
      </c>
      <c r="F125" s="769">
        <v>0</v>
      </c>
      <c r="G125" s="770" t="s">
        <v>153</v>
      </c>
      <c r="H125" s="757">
        <v>7</v>
      </c>
      <c r="I125" s="757">
        <f t="shared" si="99"/>
        <v>130</v>
      </c>
      <c r="L125" s="755">
        <v>213634.05</v>
      </c>
      <c r="M125" s="755">
        <v>0</v>
      </c>
      <c r="N125" s="755">
        <f t="shared" si="100"/>
        <v>213634.05</v>
      </c>
      <c r="O125" s="755">
        <f t="shared" si="101"/>
        <v>2543.2624999999998</v>
      </c>
      <c r="P125" s="755"/>
      <c r="Q125" s="755"/>
      <c r="R125" s="755"/>
      <c r="S125" s="771"/>
      <c r="T125" s="755"/>
      <c r="U125" s="755"/>
      <c r="V125" s="755"/>
      <c r="W125" s="771"/>
      <c r="X125" s="755"/>
      <c r="Y125" s="755"/>
      <c r="Z125" s="755"/>
      <c r="AA125" s="755">
        <f t="shared" si="104"/>
        <v>123.25</v>
      </c>
      <c r="AB125" s="755"/>
      <c r="AC125" s="755">
        <f t="shared" si="103"/>
        <v>130.25</v>
      </c>
      <c r="AD125" s="755"/>
      <c r="AE125" s="755"/>
      <c r="AF125" s="755"/>
      <c r="AG125" s="755"/>
      <c r="AH125" s="755"/>
      <c r="AI125" s="755"/>
    </row>
    <row r="126" spans="2:35" s="757" customFormat="1">
      <c r="B126" s="757" t="s">
        <v>890</v>
      </c>
      <c r="C126" s="757">
        <v>2023</v>
      </c>
      <c r="D126" s="757">
        <v>123</v>
      </c>
      <c r="E126" s="757">
        <v>4</v>
      </c>
      <c r="F126" s="769">
        <v>0</v>
      </c>
      <c r="G126" s="770" t="s">
        <v>153</v>
      </c>
      <c r="H126" s="757">
        <v>7</v>
      </c>
      <c r="I126" s="757">
        <f t="shared" si="99"/>
        <v>130</v>
      </c>
      <c r="L126" s="755">
        <v>58574.32</v>
      </c>
      <c r="M126" s="755">
        <v>0</v>
      </c>
      <c r="N126" s="755">
        <f t="shared" si="100"/>
        <v>58574.32</v>
      </c>
      <c r="O126" s="755">
        <f t="shared" si="101"/>
        <v>697.31333333333339</v>
      </c>
      <c r="P126" s="755"/>
      <c r="Q126" s="755"/>
      <c r="R126" s="755"/>
      <c r="S126" s="771"/>
      <c r="T126" s="755"/>
      <c r="U126" s="755"/>
      <c r="V126" s="755"/>
      <c r="W126" s="771"/>
      <c r="X126" s="755"/>
      <c r="Y126" s="755"/>
      <c r="Z126" s="755"/>
      <c r="AA126" s="755">
        <f t="shared" si="104"/>
        <v>123.25</v>
      </c>
      <c r="AB126" s="755"/>
      <c r="AC126" s="755">
        <f t="shared" si="103"/>
        <v>130.25</v>
      </c>
      <c r="AD126" s="755"/>
      <c r="AE126" s="755"/>
      <c r="AF126" s="755"/>
      <c r="AG126" s="755"/>
      <c r="AH126" s="755"/>
      <c r="AI126" s="755"/>
    </row>
    <row r="127" spans="2:35" s="757" customFormat="1">
      <c r="B127" s="757" t="s">
        <v>958</v>
      </c>
      <c r="C127" s="757">
        <v>2023</v>
      </c>
      <c r="D127" s="757">
        <v>123</v>
      </c>
      <c r="E127" s="757">
        <v>4</v>
      </c>
      <c r="F127" s="769">
        <v>0</v>
      </c>
      <c r="G127" s="770" t="s">
        <v>153</v>
      </c>
      <c r="H127" s="757">
        <v>5</v>
      </c>
      <c r="I127" s="757">
        <f t="shared" si="99"/>
        <v>128</v>
      </c>
      <c r="L127" s="755">
        <f>79584+4881.58</f>
        <v>84465.58</v>
      </c>
      <c r="M127" s="755">
        <v>0</v>
      </c>
      <c r="N127" s="755">
        <f t="shared" ref="N127:N128" si="113">L127-(+L127*F127)</f>
        <v>84465.58</v>
      </c>
      <c r="O127" s="755">
        <f>N127/H127/12</f>
        <v>1407.7596666666668</v>
      </c>
      <c r="P127" s="755"/>
      <c r="Q127" s="755"/>
      <c r="R127" s="755"/>
      <c r="S127" s="771"/>
      <c r="T127" s="755"/>
      <c r="U127" s="755"/>
      <c r="V127" s="755"/>
      <c r="W127" s="771"/>
      <c r="X127" s="755"/>
      <c r="Y127" s="755"/>
      <c r="Z127" s="755"/>
      <c r="AA127" s="755">
        <f t="shared" si="104"/>
        <v>123.25</v>
      </c>
      <c r="AB127" s="755"/>
      <c r="AC127" s="755">
        <f t="shared" si="103"/>
        <v>128.25</v>
      </c>
      <c r="AD127" s="755"/>
      <c r="AE127" s="755"/>
      <c r="AF127" s="755"/>
      <c r="AG127" s="755"/>
      <c r="AH127" s="755"/>
      <c r="AI127" s="755"/>
    </row>
    <row r="128" spans="2:35" s="757" customFormat="1">
      <c r="B128" s="757" t="s">
        <v>961</v>
      </c>
      <c r="C128" s="757">
        <v>2023</v>
      </c>
      <c r="D128" s="757">
        <v>123</v>
      </c>
      <c r="E128" s="757">
        <v>5</v>
      </c>
      <c r="F128" s="769">
        <v>0</v>
      </c>
      <c r="G128" s="770" t="s">
        <v>153</v>
      </c>
      <c r="H128" s="757">
        <v>7</v>
      </c>
      <c r="I128" s="757">
        <f t="shared" si="99"/>
        <v>130</v>
      </c>
      <c r="L128" s="755">
        <v>238233.94</v>
      </c>
      <c r="M128" s="755">
        <v>0</v>
      </c>
      <c r="N128" s="755">
        <f t="shared" si="113"/>
        <v>238233.94</v>
      </c>
      <c r="O128" s="755">
        <f t="shared" ref="O128" si="114">N128/H128/12</f>
        <v>2836.1183333333333</v>
      </c>
      <c r="P128" s="755"/>
      <c r="Q128" s="755"/>
      <c r="R128" s="755"/>
      <c r="S128" s="771"/>
      <c r="T128" s="755"/>
      <c r="U128" s="755"/>
      <c r="V128" s="755"/>
      <c r="W128" s="771"/>
      <c r="X128" s="755"/>
      <c r="Y128" s="755"/>
      <c r="Z128" s="755"/>
      <c r="AA128" s="755">
        <f t="shared" si="104"/>
        <v>123.33333333333333</v>
      </c>
      <c r="AB128" s="755"/>
      <c r="AC128" s="755">
        <f t="shared" si="103"/>
        <v>130.33333333333334</v>
      </c>
      <c r="AD128" s="755"/>
      <c r="AE128" s="755"/>
      <c r="AF128" s="755"/>
      <c r="AG128" s="755"/>
      <c r="AH128" s="755"/>
      <c r="AI128" s="755"/>
    </row>
    <row r="129" spans="1:35" s="757" customFormat="1">
      <c r="B129" s="757" t="s">
        <v>962</v>
      </c>
      <c r="C129" s="757">
        <v>2023</v>
      </c>
      <c r="D129" s="757">
        <v>123</v>
      </c>
      <c r="E129" s="757">
        <v>5</v>
      </c>
      <c r="F129" s="769">
        <v>0</v>
      </c>
      <c r="G129" s="770" t="s">
        <v>153</v>
      </c>
      <c r="H129" s="757">
        <v>7</v>
      </c>
      <c r="I129" s="757">
        <f t="shared" si="99"/>
        <v>130</v>
      </c>
      <c r="L129" s="755">
        <v>223965.48</v>
      </c>
      <c r="M129" s="755">
        <v>0</v>
      </c>
      <c r="N129" s="755">
        <f t="shared" ref="N129" si="115">L129-(+L129*F129)</f>
        <v>223965.48</v>
      </c>
      <c r="O129" s="755">
        <f>N129/H129/12</f>
        <v>2666.2557142857145</v>
      </c>
      <c r="P129" s="755"/>
      <c r="Q129" s="755"/>
      <c r="R129" s="755"/>
      <c r="S129" s="771"/>
      <c r="T129" s="755"/>
      <c r="U129" s="755"/>
      <c r="V129" s="755"/>
      <c r="W129" s="771"/>
      <c r="X129" s="755"/>
      <c r="Y129" s="755"/>
      <c r="Z129" s="755"/>
      <c r="AA129" s="755">
        <f t="shared" si="104"/>
        <v>123.33333333333333</v>
      </c>
      <c r="AB129" s="755"/>
      <c r="AC129" s="755">
        <f t="shared" si="103"/>
        <v>130.33333333333334</v>
      </c>
      <c r="AD129" s="755"/>
      <c r="AE129" s="755"/>
      <c r="AF129" s="755"/>
      <c r="AG129" s="755"/>
      <c r="AH129" s="755"/>
      <c r="AI129" s="755"/>
    </row>
    <row r="130" spans="1:35">
      <c r="F130" s="763"/>
      <c r="G130" s="756"/>
      <c r="L130" s="753"/>
      <c r="M130" s="753"/>
      <c r="N130" s="753"/>
      <c r="O130" s="753"/>
      <c r="P130" s="753"/>
      <c r="Q130" s="753"/>
      <c r="R130" s="753"/>
      <c r="S130" s="764"/>
      <c r="T130" s="753"/>
      <c r="U130" s="753"/>
      <c r="V130" s="753"/>
      <c r="W130" s="764"/>
      <c r="X130" s="753"/>
      <c r="Y130" s="753"/>
      <c r="Z130" s="753"/>
      <c r="AA130" s="753"/>
      <c r="AB130" s="753"/>
      <c r="AC130" s="753"/>
      <c r="AD130" s="753"/>
      <c r="AE130" s="753"/>
      <c r="AF130" s="753"/>
      <c r="AG130" s="753"/>
      <c r="AH130" s="753"/>
      <c r="AI130" s="753"/>
    </row>
    <row r="131" spans="1:35">
      <c r="B131" s="221" t="s">
        <v>387</v>
      </c>
      <c r="L131" s="223">
        <f>SUM(L47:L122)</f>
        <v>2048380.0300000003</v>
      </c>
      <c r="M131" s="753"/>
      <c r="N131" s="223">
        <f>SUM(N48:N122)</f>
        <v>2004430.0300000003</v>
      </c>
      <c r="O131" s="223">
        <f>SUM(O48:O122)</f>
        <v>25788.649290674603</v>
      </c>
      <c r="P131" s="223">
        <f>SUM(P48:P122)</f>
        <v>145097.45226190472</v>
      </c>
      <c r="Q131" s="223">
        <f>SUM(Q48:Q122)</f>
        <v>0</v>
      </c>
      <c r="R131" s="223">
        <f>SUM(R48:R122)</f>
        <v>145097.45226190472</v>
      </c>
      <c r="S131" s="753"/>
      <c r="T131" s="223">
        <f>SUM(T48:T122)</f>
        <v>118709.94516706472</v>
      </c>
      <c r="U131" s="223">
        <f>SUM(U48:U122)</f>
        <v>1359173.1752380957</v>
      </c>
      <c r="V131" s="223">
        <f>SUM(V48:V122)</f>
        <v>1158271.0627139446</v>
      </c>
      <c r="W131" s="753"/>
      <c r="X131" s="223">
        <f>SUM(X48:X122)</f>
        <v>1158271.0627139446</v>
      </c>
      <c r="Y131" s="223">
        <f>SUM(Y48:Y122)</f>
        <v>1276981.0078810093</v>
      </c>
      <c r="Z131" s="223">
        <f>SUM(Z48:Z122)</f>
        <v>451046.75627838535</v>
      </c>
      <c r="AA131" s="753"/>
      <c r="AB131" s="753"/>
      <c r="AC131" s="753"/>
      <c r="AD131" s="753"/>
      <c r="AE131" s="753"/>
      <c r="AF131" s="772">
        <f>SUM(AF48:AF122)</f>
        <v>379707.23842413729</v>
      </c>
      <c r="AG131" s="753"/>
      <c r="AH131" s="753"/>
      <c r="AI131" s="753"/>
    </row>
    <row r="132" spans="1:35">
      <c r="B132" s="55"/>
      <c r="M132" s="753"/>
      <c r="N132" s="754"/>
      <c r="O132" s="754"/>
      <c r="P132" s="754"/>
      <c r="Q132" s="753"/>
      <c r="R132" s="754"/>
      <c r="S132" s="765"/>
      <c r="T132" s="754"/>
      <c r="U132" s="754"/>
      <c r="V132" s="754"/>
      <c r="W132" s="765"/>
      <c r="X132" s="754"/>
      <c r="Y132" s="754"/>
      <c r="Z132" s="754"/>
      <c r="AA132" s="753"/>
      <c r="AB132" s="753"/>
      <c r="AC132" s="753"/>
      <c r="AD132" s="753"/>
      <c r="AE132" s="753"/>
      <c r="AF132" s="753"/>
      <c r="AG132" s="753"/>
      <c r="AH132" s="753"/>
      <c r="AI132" s="753"/>
    </row>
    <row r="133" spans="1:35">
      <c r="B133" s="55" t="s">
        <v>350</v>
      </c>
      <c r="L133" s="753"/>
      <c r="M133" s="753"/>
      <c r="N133" s="753"/>
      <c r="O133" s="753"/>
      <c r="P133" s="753"/>
      <c r="Q133" s="753"/>
      <c r="R133" s="753"/>
      <c r="T133" s="753"/>
      <c r="U133" s="753"/>
      <c r="V133" s="753"/>
      <c r="X133" s="753"/>
      <c r="Y133" s="753"/>
      <c r="Z133" s="753"/>
      <c r="AA133" s="753"/>
      <c r="AB133" s="753"/>
      <c r="AC133" s="753"/>
      <c r="AD133" s="753"/>
      <c r="AE133" s="753"/>
      <c r="AF133" s="753"/>
      <c r="AG133" s="753"/>
      <c r="AH133" s="753"/>
      <c r="AI133" s="753"/>
    </row>
    <row r="134" spans="1:35">
      <c r="B134" s="41" t="s">
        <v>488</v>
      </c>
      <c r="C134" s="41">
        <v>1997</v>
      </c>
      <c r="D134" s="41">
        <v>97</v>
      </c>
      <c r="E134" s="41">
        <v>8</v>
      </c>
      <c r="F134" s="763">
        <v>0</v>
      </c>
      <c r="G134" s="756" t="s">
        <v>153</v>
      </c>
      <c r="H134" s="41">
        <v>6</v>
      </c>
      <c r="I134" s="41">
        <f t="shared" ref="I134:I152" si="116">D134+H134</f>
        <v>103</v>
      </c>
      <c r="L134" s="753">
        <v>68684.070000000007</v>
      </c>
      <c r="M134" s="753">
        <v>0</v>
      </c>
      <c r="N134" s="753">
        <f>L134-(+L134*F134)</f>
        <v>68684.070000000007</v>
      </c>
      <c r="O134" s="753">
        <f t="shared" ref="O134:O143" si="117">N134/H134/12</f>
        <v>953.9454166666668</v>
      </c>
      <c r="P134" s="753">
        <f t="shared" ref="P134:P152" si="118">IF(Q134&gt;0,0,IF(OR(AA134&gt;AB134,AC134&lt;AD134),0,IF(AND(AC134&gt;=AD134,AC134&lt;=AB134),O134*((AC134-AD134)*12),IF(AND(AD134&lt;=AA134,AB134&gt;=AA134),((AB134-AA134)*12)*O134,IF(AC134&gt;AB134,12*O134,0)))))</f>
        <v>0</v>
      </c>
      <c r="Q134" s="753">
        <f t="shared" ref="Q134:Q152" si="119">IF(M134=0,0,IF(AND(AE134&gt;=AD134,AE134&lt;=AC134),((AE134-AD134)*12)*O134,0))</f>
        <v>0</v>
      </c>
      <c r="R134" s="753">
        <f t="shared" ref="R134:R143" si="120">IF(Q134&gt;0,Q134,P134)</f>
        <v>0</v>
      </c>
      <c r="S134" s="764">
        <f>+'WP-11 - Non-Regulated'!$N$57</f>
        <v>0.87226151155039422</v>
      </c>
      <c r="T134" s="753">
        <f t="shared" ref="T134:T143" si="121">S134*SUM(P134:Q134)</f>
        <v>0</v>
      </c>
      <c r="U134" s="753">
        <f t="shared" ref="U134:U152" si="122">IF(AA134&gt;AB134,0,IF(AC134&lt;AD134,N134,IF(AND(AC134&gt;=AD134,AC134&lt;=AB134),(N134-R134),IF(AND(AD134&lt;=AA134,AB134&gt;=AA134),0,IF(AC134&gt;AB134,((AD134-AA134)*12)*O134,0)))))</f>
        <v>68684.070000000007</v>
      </c>
      <c r="V134" s="753">
        <f t="shared" ref="V134:V143" si="123">U134*S134</f>
        <v>59910.470717633092</v>
      </c>
      <c r="W134" s="764">
        <v>1</v>
      </c>
      <c r="X134" s="753">
        <f t="shared" ref="X134:X143" si="124">V134*W134</f>
        <v>59910.470717633092</v>
      </c>
      <c r="Y134" s="753">
        <f t="shared" ref="Y134:Y143" si="125">IF(M134&gt;0,0,X134+T134*W134)*W134</f>
        <v>59910.470717633092</v>
      </c>
      <c r="Z134" s="753">
        <f t="shared" ref="Z134:Z152" si="126">IF(M134&gt;0,(L134-X134)/2,IF(AA134&gt;=AD134,(((L134*S134)*W134)-Y134),(+(((L134*S134)*W134)-Y134))))</f>
        <v>0</v>
      </c>
      <c r="AA134" s="753">
        <f t="shared" ref="AA134:AA152" si="127">$D134+(($E134-1)/12)</f>
        <v>97.583333333333329</v>
      </c>
      <c r="AB134" s="753">
        <f t="shared" ref="AB134:AB152" si="128">($B$10+1)-($B$7/12)</f>
        <v>123</v>
      </c>
      <c r="AC134" s="753">
        <f t="shared" ref="AC134:AC152" si="129">$I134+(($E134-1)/12)</f>
        <v>103.58333333333333</v>
      </c>
      <c r="AD134" s="753">
        <f t="shared" ref="AD134:AD152" si="130">$B$9+($B$8/12)</f>
        <v>122</v>
      </c>
      <c r="AE134" s="753">
        <f t="shared" ref="AE134:AE152" si="131">$J134+(($K134-1)/12)</f>
        <v>-8.3333333333333329E-2</v>
      </c>
      <c r="AF134" s="753">
        <f t="shared" ref="AF134:AF152" si="132">L134-((X134+Y134)/2)-Z134</f>
        <v>8773.5992823669148</v>
      </c>
      <c r="AG134" s="753"/>
      <c r="AH134" s="753"/>
      <c r="AI134" s="753"/>
    </row>
    <row r="135" spans="1:35">
      <c r="B135" s="41" t="s">
        <v>489</v>
      </c>
      <c r="C135" s="41">
        <v>1997</v>
      </c>
      <c r="D135" s="41">
        <v>97</v>
      </c>
      <c r="E135" s="41">
        <v>9</v>
      </c>
      <c r="F135" s="763">
        <v>0</v>
      </c>
      <c r="G135" s="756" t="s">
        <v>153</v>
      </c>
      <c r="H135" s="41">
        <v>6</v>
      </c>
      <c r="I135" s="41">
        <f t="shared" si="116"/>
        <v>103</v>
      </c>
      <c r="L135" s="753">
        <v>52062.35</v>
      </c>
      <c r="M135" s="753">
        <v>0</v>
      </c>
      <c r="N135" s="753">
        <f t="shared" ref="N135:N143" si="133">L135-(+L135*F135)</f>
        <v>52062.35</v>
      </c>
      <c r="O135" s="753">
        <f t="shared" si="117"/>
        <v>723.08819444444441</v>
      </c>
      <c r="P135" s="753">
        <f t="shared" si="118"/>
        <v>0</v>
      </c>
      <c r="Q135" s="753">
        <f t="shared" si="119"/>
        <v>0</v>
      </c>
      <c r="R135" s="753">
        <f t="shared" si="120"/>
        <v>0</v>
      </c>
      <c r="S135" s="764">
        <f>+'WP-11 - Non-Regulated'!$N$57</f>
        <v>0.87226151155039422</v>
      </c>
      <c r="T135" s="753">
        <f t="shared" si="121"/>
        <v>0</v>
      </c>
      <c r="U135" s="753">
        <f t="shared" si="122"/>
        <v>52062.35</v>
      </c>
      <c r="V135" s="753">
        <f t="shared" si="123"/>
        <v>45411.984105865668</v>
      </c>
      <c r="W135" s="764">
        <v>1</v>
      </c>
      <c r="X135" s="753">
        <f t="shared" si="124"/>
        <v>45411.984105865668</v>
      </c>
      <c r="Y135" s="753">
        <f t="shared" si="125"/>
        <v>45411.984105865668</v>
      </c>
      <c r="Z135" s="753">
        <f t="shared" si="126"/>
        <v>0</v>
      </c>
      <c r="AA135" s="753">
        <f t="shared" si="127"/>
        <v>97.666666666666671</v>
      </c>
      <c r="AB135" s="753">
        <f t="shared" si="128"/>
        <v>123</v>
      </c>
      <c r="AC135" s="753">
        <f t="shared" si="129"/>
        <v>103.66666666666667</v>
      </c>
      <c r="AD135" s="753">
        <f t="shared" si="130"/>
        <v>122</v>
      </c>
      <c r="AE135" s="753">
        <f t="shared" si="131"/>
        <v>-8.3333333333333329E-2</v>
      </c>
      <c r="AF135" s="753">
        <f t="shared" si="132"/>
        <v>6650.365894134331</v>
      </c>
      <c r="AG135" s="753"/>
      <c r="AH135" s="753"/>
      <c r="AI135" s="753"/>
    </row>
    <row r="136" spans="1:35" s="767" customFormat="1">
      <c r="B136" s="41" t="s">
        <v>490</v>
      </c>
      <c r="C136" s="41">
        <v>2001</v>
      </c>
      <c r="D136" s="41">
        <v>101</v>
      </c>
      <c r="E136" s="41">
        <v>9</v>
      </c>
      <c r="F136" s="763">
        <v>0</v>
      </c>
      <c r="G136" s="756" t="s">
        <v>153</v>
      </c>
      <c r="H136" s="41">
        <v>7</v>
      </c>
      <c r="I136" s="41">
        <f t="shared" si="116"/>
        <v>108</v>
      </c>
      <c r="J136" s="41"/>
      <c r="K136" s="41"/>
      <c r="L136" s="753">
        <v>93543.44</v>
      </c>
      <c r="M136" s="753">
        <v>0</v>
      </c>
      <c r="N136" s="753">
        <f t="shared" si="133"/>
        <v>93543.44</v>
      </c>
      <c r="O136" s="753">
        <f t="shared" si="117"/>
        <v>1113.612380952381</v>
      </c>
      <c r="P136" s="773">
        <f t="shared" si="118"/>
        <v>0</v>
      </c>
      <c r="Q136" s="773">
        <f t="shared" si="119"/>
        <v>0</v>
      </c>
      <c r="R136" s="773">
        <f t="shared" si="120"/>
        <v>0</v>
      </c>
      <c r="S136" s="764">
        <f>+'WP-11 - Non-Regulated'!$N$57</f>
        <v>0.87226151155039422</v>
      </c>
      <c r="T136" s="753">
        <f t="shared" si="121"/>
        <v>0</v>
      </c>
      <c r="U136" s="753">
        <f t="shared" si="122"/>
        <v>93543.44</v>
      </c>
      <c r="V136" s="753">
        <f t="shared" si="123"/>
        <v>81594.342370023616</v>
      </c>
      <c r="W136" s="764">
        <v>1</v>
      </c>
      <c r="X136" s="753">
        <f t="shared" si="124"/>
        <v>81594.342370023616</v>
      </c>
      <c r="Y136" s="753">
        <f t="shared" si="125"/>
        <v>81594.342370023616</v>
      </c>
      <c r="Z136" s="753">
        <f t="shared" si="126"/>
        <v>0</v>
      </c>
      <c r="AA136" s="753">
        <f t="shared" si="127"/>
        <v>101.66666666666667</v>
      </c>
      <c r="AB136" s="753">
        <f t="shared" si="128"/>
        <v>123</v>
      </c>
      <c r="AC136" s="753">
        <f t="shared" si="129"/>
        <v>108.66666666666667</v>
      </c>
      <c r="AD136" s="753">
        <f t="shared" si="130"/>
        <v>122</v>
      </c>
      <c r="AE136" s="753">
        <f t="shared" si="131"/>
        <v>-8.3333333333333329E-2</v>
      </c>
      <c r="AF136" s="753">
        <f t="shared" si="132"/>
        <v>11949.097629976386</v>
      </c>
      <c r="AG136" s="773"/>
      <c r="AH136" s="773"/>
      <c r="AI136" s="773"/>
    </row>
    <row r="137" spans="1:35">
      <c r="B137" s="41" t="s">
        <v>331</v>
      </c>
      <c r="C137" s="41">
        <v>2001</v>
      </c>
      <c r="D137" s="41">
        <v>101</v>
      </c>
      <c r="E137" s="41">
        <v>10</v>
      </c>
      <c r="F137" s="763">
        <v>0</v>
      </c>
      <c r="G137" s="756" t="s">
        <v>153</v>
      </c>
      <c r="H137" s="41">
        <v>7</v>
      </c>
      <c r="I137" s="41">
        <f t="shared" si="116"/>
        <v>108</v>
      </c>
      <c r="L137" s="753">
        <v>4637.1099999999997</v>
      </c>
      <c r="M137" s="753">
        <v>0</v>
      </c>
      <c r="N137" s="753">
        <f t="shared" si="133"/>
        <v>4637.1099999999997</v>
      </c>
      <c r="O137" s="753">
        <f t="shared" si="117"/>
        <v>55.203690476190474</v>
      </c>
      <c r="P137" s="753">
        <f t="shared" si="118"/>
        <v>0</v>
      </c>
      <c r="Q137" s="753">
        <f t="shared" si="119"/>
        <v>0</v>
      </c>
      <c r="R137" s="753">
        <f t="shared" si="120"/>
        <v>0</v>
      </c>
      <c r="S137" s="764">
        <f>+'WP-11 - Non-Regulated'!$N$57</f>
        <v>0.87226151155039422</v>
      </c>
      <c r="T137" s="753">
        <f t="shared" si="121"/>
        <v>0</v>
      </c>
      <c r="U137" s="753">
        <f t="shared" si="122"/>
        <v>4637.1099999999997</v>
      </c>
      <c r="V137" s="753">
        <f t="shared" si="123"/>
        <v>4044.7725778254485</v>
      </c>
      <c r="W137" s="764">
        <v>1</v>
      </c>
      <c r="X137" s="753">
        <f t="shared" si="124"/>
        <v>4044.7725778254485</v>
      </c>
      <c r="Y137" s="753">
        <f t="shared" si="125"/>
        <v>4044.7725778254485</v>
      </c>
      <c r="Z137" s="753">
        <f t="shared" si="126"/>
        <v>0</v>
      </c>
      <c r="AA137" s="753">
        <f t="shared" si="127"/>
        <v>101.75</v>
      </c>
      <c r="AB137" s="753">
        <f t="shared" si="128"/>
        <v>123</v>
      </c>
      <c r="AC137" s="753">
        <f t="shared" si="129"/>
        <v>108.75</v>
      </c>
      <c r="AD137" s="753">
        <f t="shared" si="130"/>
        <v>122</v>
      </c>
      <c r="AE137" s="753">
        <f t="shared" si="131"/>
        <v>-8.3333333333333329E-2</v>
      </c>
      <c r="AF137" s="753">
        <f t="shared" si="132"/>
        <v>592.33742217455119</v>
      </c>
      <c r="AG137" s="753"/>
      <c r="AH137" s="753"/>
      <c r="AI137" s="753"/>
    </row>
    <row r="138" spans="1:35">
      <c r="A138" s="774"/>
      <c r="B138" s="41" t="s">
        <v>345</v>
      </c>
      <c r="C138" s="41">
        <v>2007</v>
      </c>
      <c r="D138" s="41">
        <v>107</v>
      </c>
      <c r="E138" s="41">
        <v>2</v>
      </c>
      <c r="F138" s="763">
        <v>0</v>
      </c>
      <c r="G138" s="756" t="s">
        <v>153</v>
      </c>
      <c r="H138" s="41">
        <v>3</v>
      </c>
      <c r="I138" s="41">
        <f t="shared" si="116"/>
        <v>110</v>
      </c>
      <c r="L138" s="753">
        <v>9404.39</v>
      </c>
      <c r="M138" s="753">
        <v>0</v>
      </c>
      <c r="N138" s="753">
        <f t="shared" si="133"/>
        <v>9404.39</v>
      </c>
      <c r="O138" s="753">
        <f t="shared" si="117"/>
        <v>261.23305555555555</v>
      </c>
      <c r="P138" s="753">
        <f t="shared" si="118"/>
        <v>0</v>
      </c>
      <c r="Q138" s="753">
        <f t="shared" si="119"/>
        <v>0</v>
      </c>
      <c r="R138" s="753">
        <f t="shared" si="120"/>
        <v>0</v>
      </c>
      <c r="S138" s="764">
        <f>+'WP-11 - Non-Regulated'!$N$57</f>
        <v>0.87226151155039422</v>
      </c>
      <c r="T138" s="753">
        <f t="shared" si="121"/>
        <v>0</v>
      </c>
      <c r="U138" s="753">
        <f t="shared" si="122"/>
        <v>9404.39</v>
      </c>
      <c r="V138" s="753">
        <f t="shared" si="123"/>
        <v>8203.0874366094122</v>
      </c>
      <c r="W138" s="764">
        <v>1</v>
      </c>
      <c r="X138" s="753">
        <f t="shared" si="124"/>
        <v>8203.0874366094122</v>
      </c>
      <c r="Y138" s="753">
        <f t="shared" si="125"/>
        <v>8203.0874366094122</v>
      </c>
      <c r="Z138" s="753">
        <f t="shared" si="126"/>
        <v>0</v>
      </c>
      <c r="AA138" s="753">
        <f t="shared" si="127"/>
        <v>107.08333333333333</v>
      </c>
      <c r="AB138" s="753">
        <f t="shared" si="128"/>
        <v>123</v>
      </c>
      <c r="AC138" s="753">
        <f t="shared" si="129"/>
        <v>110.08333333333333</v>
      </c>
      <c r="AD138" s="753">
        <f t="shared" si="130"/>
        <v>122</v>
      </c>
      <c r="AE138" s="753">
        <f t="shared" si="131"/>
        <v>-8.3333333333333329E-2</v>
      </c>
      <c r="AF138" s="753">
        <f t="shared" si="132"/>
        <v>1201.3025633905872</v>
      </c>
      <c r="AG138" s="753"/>
      <c r="AH138" s="753"/>
      <c r="AI138" s="753"/>
    </row>
    <row r="139" spans="1:35">
      <c r="A139" s="767"/>
      <c r="B139" s="41" t="s">
        <v>491</v>
      </c>
      <c r="C139" s="41">
        <v>2007</v>
      </c>
      <c r="D139" s="41">
        <v>107</v>
      </c>
      <c r="E139" s="41">
        <v>3</v>
      </c>
      <c r="F139" s="763">
        <v>0</v>
      </c>
      <c r="G139" s="756" t="s">
        <v>153</v>
      </c>
      <c r="H139" s="41">
        <v>7</v>
      </c>
      <c r="I139" s="41">
        <f t="shared" si="116"/>
        <v>114</v>
      </c>
      <c r="L139" s="753">
        <v>131470</v>
      </c>
      <c r="M139" s="753">
        <v>0</v>
      </c>
      <c r="N139" s="753">
        <f t="shared" si="133"/>
        <v>131470</v>
      </c>
      <c r="O139" s="753">
        <f t="shared" si="117"/>
        <v>1565.1190476190477</v>
      </c>
      <c r="P139" s="753">
        <f t="shared" si="118"/>
        <v>0</v>
      </c>
      <c r="Q139" s="753">
        <f t="shared" si="119"/>
        <v>0</v>
      </c>
      <c r="R139" s="753">
        <f t="shared" si="120"/>
        <v>0</v>
      </c>
      <c r="S139" s="764">
        <f>+'WP-11 - Non-Regulated'!$N$57</f>
        <v>0.87226151155039422</v>
      </c>
      <c r="T139" s="753">
        <f t="shared" si="121"/>
        <v>0</v>
      </c>
      <c r="U139" s="753">
        <f t="shared" si="122"/>
        <v>131470</v>
      </c>
      <c r="V139" s="753">
        <f t="shared" si="123"/>
        <v>114676.22092353033</v>
      </c>
      <c r="W139" s="764">
        <v>1</v>
      </c>
      <c r="X139" s="753">
        <f t="shared" si="124"/>
        <v>114676.22092353033</v>
      </c>
      <c r="Y139" s="753">
        <f t="shared" si="125"/>
        <v>114676.22092353033</v>
      </c>
      <c r="Z139" s="753">
        <f t="shared" si="126"/>
        <v>0</v>
      </c>
      <c r="AA139" s="753">
        <f t="shared" si="127"/>
        <v>107.16666666666667</v>
      </c>
      <c r="AB139" s="753">
        <f t="shared" si="128"/>
        <v>123</v>
      </c>
      <c r="AC139" s="753">
        <f t="shared" si="129"/>
        <v>114.16666666666667</v>
      </c>
      <c r="AD139" s="753">
        <f t="shared" si="130"/>
        <v>122</v>
      </c>
      <c r="AE139" s="753">
        <f t="shared" si="131"/>
        <v>-8.3333333333333329E-2</v>
      </c>
      <c r="AF139" s="753">
        <f t="shared" si="132"/>
        <v>16793.779076469669</v>
      </c>
      <c r="AG139" s="753"/>
      <c r="AH139" s="753"/>
      <c r="AI139" s="753"/>
    </row>
    <row r="140" spans="1:35">
      <c r="A140" s="767"/>
      <c r="B140" s="41" t="s">
        <v>346</v>
      </c>
      <c r="C140" s="41">
        <v>2008</v>
      </c>
      <c r="D140" s="41">
        <v>108</v>
      </c>
      <c r="E140" s="41">
        <v>12</v>
      </c>
      <c r="F140" s="763">
        <v>0</v>
      </c>
      <c r="G140" s="756" t="s">
        <v>153</v>
      </c>
      <c r="H140" s="41">
        <v>3</v>
      </c>
      <c r="I140" s="41">
        <f t="shared" si="116"/>
        <v>111</v>
      </c>
      <c r="L140" s="753">
        <v>12944.03</v>
      </c>
      <c r="M140" s="753">
        <v>0</v>
      </c>
      <c r="N140" s="753">
        <f t="shared" si="133"/>
        <v>12944.03</v>
      </c>
      <c r="O140" s="753">
        <f t="shared" si="117"/>
        <v>359.55638888888893</v>
      </c>
      <c r="P140" s="753">
        <f t="shared" si="118"/>
        <v>0</v>
      </c>
      <c r="Q140" s="753">
        <f t="shared" si="119"/>
        <v>0</v>
      </c>
      <c r="R140" s="753">
        <f t="shared" si="120"/>
        <v>0</v>
      </c>
      <c r="S140" s="764">
        <f>+'WP-11 - Non-Regulated'!$N$57</f>
        <v>0.87226151155039422</v>
      </c>
      <c r="T140" s="753">
        <f t="shared" si="121"/>
        <v>0</v>
      </c>
      <c r="U140" s="753">
        <f t="shared" si="122"/>
        <v>12944.03</v>
      </c>
      <c r="V140" s="753">
        <f t="shared" si="123"/>
        <v>11290.57917335365</v>
      </c>
      <c r="W140" s="764">
        <v>1</v>
      </c>
      <c r="X140" s="753">
        <f t="shared" si="124"/>
        <v>11290.57917335365</v>
      </c>
      <c r="Y140" s="753">
        <f t="shared" si="125"/>
        <v>11290.57917335365</v>
      </c>
      <c r="Z140" s="753">
        <f t="shared" si="126"/>
        <v>0</v>
      </c>
      <c r="AA140" s="753">
        <f t="shared" si="127"/>
        <v>108.91666666666667</v>
      </c>
      <c r="AB140" s="753">
        <f t="shared" si="128"/>
        <v>123</v>
      </c>
      <c r="AC140" s="753">
        <f t="shared" si="129"/>
        <v>111.91666666666667</v>
      </c>
      <c r="AD140" s="753">
        <f t="shared" si="130"/>
        <v>122</v>
      </c>
      <c r="AE140" s="753">
        <f t="shared" si="131"/>
        <v>-8.3333333333333329E-2</v>
      </c>
      <c r="AF140" s="753">
        <f t="shared" si="132"/>
        <v>1653.4508266463508</v>
      </c>
      <c r="AG140" s="753"/>
      <c r="AH140" s="753"/>
      <c r="AI140" s="753"/>
    </row>
    <row r="141" spans="1:35">
      <c r="A141" s="767"/>
      <c r="B141" s="41" t="s">
        <v>347</v>
      </c>
      <c r="C141" s="41">
        <v>2009</v>
      </c>
      <c r="D141" s="41">
        <v>109</v>
      </c>
      <c r="E141" s="41">
        <v>9</v>
      </c>
      <c r="F141" s="763">
        <v>0</v>
      </c>
      <c r="G141" s="756" t="s">
        <v>153</v>
      </c>
      <c r="H141" s="41">
        <v>5</v>
      </c>
      <c r="I141" s="41">
        <f t="shared" si="116"/>
        <v>114</v>
      </c>
      <c r="L141" s="753">
        <v>6145.44</v>
      </c>
      <c r="M141" s="753">
        <v>0</v>
      </c>
      <c r="N141" s="753">
        <f t="shared" si="133"/>
        <v>6145.44</v>
      </c>
      <c r="O141" s="753">
        <f t="shared" si="117"/>
        <v>102.42399999999999</v>
      </c>
      <c r="P141" s="753">
        <f t="shared" si="118"/>
        <v>0</v>
      </c>
      <c r="Q141" s="753">
        <f t="shared" si="119"/>
        <v>0</v>
      </c>
      <c r="R141" s="753">
        <f t="shared" si="120"/>
        <v>0</v>
      </c>
      <c r="S141" s="764">
        <f>+'WP-11 - Non-Regulated'!$N$57</f>
        <v>0.87226151155039422</v>
      </c>
      <c r="T141" s="753">
        <f t="shared" si="121"/>
        <v>0</v>
      </c>
      <c r="U141" s="753">
        <f t="shared" si="122"/>
        <v>6145.44</v>
      </c>
      <c r="V141" s="753">
        <f t="shared" si="123"/>
        <v>5360.4307835422542</v>
      </c>
      <c r="W141" s="764">
        <v>1</v>
      </c>
      <c r="X141" s="753">
        <f t="shared" si="124"/>
        <v>5360.4307835422542</v>
      </c>
      <c r="Y141" s="753">
        <f t="shared" si="125"/>
        <v>5360.4307835422542</v>
      </c>
      <c r="Z141" s="753">
        <f t="shared" si="126"/>
        <v>0</v>
      </c>
      <c r="AA141" s="753">
        <f t="shared" si="127"/>
        <v>109.66666666666667</v>
      </c>
      <c r="AB141" s="753">
        <f t="shared" si="128"/>
        <v>123</v>
      </c>
      <c r="AC141" s="753">
        <f t="shared" si="129"/>
        <v>114.66666666666667</v>
      </c>
      <c r="AD141" s="753">
        <f t="shared" si="130"/>
        <v>122</v>
      </c>
      <c r="AE141" s="753">
        <f t="shared" si="131"/>
        <v>-8.3333333333333329E-2</v>
      </c>
      <c r="AF141" s="753">
        <f t="shared" si="132"/>
        <v>785.00921645774542</v>
      </c>
      <c r="AG141" s="753"/>
      <c r="AH141" s="753"/>
      <c r="AI141" s="753"/>
    </row>
    <row r="142" spans="1:35">
      <c r="A142" s="767"/>
      <c r="B142" s="41" t="s">
        <v>492</v>
      </c>
      <c r="C142" s="41">
        <v>2009</v>
      </c>
      <c r="D142" s="41">
        <v>109</v>
      </c>
      <c r="E142" s="41">
        <v>12</v>
      </c>
      <c r="F142" s="763">
        <v>0</v>
      </c>
      <c r="G142" s="756" t="s">
        <v>153</v>
      </c>
      <c r="H142" s="41">
        <v>7</v>
      </c>
      <c r="I142" s="41">
        <f t="shared" si="116"/>
        <v>116</v>
      </c>
      <c r="L142" s="753">
        <v>165409.23000000001</v>
      </c>
      <c r="M142" s="753">
        <v>0</v>
      </c>
      <c r="N142" s="753">
        <f t="shared" si="133"/>
        <v>165409.23000000001</v>
      </c>
      <c r="O142" s="753">
        <f t="shared" si="117"/>
        <v>1969.1575000000003</v>
      </c>
      <c r="P142" s="753">
        <f t="shared" si="118"/>
        <v>0</v>
      </c>
      <c r="Q142" s="753">
        <f t="shared" si="119"/>
        <v>0</v>
      </c>
      <c r="R142" s="753">
        <f t="shared" si="120"/>
        <v>0</v>
      </c>
      <c r="S142" s="764">
        <f>+'WP-11 - Non-Regulated'!$N$57</f>
        <v>0.87226151155039422</v>
      </c>
      <c r="T142" s="753">
        <f t="shared" si="121"/>
        <v>0</v>
      </c>
      <c r="U142" s="753">
        <f t="shared" si="122"/>
        <v>165409.23000000001</v>
      </c>
      <c r="V142" s="753">
        <f t="shared" si="123"/>
        <v>144280.10498418682</v>
      </c>
      <c r="W142" s="764">
        <v>1</v>
      </c>
      <c r="X142" s="753">
        <f t="shared" si="124"/>
        <v>144280.10498418682</v>
      </c>
      <c r="Y142" s="753">
        <f t="shared" si="125"/>
        <v>144280.10498418682</v>
      </c>
      <c r="Z142" s="753">
        <f t="shared" si="126"/>
        <v>0</v>
      </c>
      <c r="AA142" s="753">
        <f t="shared" si="127"/>
        <v>109.91666666666667</v>
      </c>
      <c r="AB142" s="753">
        <f t="shared" si="128"/>
        <v>123</v>
      </c>
      <c r="AC142" s="753">
        <f t="shared" si="129"/>
        <v>116.91666666666667</v>
      </c>
      <c r="AD142" s="753">
        <f t="shared" si="130"/>
        <v>122</v>
      </c>
      <c r="AE142" s="753">
        <f t="shared" si="131"/>
        <v>-8.3333333333333329E-2</v>
      </c>
      <c r="AF142" s="753">
        <f t="shared" si="132"/>
        <v>21129.125015813188</v>
      </c>
      <c r="AG142" s="753"/>
      <c r="AH142" s="753"/>
      <c r="AI142" s="753"/>
    </row>
    <row r="143" spans="1:35">
      <c r="A143" s="767"/>
      <c r="B143" s="41" t="s">
        <v>493</v>
      </c>
      <c r="C143" s="41">
        <v>2011</v>
      </c>
      <c r="D143" s="41">
        <v>111</v>
      </c>
      <c r="E143" s="41">
        <v>12</v>
      </c>
      <c r="F143" s="763">
        <v>0</v>
      </c>
      <c r="G143" s="756" t="s">
        <v>153</v>
      </c>
      <c r="H143" s="41">
        <v>7</v>
      </c>
      <c r="I143" s="41">
        <f t="shared" si="116"/>
        <v>118</v>
      </c>
      <c r="L143" s="753">
        <v>246889.54</v>
      </c>
      <c r="M143" s="753">
        <v>0</v>
      </c>
      <c r="N143" s="753">
        <f t="shared" si="133"/>
        <v>246889.54</v>
      </c>
      <c r="O143" s="753">
        <f t="shared" si="117"/>
        <v>2939.1611904761903</v>
      </c>
      <c r="P143" s="753">
        <f t="shared" si="118"/>
        <v>0</v>
      </c>
      <c r="Q143" s="753">
        <f t="shared" si="119"/>
        <v>0</v>
      </c>
      <c r="R143" s="753">
        <f t="shared" si="120"/>
        <v>0</v>
      </c>
      <c r="S143" s="764">
        <f>+'WP-11 - Non-Regulated'!$N$57</f>
        <v>0.87226151155039422</v>
      </c>
      <c r="T143" s="753">
        <f t="shared" si="121"/>
        <v>0</v>
      </c>
      <c r="U143" s="753">
        <f t="shared" si="122"/>
        <v>246889.54</v>
      </c>
      <c r="V143" s="753">
        <f t="shared" si="123"/>
        <v>215352.24334638153</v>
      </c>
      <c r="W143" s="764">
        <v>1</v>
      </c>
      <c r="X143" s="753">
        <f t="shared" si="124"/>
        <v>215352.24334638153</v>
      </c>
      <c r="Y143" s="753">
        <f t="shared" si="125"/>
        <v>215352.24334638153</v>
      </c>
      <c r="Z143" s="753">
        <f t="shared" si="126"/>
        <v>0</v>
      </c>
      <c r="AA143" s="753">
        <f t="shared" si="127"/>
        <v>111.91666666666667</v>
      </c>
      <c r="AB143" s="753">
        <f t="shared" si="128"/>
        <v>123</v>
      </c>
      <c r="AC143" s="753">
        <f t="shared" si="129"/>
        <v>118.91666666666667</v>
      </c>
      <c r="AD143" s="753">
        <f t="shared" si="130"/>
        <v>122</v>
      </c>
      <c r="AE143" s="753">
        <f t="shared" si="131"/>
        <v>-8.3333333333333329E-2</v>
      </c>
      <c r="AF143" s="753">
        <f t="shared" si="132"/>
        <v>31537.296653618483</v>
      </c>
      <c r="AG143" s="753"/>
      <c r="AH143" s="753"/>
      <c r="AI143" s="753"/>
    </row>
    <row r="144" spans="1:35">
      <c r="A144" s="767"/>
      <c r="B144" s="41" t="s">
        <v>539</v>
      </c>
      <c r="C144" s="41">
        <v>2012</v>
      </c>
      <c r="D144" s="41">
        <v>112</v>
      </c>
      <c r="E144" s="41">
        <v>6</v>
      </c>
      <c r="F144" s="763">
        <v>0</v>
      </c>
      <c r="G144" s="756" t="s">
        <v>153</v>
      </c>
      <c r="H144" s="41">
        <v>5</v>
      </c>
      <c r="I144" s="41">
        <f t="shared" si="116"/>
        <v>117</v>
      </c>
      <c r="L144" s="753">
        <v>21720.76</v>
      </c>
      <c r="M144" s="753">
        <v>0</v>
      </c>
      <c r="N144" s="753">
        <f t="shared" ref="N144:N152" si="134">L144-(+L144*F144)</f>
        <v>21720.76</v>
      </c>
      <c r="O144" s="753">
        <f t="shared" ref="O144:O152" si="135">N144/H144/12</f>
        <v>362.01266666666669</v>
      </c>
      <c r="P144" s="753">
        <f t="shared" si="118"/>
        <v>0</v>
      </c>
      <c r="Q144" s="753">
        <f t="shared" si="119"/>
        <v>0</v>
      </c>
      <c r="R144" s="753">
        <f t="shared" ref="R144:R152" si="136">IF(Q144&gt;0,Q144,P144)</f>
        <v>0</v>
      </c>
      <c r="S144" s="764">
        <v>0</v>
      </c>
      <c r="T144" s="753">
        <f t="shared" ref="T144:T152" si="137">S144*SUM(P144:Q144)</f>
        <v>0</v>
      </c>
      <c r="U144" s="753">
        <f t="shared" si="122"/>
        <v>21720.76</v>
      </c>
      <c r="V144" s="753">
        <f t="shared" ref="V144:V152" si="138">U144*S144</f>
        <v>0</v>
      </c>
      <c r="W144" s="764">
        <v>1</v>
      </c>
      <c r="X144" s="753">
        <f t="shared" ref="X144:X152" si="139">V144*W144</f>
        <v>0</v>
      </c>
      <c r="Y144" s="753">
        <f t="shared" ref="Y144:Y152" si="140">IF(M144&gt;0,0,X144+T144*W144)*W144</f>
        <v>0</v>
      </c>
      <c r="Z144" s="753">
        <f t="shared" si="126"/>
        <v>0</v>
      </c>
      <c r="AA144" s="753">
        <f t="shared" si="127"/>
        <v>112.41666666666667</v>
      </c>
      <c r="AB144" s="753">
        <f t="shared" si="128"/>
        <v>123</v>
      </c>
      <c r="AC144" s="753">
        <f t="shared" si="129"/>
        <v>117.41666666666667</v>
      </c>
      <c r="AD144" s="753">
        <f t="shared" si="130"/>
        <v>122</v>
      </c>
      <c r="AE144" s="753">
        <f t="shared" si="131"/>
        <v>-8.3333333333333329E-2</v>
      </c>
      <c r="AF144" s="753">
        <f t="shared" si="132"/>
        <v>21720.76</v>
      </c>
      <c r="AG144" s="753"/>
      <c r="AH144" s="753"/>
      <c r="AI144" s="753"/>
    </row>
    <row r="145" spans="1:40">
      <c r="A145" s="767"/>
      <c r="B145" s="41" t="s">
        <v>348</v>
      </c>
      <c r="C145" s="41">
        <v>2013</v>
      </c>
      <c r="D145" s="41">
        <v>113</v>
      </c>
      <c r="E145" s="41">
        <v>10</v>
      </c>
      <c r="F145" s="763">
        <v>0</v>
      </c>
      <c r="G145" s="756" t="s">
        <v>153</v>
      </c>
      <c r="H145" s="41">
        <v>5</v>
      </c>
      <c r="I145" s="41">
        <f t="shared" si="116"/>
        <v>118</v>
      </c>
      <c r="L145" s="753">
        <v>6457.03</v>
      </c>
      <c r="M145" s="753">
        <v>0</v>
      </c>
      <c r="N145" s="753">
        <f t="shared" si="134"/>
        <v>6457.03</v>
      </c>
      <c r="O145" s="753">
        <f t="shared" si="135"/>
        <v>107.61716666666666</v>
      </c>
      <c r="P145" s="753">
        <f t="shared" si="118"/>
        <v>0</v>
      </c>
      <c r="Q145" s="753">
        <f t="shared" si="119"/>
        <v>0</v>
      </c>
      <c r="R145" s="753">
        <f t="shared" si="136"/>
        <v>0</v>
      </c>
      <c r="S145" s="764">
        <f>+'WP-11 - Non-Regulated'!$N$57</f>
        <v>0.87226151155039422</v>
      </c>
      <c r="T145" s="753">
        <f t="shared" si="137"/>
        <v>0</v>
      </c>
      <c r="U145" s="753">
        <f t="shared" si="122"/>
        <v>6457.03</v>
      </c>
      <c r="V145" s="753">
        <f t="shared" si="138"/>
        <v>5632.218747926242</v>
      </c>
      <c r="W145" s="764">
        <v>1</v>
      </c>
      <c r="X145" s="753">
        <f t="shared" si="139"/>
        <v>5632.218747926242</v>
      </c>
      <c r="Y145" s="753">
        <f t="shared" si="140"/>
        <v>5632.218747926242</v>
      </c>
      <c r="Z145" s="753">
        <f t="shared" si="126"/>
        <v>0</v>
      </c>
      <c r="AA145" s="753">
        <f t="shared" si="127"/>
        <v>113.75</v>
      </c>
      <c r="AB145" s="753">
        <f t="shared" si="128"/>
        <v>123</v>
      </c>
      <c r="AC145" s="753">
        <f t="shared" si="129"/>
        <v>118.75</v>
      </c>
      <c r="AD145" s="753">
        <f t="shared" si="130"/>
        <v>122</v>
      </c>
      <c r="AE145" s="753">
        <f t="shared" si="131"/>
        <v>-8.3333333333333329E-2</v>
      </c>
      <c r="AF145" s="753">
        <f t="shared" si="132"/>
        <v>824.81125207375771</v>
      </c>
      <c r="AG145" s="753"/>
      <c r="AH145" s="753"/>
      <c r="AI145" s="753"/>
    </row>
    <row r="146" spans="1:40">
      <c r="A146" s="767"/>
      <c r="B146" s="41" t="s">
        <v>494</v>
      </c>
      <c r="C146" s="41">
        <v>2014</v>
      </c>
      <c r="D146" s="41">
        <v>114</v>
      </c>
      <c r="E146" s="41">
        <v>2</v>
      </c>
      <c r="F146" s="763">
        <v>0</v>
      </c>
      <c r="G146" s="756" t="s">
        <v>153</v>
      </c>
      <c r="H146" s="41">
        <v>7</v>
      </c>
      <c r="I146" s="41">
        <f t="shared" si="116"/>
        <v>121</v>
      </c>
      <c r="L146" s="753">
        <v>323708.37</v>
      </c>
      <c r="M146" s="753">
        <v>0</v>
      </c>
      <c r="N146" s="753">
        <f t="shared" si="134"/>
        <v>323708.37</v>
      </c>
      <c r="O146" s="753">
        <f t="shared" si="135"/>
        <v>3853.6710714285714</v>
      </c>
      <c r="P146" s="753">
        <f t="shared" si="118"/>
        <v>0</v>
      </c>
      <c r="Q146" s="753">
        <f t="shared" si="119"/>
        <v>0</v>
      </c>
      <c r="R146" s="753">
        <f t="shared" si="136"/>
        <v>0</v>
      </c>
      <c r="S146" s="764">
        <f>+'WP-11 - Non-Regulated'!$N$57</f>
        <v>0.87226151155039422</v>
      </c>
      <c r="T146" s="753">
        <f t="shared" si="137"/>
        <v>0</v>
      </c>
      <c r="U146" s="753">
        <f t="shared" si="122"/>
        <v>323708.37</v>
      </c>
      <c r="V146" s="753">
        <f t="shared" si="138"/>
        <v>282358.3521177143</v>
      </c>
      <c r="W146" s="764">
        <v>1</v>
      </c>
      <c r="X146" s="753">
        <f t="shared" si="139"/>
        <v>282358.3521177143</v>
      </c>
      <c r="Y146" s="753">
        <f t="shared" si="140"/>
        <v>282358.3521177143</v>
      </c>
      <c r="Z146" s="753">
        <f t="shared" si="126"/>
        <v>0</v>
      </c>
      <c r="AA146" s="753">
        <f t="shared" si="127"/>
        <v>114.08333333333333</v>
      </c>
      <c r="AB146" s="753">
        <f t="shared" si="128"/>
        <v>123</v>
      </c>
      <c r="AC146" s="753">
        <f t="shared" si="129"/>
        <v>121.08333333333333</v>
      </c>
      <c r="AD146" s="753">
        <f t="shared" si="130"/>
        <v>122</v>
      </c>
      <c r="AE146" s="753">
        <f t="shared" si="131"/>
        <v>-8.3333333333333329E-2</v>
      </c>
      <c r="AF146" s="753">
        <f t="shared" si="132"/>
        <v>41350.017882285698</v>
      </c>
      <c r="AG146" s="753"/>
      <c r="AH146" s="753"/>
      <c r="AI146" s="753"/>
    </row>
    <row r="147" spans="1:40">
      <c r="A147" s="767"/>
      <c r="B147" s="768" t="s">
        <v>349</v>
      </c>
      <c r="C147" s="41">
        <v>2015</v>
      </c>
      <c r="D147" s="41">
        <v>115</v>
      </c>
      <c r="E147" s="41">
        <v>10</v>
      </c>
      <c r="F147" s="763">
        <v>0.19997502674000001</v>
      </c>
      <c r="G147" s="756" t="s">
        <v>153</v>
      </c>
      <c r="H147" s="41">
        <v>7</v>
      </c>
      <c r="I147" s="41">
        <f t="shared" si="116"/>
        <v>122</v>
      </c>
      <c r="L147" s="753">
        <v>63507.93</v>
      </c>
      <c r="M147" s="753">
        <v>0</v>
      </c>
      <c r="N147" s="753">
        <f t="shared" si="134"/>
        <v>50807.930000047956</v>
      </c>
      <c r="O147" s="753">
        <f t="shared" si="135"/>
        <v>604.85630952438044</v>
      </c>
      <c r="P147" s="753">
        <f t="shared" si="118"/>
        <v>5443.7067857194243</v>
      </c>
      <c r="Q147" s="753">
        <f t="shared" si="119"/>
        <v>0</v>
      </c>
      <c r="R147" s="753">
        <f t="shared" si="136"/>
        <v>5443.7067857194243</v>
      </c>
      <c r="S147" s="764">
        <f>+'WP-11 - Non-Regulated'!$N$57</f>
        <v>0.87226151155039422</v>
      </c>
      <c r="T147" s="753">
        <f t="shared" si="137"/>
        <v>4748.3359093487634</v>
      </c>
      <c r="U147" s="753">
        <f t="shared" si="122"/>
        <v>45364.223214328529</v>
      </c>
      <c r="V147" s="753">
        <f t="shared" si="138"/>
        <v>39569.465911239684</v>
      </c>
      <c r="W147" s="764">
        <v>1</v>
      </c>
      <c r="X147" s="753">
        <f t="shared" si="139"/>
        <v>39569.465911239684</v>
      </c>
      <c r="Y147" s="753">
        <f t="shared" si="140"/>
        <v>44317.801820588444</v>
      </c>
      <c r="Z147" s="753">
        <f t="shared" si="126"/>
        <v>11077.721196648185</v>
      </c>
      <c r="AA147" s="753">
        <f t="shared" si="127"/>
        <v>115.75</v>
      </c>
      <c r="AB147" s="753">
        <f t="shared" si="128"/>
        <v>123</v>
      </c>
      <c r="AC147" s="753">
        <f t="shared" si="129"/>
        <v>122.75</v>
      </c>
      <c r="AD147" s="753">
        <f t="shared" si="130"/>
        <v>122</v>
      </c>
      <c r="AE147" s="753">
        <f t="shared" si="131"/>
        <v>-8.3333333333333329E-2</v>
      </c>
      <c r="AF147" s="753">
        <f t="shared" si="132"/>
        <v>10486.574937437756</v>
      </c>
      <c r="AG147" s="753"/>
      <c r="AH147" s="753"/>
      <c r="AI147" s="753"/>
    </row>
    <row r="148" spans="1:40">
      <c r="A148" s="767"/>
      <c r="B148" s="768" t="s">
        <v>702</v>
      </c>
      <c r="C148" s="41">
        <v>2017</v>
      </c>
      <c r="D148" s="41">
        <v>117</v>
      </c>
      <c r="E148" s="41">
        <v>1</v>
      </c>
      <c r="F148" s="763">
        <f>64300/321581.4</f>
        <v>0.19994937518152478</v>
      </c>
      <c r="G148" s="756" t="s">
        <v>153</v>
      </c>
      <c r="H148" s="41">
        <v>7</v>
      </c>
      <c r="I148" s="41">
        <f t="shared" si="116"/>
        <v>124</v>
      </c>
      <c r="L148" s="775">
        <v>321581.40000000002</v>
      </c>
      <c r="M148" s="753">
        <v>0</v>
      </c>
      <c r="N148" s="753">
        <f t="shared" si="134"/>
        <v>257281.40000000002</v>
      </c>
      <c r="O148" s="753">
        <f t="shared" si="135"/>
        <v>3062.8738095238095</v>
      </c>
      <c r="P148" s="753">
        <f t="shared" si="118"/>
        <v>36754.485714285714</v>
      </c>
      <c r="Q148" s="753">
        <f t="shared" si="119"/>
        <v>0</v>
      </c>
      <c r="R148" s="753">
        <f t="shared" si="136"/>
        <v>36754.485714285714</v>
      </c>
      <c r="S148" s="764">
        <f>+'WP-11 - Non-Regulated'!$N$57</f>
        <v>0.87226151155039422</v>
      </c>
      <c r="T148" s="753">
        <f t="shared" si="137"/>
        <v>32059.523265400228</v>
      </c>
      <c r="U148" s="753">
        <f t="shared" si="122"/>
        <v>183772.42857142858</v>
      </c>
      <c r="V148" s="753">
        <f t="shared" si="138"/>
        <v>160297.61632700116</v>
      </c>
      <c r="W148" s="764">
        <v>1</v>
      </c>
      <c r="X148" s="753">
        <f t="shared" si="139"/>
        <v>160297.61632700116</v>
      </c>
      <c r="Y148" s="753">
        <f t="shared" si="140"/>
        <v>192357.13959240139</v>
      </c>
      <c r="Z148" s="753">
        <f t="shared" si="126"/>
        <v>88145.93845809059</v>
      </c>
      <c r="AA148" s="753">
        <f t="shared" si="127"/>
        <v>117</v>
      </c>
      <c r="AB148" s="753">
        <f t="shared" si="128"/>
        <v>123</v>
      </c>
      <c r="AC148" s="753">
        <f t="shared" si="129"/>
        <v>124</v>
      </c>
      <c r="AD148" s="753">
        <f t="shared" si="130"/>
        <v>122</v>
      </c>
      <c r="AE148" s="753">
        <f t="shared" si="131"/>
        <v>-8.3333333333333329E-2</v>
      </c>
      <c r="AF148" s="753">
        <f t="shared" si="132"/>
        <v>57108.083582208143</v>
      </c>
      <c r="AG148" s="753"/>
      <c r="AH148" s="753"/>
      <c r="AI148" s="753"/>
    </row>
    <row r="149" spans="1:40">
      <c r="A149" s="767"/>
      <c r="B149" s="41" t="s">
        <v>703</v>
      </c>
      <c r="C149" s="41">
        <v>2017</v>
      </c>
      <c r="D149" s="41">
        <v>117</v>
      </c>
      <c r="E149" s="41">
        <v>6</v>
      </c>
      <c r="F149" s="763">
        <v>0</v>
      </c>
      <c r="G149" s="756" t="s">
        <v>153</v>
      </c>
      <c r="H149" s="41">
        <v>5</v>
      </c>
      <c r="I149" s="41">
        <f t="shared" si="116"/>
        <v>122</v>
      </c>
      <c r="L149" s="753">
        <v>30179.16</v>
      </c>
      <c r="M149" s="753">
        <v>0</v>
      </c>
      <c r="N149" s="753">
        <f t="shared" si="134"/>
        <v>30179.16</v>
      </c>
      <c r="O149" s="753">
        <f t="shared" si="135"/>
        <v>502.98600000000005</v>
      </c>
      <c r="P149" s="753">
        <f t="shared" si="118"/>
        <v>2514.9300000000289</v>
      </c>
      <c r="Q149" s="753">
        <f t="shared" si="119"/>
        <v>0</v>
      </c>
      <c r="R149" s="753">
        <f t="shared" si="136"/>
        <v>2514.9300000000289</v>
      </c>
      <c r="S149" s="764">
        <f>+'WP-11 - Non-Regulated'!$N$57</f>
        <v>0.87226151155039422</v>
      </c>
      <c r="T149" s="753">
        <f t="shared" si="137"/>
        <v>2193.6766432434583</v>
      </c>
      <c r="U149" s="753">
        <f t="shared" si="122"/>
        <v>27664.22999999997</v>
      </c>
      <c r="V149" s="753">
        <f t="shared" si="138"/>
        <v>24130.443075677736</v>
      </c>
      <c r="W149" s="764">
        <v>1</v>
      </c>
      <c r="X149" s="753">
        <f t="shared" si="139"/>
        <v>24130.443075677736</v>
      </c>
      <c r="Y149" s="753">
        <f t="shared" si="140"/>
        <v>26324.119718921196</v>
      </c>
      <c r="Z149" s="753">
        <f t="shared" si="126"/>
        <v>0</v>
      </c>
      <c r="AA149" s="753">
        <f t="shared" si="127"/>
        <v>117.41666666666667</v>
      </c>
      <c r="AB149" s="753">
        <f t="shared" si="128"/>
        <v>123</v>
      </c>
      <c r="AC149" s="753">
        <f t="shared" si="129"/>
        <v>122.41666666666667</v>
      </c>
      <c r="AD149" s="753">
        <f t="shared" si="130"/>
        <v>122</v>
      </c>
      <c r="AE149" s="753">
        <f t="shared" si="131"/>
        <v>-8.3333333333333329E-2</v>
      </c>
      <c r="AF149" s="753">
        <f t="shared" si="132"/>
        <v>4951.8786027005335</v>
      </c>
      <c r="AG149" s="753"/>
      <c r="AH149" s="753"/>
      <c r="AI149" s="753"/>
    </row>
    <row r="150" spans="1:40">
      <c r="A150" s="767"/>
      <c r="B150" s="41" t="s">
        <v>704</v>
      </c>
      <c r="C150" s="41">
        <v>2018</v>
      </c>
      <c r="D150" s="41">
        <v>118</v>
      </c>
      <c r="E150" s="41">
        <v>5</v>
      </c>
      <c r="F150" s="763">
        <v>0</v>
      </c>
      <c r="G150" s="756" t="s">
        <v>153</v>
      </c>
      <c r="H150" s="41">
        <v>7</v>
      </c>
      <c r="I150" s="41">
        <f t="shared" si="116"/>
        <v>125</v>
      </c>
      <c r="L150" s="753">
        <v>79417.399999999994</v>
      </c>
      <c r="M150" s="753">
        <v>0</v>
      </c>
      <c r="N150" s="753">
        <f t="shared" si="134"/>
        <v>79417.399999999994</v>
      </c>
      <c r="O150" s="753">
        <f t="shared" si="135"/>
        <v>945.44523809523798</v>
      </c>
      <c r="P150" s="753">
        <f t="shared" si="118"/>
        <v>11345.342857142856</v>
      </c>
      <c r="Q150" s="753">
        <f t="shared" si="119"/>
        <v>0</v>
      </c>
      <c r="R150" s="753">
        <f t="shared" si="136"/>
        <v>11345.342857142856</v>
      </c>
      <c r="S150" s="764">
        <f>+'WP-11 - Non-Regulated'!$N$57</f>
        <v>0.87226151155039422</v>
      </c>
      <c r="T150" s="753">
        <f t="shared" si="137"/>
        <v>9896.1059096288955</v>
      </c>
      <c r="U150" s="753">
        <f t="shared" si="122"/>
        <v>41599.590476190526</v>
      </c>
      <c r="V150" s="753">
        <f t="shared" si="138"/>
        <v>36285.721668639329</v>
      </c>
      <c r="W150" s="764">
        <v>1</v>
      </c>
      <c r="X150" s="753">
        <f t="shared" si="139"/>
        <v>36285.721668639329</v>
      </c>
      <c r="Y150" s="753">
        <f t="shared" si="140"/>
        <v>46181.827578268225</v>
      </c>
      <c r="Z150" s="753">
        <f t="shared" si="126"/>
        <v>23090.913789134043</v>
      </c>
      <c r="AA150" s="753">
        <f t="shared" si="127"/>
        <v>118.33333333333333</v>
      </c>
      <c r="AB150" s="753">
        <f t="shared" si="128"/>
        <v>123</v>
      </c>
      <c r="AC150" s="753">
        <f t="shared" si="129"/>
        <v>125.33333333333333</v>
      </c>
      <c r="AD150" s="753">
        <f t="shared" si="130"/>
        <v>122</v>
      </c>
      <c r="AE150" s="753">
        <f t="shared" si="131"/>
        <v>-8.3333333333333329E-2</v>
      </c>
      <c r="AF150" s="753">
        <f t="shared" si="132"/>
        <v>15092.711587412174</v>
      </c>
      <c r="AG150" s="753"/>
      <c r="AH150" s="753"/>
      <c r="AI150" s="753"/>
    </row>
    <row r="151" spans="1:40">
      <c r="A151" s="767"/>
      <c r="B151" s="41" t="s">
        <v>705</v>
      </c>
      <c r="C151" s="41">
        <v>2020</v>
      </c>
      <c r="D151" s="41">
        <v>120</v>
      </c>
      <c r="E151" s="41">
        <v>6</v>
      </c>
      <c r="F151" s="763">
        <v>0</v>
      </c>
      <c r="G151" s="756" t="s">
        <v>153</v>
      </c>
      <c r="H151" s="41">
        <v>7</v>
      </c>
      <c r="I151" s="41">
        <f t="shared" si="116"/>
        <v>127</v>
      </c>
      <c r="L151" s="753">
        <v>348578.57</v>
      </c>
      <c r="M151" s="753">
        <v>0</v>
      </c>
      <c r="N151" s="753">
        <f t="shared" si="134"/>
        <v>348578.57</v>
      </c>
      <c r="O151" s="753">
        <f t="shared" si="135"/>
        <v>4149.7448809523812</v>
      </c>
      <c r="P151" s="753">
        <f t="shared" si="118"/>
        <v>49796.938571428575</v>
      </c>
      <c r="Q151" s="753">
        <f t="shared" si="119"/>
        <v>0</v>
      </c>
      <c r="R151" s="753">
        <f t="shared" si="136"/>
        <v>49796.938571428575</v>
      </c>
      <c r="S151" s="764">
        <f>+'WP-11 - Non-Regulated'!$N$57</f>
        <v>0.87226151155039422</v>
      </c>
      <c r="T151" s="753">
        <f t="shared" si="137"/>
        <v>43435.952908896419</v>
      </c>
      <c r="U151" s="753">
        <f t="shared" si="122"/>
        <v>78845.152738095014</v>
      </c>
      <c r="V151" s="753">
        <f t="shared" si="138"/>
        <v>68773.592105752454</v>
      </c>
      <c r="W151" s="764">
        <v>1</v>
      </c>
      <c r="X151" s="753">
        <f t="shared" si="139"/>
        <v>68773.592105752454</v>
      </c>
      <c r="Y151" s="753">
        <f t="shared" si="140"/>
        <v>112209.54501464887</v>
      </c>
      <c r="Z151" s="753">
        <f t="shared" si="126"/>
        <v>191842.12534762605</v>
      </c>
      <c r="AA151" s="753">
        <f t="shared" si="127"/>
        <v>120.41666666666667</v>
      </c>
      <c r="AB151" s="753">
        <f t="shared" si="128"/>
        <v>123</v>
      </c>
      <c r="AC151" s="753">
        <f t="shared" si="129"/>
        <v>127.41666666666667</v>
      </c>
      <c r="AD151" s="753">
        <f t="shared" si="130"/>
        <v>122</v>
      </c>
      <c r="AE151" s="753">
        <f t="shared" si="131"/>
        <v>-8.3333333333333329E-2</v>
      </c>
      <c r="AF151" s="753">
        <f t="shared" si="132"/>
        <v>66244.876092173305</v>
      </c>
      <c r="AG151" s="753"/>
      <c r="AH151" s="753"/>
      <c r="AI151" s="753"/>
    </row>
    <row r="152" spans="1:40">
      <c r="A152" s="767"/>
      <c r="B152" s="41" t="s">
        <v>706</v>
      </c>
      <c r="C152" s="41">
        <v>2022</v>
      </c>
      <c r="D152" s="41">
        <v>122</v>
      </c>
      <c r="E152" s="41">
        <v>12</v>
      </c>
      <c r="F152" s="763">
        <v>0</v>
      </c>
      <c r="G152" s="756" t="s">
        <v>153</v>
      </c>
      <c r="H152" s="41">
        <v>7</v>
      </c>
      <c r="I152" s="41">
        <f t="shared" si="116"/>
        <v>129</v>
      </c>
      <c r="L152" s="753">
        <v>17184.21</v>
      </c>
      <c r="M152" s="753">
        <v>0</v>
      </c>
      <c r="N152" s="753">
        <f t="shared" si="134"/>
        <v>17184.21</v>
      </c>
      <c r="O152" s="753">
        <f t="shared" si="135"/>
        <v>204.57392857142858</v>
      </c>
      <c r="P152" s="753">
        <f t="shared" si="118"/>
        <v>204.57392857141696</v>
      </c>
      <c r="Q152" s="753">
        <f t="shared" si="119"/>
        <v>0</v>
      </c>
      <c r="R152" s="753">
        <f t="shared" si="136"/>
        <v>204.57392857141696</v>
      </c>
      <c r="S152" s="764">
        <f>+'WP-11 - Non-Regulated'!$N$57</f>
        <v>0.87226151155039422</v>
      </c>
      <c r="T152" s="753">
        <f t="shared" si="137"/>
        <v>178.44196415950654</v>
      </c>
      <c r="U152" s="753">
        <f t="shared" si="122"/>
        <v>0</v>
      </c>
      <c r="V152" s="753">
        <f t="shared" si="138"/>
        <v>0</v>
      </c>
      <c r="W152" s="764">
        <v>1</v>
      </c>
      <c r="X152" s="753">
        <f t="shared" si="139"/>
        <v>0</v>
      </c>
      <c r="Y152" s="753">
        <f t="shared" si="140"/>
        <v>178.44196415950654</v>
      </c>
      <c r="Z152" s="766">
        <f t="shared" si="126"/>
        <v>14810.683025239892</v>
      </c>
      <c r="AA152" s="753">
        <f t="shared" si="127"/>
        <v>122.91666666666667</v>
      </c>
      <c r="AB152" s="753">
        <f t="shared" si="128"/>
        <v>123</v>
      </c>
      <c r="AC152" s="753">
        <f t="shared" si="129"/>
        <v>129.91666666666666</v>
      </c>
      <c r="AD152" s="753">
        <f t="shared" si="130"/>
        <v>122</v>
      </c>
      <c r="AE152" s="753">
        <f t="shared" si="131"/>
        <v>-8.3333333333333329E-2</v>
      </c>
      <c r="AF152" s="753">
        <f t="shared" si="132"/>
        <v>2284.3059926803526</v>
      </c>
      <c r="AG152" s="753"/>
      <c r="AH152" s="753"/>
      <c r="AI152" s="753"/>
    </row>
    <row r="153" spans="1:40">
      <c r="B153" s="221" t="s">
        <v>388</v>
      </c>
      <c r="L153" s="223">
        <f>SUM(L134:L152)</f>
        <v>2003524.4300000002</v>
      </c>
      <c r="M153" s="753"/>
      <c r="N153" s="223">
        <f>SUM(N134:N152)</f>
        <v>1926524.4300000481</v>
      </c>
      <c r="O153" s="223">
        <f>SUM(O134:O152)</f>
        <v>23836.281936508512</v>
      </c>
      <c r="P153" s="223">
        <f>SUM(P134:P152)</f>
        <v>106059.97785714803</v>
      </c>
      <c r="Q153" s="223">
        <f>SUM(Q134:Q152)</f>
        <v>0</v>
      </c>
      <c r="R153" s="223">
        <f>SUM(R134:R152)</f>
        <v>106059.97785714803</v>
      </c>
      <c r="S153" s="753"/>
      <c r="T153" s="223">
        <f>SUM(T134:T152)</f>
        <v>92512.036600677267</v>
      </c>
      <c r="U153" s="223">
        <f>SUM(U134:U152)</f>
        <v>1520321.3850000429</v>
      </c>
      <c r="V153" s="223">
        <f>SUM(V134:V152)</f>
        <v>1307171.6463729029</v>
      </c>
      <c r="W153" s="753"/>
      <c r="X153" s="223">
        <f>SUM(X134:X152)</f>
        <v>1307171.6463729029</v>
      </c>
      <c r="Y153" s="223">
        <f>SUM(Y134:Y152)</f>
        <v>1399683.68297358</v>
      </c>
      <c r="Z153" s="223">
        <f>SUM(Z134:Z152)</f>
        <v>328967.38181673881</v>
      </c>
      <c r="AA153" s="753"/>
      <c r="AB153" s="753"/>
      <c r="AC153" s="753"/>
      <c r="AD153" s="753"/>
      <c r="AE153" s="753"/>
      <c r="AF153" s="772">
        <f>SUM(AF134:AF152)</f>
        <v>321129.38351001992</v>
      </c>
      <c r="AG153" s="753"/>
      <c r="AH153" s="753"/>
      <c r="AI153" s="753"/>
    </row>
    <row r="154" spans="1:40" ht="18" customHeight="1">
      <c r="B154" s="55"/>
      <c r="L154" s="753"/>
      <c r="M154" s="753"/>
      <c r="N154" s="753"/>
      <c r="O154" s="753"/>
      <c r="P154" s="753"/>
      <c r="Q154" s="753"/>
      <c r="R154" s="753"/>
      <c r="S154" s="765"/>
      <c r="T154" s="753"/>
      <c r="U154" s="753"/>
      <c r="V154" s="753"/>
      <c r="W154" s="764"/>
      <c r="X154" s="753"/>
      <c r="Y154" s="753"/>
      <c r="Z154" s="753"/>
      <c r="AA154" s="753"/>
      <c r="AB154" s="753"/>
      <c r="AC154" s="753"/>
      <c r="AD154" s="753"/>
      <c r="AE154" s="753"/>
      <c r="AF154" s="753"/>
      <c r="AG154" s="753"/>
      <c r="AH154" s="753"/>
      <c r="AI154" s="753"/>
      <c r="AJ154" s="765"/>
      <c r="AK154" s="765"/>
      <c r="AL154" s="765"/>
      <c r="AM154" s="765"/>
      <c r="AN154" s="765"/>
    </row>
    <row r="155" spans="1:40" ht="16.5" customHeight="1">
      <c r="B155" s="55" t="s">
        <v>763</v>
      </c>
      <c r="L155" s="753"/>
      <c r="M155" s="753"/>
      <c r="N155" s="753"/>
      <c r="O155" s="753"/>
      <c r="P155" s="753"/>
      <c r="Q155" s="753"/>
      <c r="R155" s="753"/>
      <c r="T155" s="753"/>
      <c r="U155" s="753"/>
      <c r="V155" s="753"/>
      <c r="X155" s="753"/>
      <c r="Y155" s="753"/>
      <c r="Z155" s="753"/>
      <c r="AA155" s="753"/>
      <c r="AB155" s="753"/>
      <c r="AC155" s="753"/>
      <c r="AD155" s="753"/>
      <c r="AE155" s="753"/>
      <c r="AF155" s="753"/>
      <c r="AG155" s="753"/>
      <c r="AH155" s="753"/>
      <c r="AI155" s="753"/>
    </row>
    <row r="156" spans="1:40">
      <c r="B156" s="41" t="s">
        <v>338</v>
      </c>
      <c r="C156" s="41">
        <v>1999</v>
      </c>
      <c r="D156" s="41">
        <v>99</v>
      </c>
      <c r="E156" s="41">
        <v>5</v>
      </c>
      <c r="F156" s="763">
        <v>0</v>
      </c>
      <c r="G156" s="756" t="s">
        <v>153</v>
      </c>
      <c r="H156" s="41">
        <v>7</v>
      </c>
      <c r="I156" s="41">
        <f t="shared" ref="I156:I165" si="141">D156+H156</f>
        <v>106</v>
      </c>
      <c r="L156" s="753">
        <v>3471.4</v>
      </c>
      <c r="M156" s="753">
        <v>0</v>
      </c>
      <c r="N156" s="753">
        <f t="shared" ref="N156:N165" si="142">L156-(+L156*F156)</f>
        <v>3471.4</v>
      </c>
      <c r="O156" s="753">
        <f t="shared" ref="O156:O165" si="143">N156/H156/12</f>
        <v>41.326190476190476</v>
      </c>
      <c r="P156" s="753">
        <f t="shared" ref="P156:P165" si="144">IF(Q156&gt;0,0,IF(OR(AA156&gt;AB156,AC156&lt;AD156),0,IF(AND(AC156&gt;=AD156,AC156&lt;=AB156),O156*((AC156-AD156)*12),IF(AND(AD156&lt;=AA156,AB156&gt;=AA156),((AB156-AA156)*12)*O156,IF(AC156&gt;AB156,12*O156,0)))))</f>
        <v>0</v>
      </c>
      <c r="Q156" s="753">
        <f t="shared" ref="Q156:Q165" si="145">IF(M156=0,0,IF(AND(AE156&gt;=AD156,AE156&lt;=AC156),((AE156-AD156)*12)*O156,0))</f>
        <v>0</v>
      </c>
      <c r="R156" s="753">
        <f t="shared" ref="R156:R162" si="146">IF(Q156&gt;0,Q156,P156)</f>
        <v>0</v>
      </c>
      <c r="S156" s="764">
        <f>+'WP-10 - Disposal'!$P$46</f>
        <v>0.86738983940594916</v>
      </c>
      <c r="T156" s="753">
        <f t="shared" ref="T156:T165" si="147">S156*SUM(P156:Q156)</f>
        <v>0</v>
      </c>
      <c r="U156" s="753">
        <f t="shared" ref="U156:U165" si="148">IF(AA156&gt;AB156,0,IF(AC156&lt;AD156,L156,IF(AND(AC156&gt;=AD156,AC156&lt;=AB156),(L156-R156),IF(AND(AD156&lt;=AA156,AB156&gt;=AA156),0,IF(AC156&gt;AB156,((AD156-AA156)*12)*O156,0)))))</f>
        <v>3471.4</v>
      </c>
      <c r="V156" s="753">
        <f t="shared" ref="V156:V162" si="149">U156*S156</f>
        <v>3011.0570885138118</v>
      </c>
      <c r="W156" s="764">
        <v>1</v>
      </c>
      <c r="X156" s="753">
        <f t="shared" ref="X156:X162" si="150">V156*W156</f>
        <v>3011.0570885138118</v>
      </c>
      <c r="Y156" s="753">
        <f t="shared" ref="Y156:Y162" si="151">IF(M156&gt;0,0,X156+T156*W156)*W156</f>
        <v>3011.0570885138118</v>
      </c>
      <c r="Z156" s="753">
        <f t="shared" ref="Z156:Z162" si="152">IF(M156&gt;0,(L156-X156)/2,IF(AA156&gt;=AD156,(((L156*S156)*W156)-Y156)/2,(+(((L156*S156)*W156)-Y156))))</f>
        <v>0</v>
      </c>
      <c r="AA156" s="753">
        <f t="shared" ref="AA156:AA165" si="153">$D156+(($E156-1)/12)</f>
        <v>99.333333333333329</v>
      </c>
      <c r="AB156" s="753">
        <f t="shared" ref="AB156:AB165" si="154">($B$10+1)-($B$7/12)</f>
        <v>123</v>
      </c>
      <c r="AC156" s="753">
        <f t="shared" ref="AC156:AC165" si="155">$I156+(($E156-1)/12)</f>
        <v>106.33333333333333</v>
      </c>
      <c r="AD156" s="753">
        <f t="shared" ref="AD156:AD165" si="156">$B$9+($B$8/12)</f>
        <v>122</v>
      </c>
      <c r="AE156" s="753">
        <f t="shared" ref="AE156:AE165" si="157">$J156+(($K156-1)/12)</f>
        <v>-8.3333333333333329E-2</v>
      </c>
      <c r="AF156" s="753">
        <f t="shared" ref="AF156:AF165" si="158">L156-((X156+Y156)/2)-Z156</f>
        <v>460.34291148618831</v>
      </c>
      <c r="AG156" s="753"/>
      <c r="AH156" s="753"/>
      <c r="AI156" s="753"/>
    </row>
    <row r="157" spans="1:40">
      <c r="B157" s="41" t="s">
        <v>339</v>
      </c>
      <c r="C157" s="41">
        <v>2008</v>
      </c>
      <c r="D157" s="41">
        <v>108</v>
      </c>
      <c r="E157" s="41">
        <v>10</v>
      </c>
      <c r="F157" s="763">
        <v>0</v>
      </c>
      <c r="G157" s="756" t="s">
        <v>153</v>
      </c>
      <c r="H157" s="41">
        <v>5</v>
      </c>
      <c r="I157" s="41">
        <f t="shared" si="141"/>
        <v>113</v>
      </c>
      <c r="L157" s="753">
        <v>7612.5</v>
      </c>
      <c r="M157" s="753">
        <v>0</v>
      </c>
      <c r="N157" s="753">
        <f t="shared" si="142"/>
        <v>7612.5</v>
      </c>
      <c r="O157" s="753">
        <f t="shared" si="143"/>
        <v>126.875</v>
      </c>
      <c r="P157" s="753">
        <f t="shared" si="144"/>
        <v>0</v>
      </c>
      <c r="Q157" s="753">
        <f t="shared" si="145"/>
        <v>0</v>
      </c>
      <c r="R157" s="753">
        <f t="shared" si="146"/>
        <v>0</v>
      </c>
      <c r="S157" s="764">
        <f>+'WP-10 - Disposal'!$P$46</f>
        <v>0.86738983940594916</v>
      </c>
      <c r="T157" s="753">
        <f t="shared" si="147"/>
        <v>0</v>
      </c>
      <c r="U157" s="753">
        <f t="shared" si="148"/>
        <v>7612.5</v>
      </c>
      <c r="V157" s="753">
        <f t="shared" si="149"/>
        <v>6603.0051524777882</v>
      </c>
      <c r="W157" s="764">
        <v>1</v>
      </c>
      <c r="X157" s="753">
        <f t="shared" si="150"/>
        <v>6603.0051524777882</v>
      </c>
      <c r="Y157" s="753">
        <f t="shared" si="151"/>
        <v>6603.0051524777882</v>
      </c>
      <c r="Z157" s="753">
        <f t="shared" si="152"/>
        <v>0</v>
      </c>
      <c r="AA157" s="753">
        <f t="shared" si="153"/>
        <v>108.75</v>
      </c>
      <c r="AB157" s="753">
        <f t="shared" si="154"/>
        <v>123</v>
      </c>
      <c r="AC157" s="753">
        <f t="shared" si="155"/>
        <v>113.75</v>
      </c>
      <c r="AD157" s="753">
        <f t="shared" si="156"/>
        <v>122</v>
      </c>
      <c r="AE157" s="753">
        <f t="shared" si="157"/>
        <v>-8.3333333333333329E-2</v>
      </c>
      <c r="AF157" s="753">
        <f t="shared" si="158"/>
        <v>1009.4948475222118</v>
      </c>
      <c r="AG157" s="753"/>
      <c r="AH157" s="753"/>
      <c r="AI157" s="753"/>
    </row>
    <row r="158" spans="1:40">
      <c r="B158" s="41" t="s">
        <v>340</v>
      </c>
      <c r="C158" s="41">
        <v>2008</v>
      </c>
      <c r="D158" s="41">
        <v>108</v>
      </c>
      <c r="E158" s="41">
        <v>12</v>
      </c>
      <c r="F158" s="763">
        <v>0</v>
      </c>
      <c r="G158" s="756" t="s">
        <v>153</v>
      </c>
      <c r="H158" s="41">
        <v>5</v>
      </c>
      <c r="I158" s="41">
        <f t="shared" si="141"/>
        <v>113</v>
      </c>
      <c r="L158" s="753">
        <v>12220.81</v>
      </c>
      <c r="M158" s="753">
        <v>0</v>
      </c>
      <c r="N158" s="753">
        <f t="shared" si="142"/>
        <v>12220.81</v>
      </c>
      <c r="O158" s="753">
        <f t="shared" si="143"/>
        <v>203.68016666666665</v>
      </c>
      <c r="P158" s="753">
        <f t="shared" si="144"/>
        <v>0</v>
      </c>
      <c r="Q158" s="753">
        <f t="shared" si="145"/>
        <v>0</v>
      </c>
      <c r="R158" s="753">
        <f t="shared" si="146"/>
        <v>0</v>
      </c>
      <c r="S158" s="764">
        <f>+'WP-10 - Disposal'!$P$46</f>
        <v>0.86738983940594916</v>
      </c>
      <c r="T158" s="753">
        <f t="shared" si="147"/>
        <v>0</v>
      </c>
      <c r="U158" s="753">
        <f t="shared" si="148"/>
        <v>12220.81</v>
      </c>
      <c r="V158" s="753">
        <f t="shared" si="149"/>
        <v>10600.206423310618</v>
      </c>
      <c r="W158" s="764">
        <v>1</v>
      </c>
      <c r="X158" s="753">
        <f t="shared" si="150"/>
        <v>10600.206423310618</v>
      </c>
      <c r="Y158" s="753">
        <f t="shared" si="151"/>
        <v>10600.206423310618</v>
      </c>
      <c r="Z158" s="753">
        <f t="shared" si="152"/>
        <v>0</v>
      </c>
      <c r="AA158" s="753">
        <f t="shared" si="153"/>
        <v>108.91666666666667</v>
      </c>
      <c r="AB158" s="753">
        <f t="shared" si="154"/>
        <v>123</v>
      </c>
      <c r="AC158" s="753">
        <f t="shared" si="155"/>
        <v>113.91666666666667</v>
      </c>
      <c r="AD158" s="753">
        <f t="shared" si="156"/>
        <v>122</v>
      </c>
      <c r="AE158" s="753">
        <f t="shared" si="157"/>
        <v>-8.3333333333333329E-2</v>
      </c>
      <c r="AF158" s="753">
        <f t="shared" si="158"/>
        <v>1620.603576689382</v>
      </c>
      <c r="AG158" s="753"/>
      <c r="AH158" s="753"/>
      <c r="AI158" s="753"/>
    </row>
    <row r="159" spans="1:40">
      <c r="B159" s="41" t="s">
        <v>341</v>
      </c>
      <c r="C159" s="41">
        <v>2009</v>
      </c>
      <c r="D159" s="41">
        <v>109</v>
      </c>
      <c r="E159" s="41">
        <v>9</v>
      </c>
      <c r="F159" s="763">
        <v>0</v>
      </c>
      <c r="G159" s="756" t="s">
        <v>153</v>
      </c>
      <c r="H159" s="41">
        <v>5</v>
      </c>
      <c r="I159" s="41">
        <f t="shared" si="141"/>
        <v>114</v>
      </c>
      <c r="L159" s="753">
        <v>40893.019999999997</v>
      </c>
      <c r="M159" s="753">
        <v>0</v>
      </c>
      <c r="N159" s="753">
        <f t="shared" si="142"/>
        <v>40893.019999999997</v>
      </c>
      <c r="O159" s="753">
        <f t="shared" si="143"/>
        <v>681.55033333333324</v>
      </c>
      <c r="P159" s="753">
        <f t="shared" si="144"/>
        <v>0</v>
      </c>
      <c r="Q159" s="753">
        <f t="shared" si="145"/>
        <v>0</v>
      </c>
      <c r="R159" s="753">
        <f t="shared" si="146"/>
        <v>0</v>
      </c>
      <c r="S159" s="764">
        <f>+'WP-10 - Disposal'!$P$46</f>
        <v>0.86738983940594916</v>
      </c>
      <c r="T159" s="753">
        <f t="shared" si="147"/>
        <v>0</v>
      </c>
      <c r="U159" s="753">
        <f t="shared" si="148"/>
        <v>40893.019999999997</v>
      </c>
      <c r="V159" s="753">
        <f t="shared" si="149"/>
        <v>35470.190050624267</v>
      </c>
      <c r="W159" s="764">
        <v>1</v>
      </c>
      <c r="X159" s="753">
        <f t="shared" si="150"/>
        <v>35470.190050624267</v>
      </c>
      <c r="Y159" s="753">
        <f t="shared" si="151"/>
        <v>35470.190050624267</v>
      </c>
      <c r="Z159" s="753">
        <f t="shared" si="152"/>
        <v>0</v>
      </c>
      <c r="AA159" s="753">
        <f t="shared" si="153"/>
        <v>109.66666666666667</v>
      </c>
      <c r="AB159" s="753">
        <f t="shared" si="154"/>
        <v>123</v>
      </c>
      <c r="AC159" s="753">
        <f t="shared" si="155"/>
        <v>114.66666666666667</v>
      </c>
      <c r="AD159" s="753">
        <f t="shared" si="156"/>
        <v>122</v>
      </c>
      <c r="AE159" s="753">
        <f t="shared" si="157"/>
        <v>-8.3333333333333329E-2</v>
      </c>
      <c r="AF159" s="753">
        <f t="shared" si="158"/>
        <v>5422.8299493757295</v>
      </c>
      <c r="AG159" s="753"/>
      <c r="AH159" s="753"/>
      <c r="AI159" s="753"/>
    </row>
    <row r="160" spans="1:40">
      <c r="B160" s="41" t="s">
        <v>342</v>
      </c>
      <c r="C160" s="41">
        <v>2014</v>
      </c>
      <c r="D160" s="41">
        <v>114</v>
      </c>
      <c r="E160" s="41">
        <v>1</v>
      </c>
      <c r="F160" s="763">
        <v>0</v>
      </c>
      <c r="G160" s="756" t="s">
        <v>153</v>
      </c>
      <c r="H160" s="41">
        <v>5</v>
      </c>
      <c r="I160" s="41">
        <f t="shared" si="141"/>
        <v>119</v>
      </c>
      <c r="L160" s="753">
        <v>7610.99</v>
      </c>
      <c r="M160" s="753">
        <v>0</v>
      </c>
      <c r="N160" s="753">
        <f t="shared" si="142"/>
        <v>7610.99</v>
      </c>
      <c r="O160" s="753">
        <f t="shared" si="143"/>
        <v>126.84983333333332</v>
      </c>
      <c r="P160" s="753">
        <f t="shared" si="144"/>
        <v>0</v>
      </c>
      <c r="Q160" s="753">
        <f t="shared" si="145"/>
        <v>0</v>
      </c>
      <c r="R160" s="753">
        <f t="shared" si="146"/>
        <v>0</v>
      </c>
      <c r="S160" s="764">
        <f>+'WP-10 - Disposal'!$P$46</f>
        <v>0.86738983940594916</v>
      </c>
      <c r="T160" s="753">
        <f t="shared" si="147"/>
        <v>0</v>
      </c>
      <c r="U160" s="753">
        <f t="shared" si="148"/>
        <v>7610.99</v>
      </c>
      <c r="V160" s="753">
        <f t="shared" si="149"/>
        <v>6601.6953938202851</v>
      </c>
      <c r="W160" s="764">
        <v>1</v>
      </c>
      <c r="X160" s="753">
        <f t="shared" si="150"/>
        <v>6601.6953938202851</v>
      </c>
      <c r="Y160" s="753">
        <f t="shared" si="151"/>
        <v>6601.6953938202851</v>
      </c>
      <c r="Z160" s="753">
        <f t="shared" si="152"/>
        <v>0</v>
      </c>
      <c r="AA160" s="753">
        <f t="shared" si="153"/>
        <v>114</v>
      </c>
      <c r="AB160" s="753">
        <f t="shared" si="154"/>
        <v>123</v>
      </c>
      <c r="AC160" s="753">
        <f t="shared" si="155"/>
        <v>119</v>
      </c>
      <c r="AD160" s="753">
        <f t="shared" si="156"/>
        <v>122</v>
      </c>
      <c r="AE160" s="753">
        <f t="shared" si="157"/>
        <v>-8.3333333333333329E-2</v>
      </c>
      <c r="AF160" s="753">
        <f t="shared" si="158"/>
        <v>1009.2946061797147</v>
      </c>
      <c r="AG160" s="753"/>
      <c r="AH160" s="753"/>
      <c r="AI160" s="753"/>
    </row>
    <row r="161" spans="2:37">
      <c r="B161" s="41" t="s">
        <v>343</v>
      </c>
      <c r="C161" s="41">
        <v>2014</v>
      </c>
      <c r="D161" s="41">
        <v>114</v>
      </c>
      <c r="E161" s="41">
        <v>1</v>
      </c>
      <c r="F161" s="763">
        <v>0</v>
      </c>
      <c r="G161" s="756" t="s">
        <v>153</v>
      </c>
      <c r="H161" s="41">
        <v>7</v>
      </c>
      <c r="I161" s="41">
        <f t="shared" si="141"/>
        <v>121</v>
      </c>
      <c r="L161" s="753">
        <v>11133.86</v>
      </c>
      <c r="M161" s="753">
        <v>0</v>
      </c>
      <c r="N161" s="753">
        <f t="shared" si="142"/>
        <v>11133.86</v>
      </c>
      <c r="O161" s="753">
        <f t="shared" si="143"/>
        <v>132.5459523809524</v>
      </c>
      <c r="P161" s="753">
        <f t="shared" si="144"/>
        <v>0</v>
      </c>
      <c r="Q161" s="753">
        <f t="shared" si="145"/>
        <v>0</v>
      </c>
      <c r="R161" s="753">
        <f t="shared" si="146"/>
        <v>0</v>
      </c>
      <c r="S161" s="764">
        <f>+'WP-10 - Disposal'!$P$46</f>
        <v>0.86738983940594916</v>
      </c>
      <c r="T161" s="753">
        <f t="shared" si="147"/>
        <v>0</v>
      </c>
      <c r="U161" s="753">
        <f t="shared" si="148"/>
        <v>11133.86</v>
      </c>
      <c r="V161" s="753">
        <f t="shared" si="149"/>
        <v>9657.3970373683223</v>
      </c>
      <c r="W161" s="764">
        <v>1</v>
      </c>
      <c r="X161" s="753">
        <f t="shared" si="150"/>
        <v>9657.3970373683223</v>
      </c>
      <c r="Y161" s="753">
        <f t="shared" si="151"/>
        <v>9657.3970373683223</v>
      </c>
      <c r="Z161" s="753">
        <f t="shared" si="152"/>
        <v>0</v>
      </c>
      <c r="AA161" s="753">
        <f t="shared" si="153"/>
        <v>114</v>
      </c>
      <c r="AB161" s="753">
        <f t="shared" si="154"/>
        <v>123</v>
      </c>
      <c r="AC161" s="753">
        <f t="shared" si="155"/>
        <v>121</v>
      </c>
      <c r="AD161" s="753">
        <f t="shared" si="156"/>
        <v>122</v>
      </c>
      <c r="AE161" s="753">
        <f t="shared" si="157"/>
        <v>-8.3333333333333329E-2</v>
      </c>
      <c r="AF161" s="753">
        <f t="shared" si="158"/>
        <v>1476.4629626316782</v>
      </c>
      <c r="AG161" s="753"/>
      <c r="AH161" s="753"/>
      <c r="AI161" s="753"/>
    </row>
    <row r="162" spans="2:37">
      <c r="B162" s="41" t="s">
        <v>344</v>
      </c>
      <c r="C162" s="41">
        <v>2015</v>
      </c>
      <c r="D162" s="41">
        <v>115</v>
      </c>
      <c r="E162" s="41">
        <v>9</v>
      </c>
      <c r="F162" s="763">
        <v>0</v>
      </c>
      <c r="G162" s="756" t="s">
        <v>153</v>
      </c>
      <c r="H162" s="41">
        <v>7</v>
      </c>
      <c r="I162" s="41">
        <f t="shared" si="141"/>
        <v>122</v>
      </c>
      <c r="L162" s="753">
        <v>711.44</v>
      </c>
      <c r="M162" s="753">
        <v>0</v>
      </c>
      <c r="N162" s="753">
        <f t="shared" si="142"/>
        <v>711.44</v>
      </c>
      <c r="O162" s="753">
        <f t="shared" si="143"/>
        <v>8.4695238095238103</v>
      </c>
      <c r="P162" s="753">
        <f t="shared" si="144"/>
        <v>67.756190476190966</v>
      </c>
      <c r="Q162" s="753">
        <f t="shared" si="145"/>
        <v>0</v>
      </c>
      <c r="R162" s="753">
        <f t="shared" si="146"/>
        <v>67.756190476190966</v>
      </c>
      <c r="S162" s="764">
        <f>+'WP-10 - Disposal'!$P$46</f>
        <v>0.86738983940594916</v>
      </c>
      <c r="T162" s="753">
        <f t="shared" si="147"/>
        <v>58.771031175902181</v>
      </c>
      <c r="U162" s="753">
        <f t="shared" si="148"/>
        <v>643.68380952380903</v>
      </c>
      <c r="V162" s="753">
        <f t="shared" si="149"/>
        <v>558.32479617106628</v>
      </c>
      <c r="W162" s="764">
        <v>1</v>
      </c>
      <c r="X162" s="753">
        <f t="shared" si="150"/>
        <v>558.32479617106628</v>
      </c>
      <c r="Y162" s="753">
        <f t="shared" si="151"/>
        <v>617.09582734696846</v>
      </c>
      <c r="Z162" s="753">
        <f t="shared" si="152"/>
        <v>0</v>
      </c>
      <c r="AA162" s="753">
        <f t="shared" si="153"/>
        <v>115.66666666666667</v>
      </c>
      <c r="AB162" s="753">
        <f t="shared" si="154"/>
        <v>123</v>
      </c>
      <c r="AC162" s="753">
        <f t="shared" si="155"/>
        <v>122.66666666666667</v>
      </c>
      <c r="AD162" s="753">
        <f t="shared" si="156"/>
        <v>122</v>
      </c>
      <c r="AE162" s="753">
        <f t="shared" si="157"/>
        <v>-8.3333333333333329E-2</v>
      </c>
      <c r="AF162" s="753">
        <f t="shared" si="158"/>
        <v>123.72968824098268</v>
      </c>
      <c r="AG162" s="753"/>
      <c r="AH162" s="753"/>
      <c r="AI162" s="753"/>
    </row>
    <row r="163" spans="2:37">
      <c r="B163" s="41" t="s">
        <v>699</v>
      </c>
      <c r="C163" s="41">
        <v>2019</v>
      </c>
      <c r="D163" s="41">
        <v>119</v>
      </c>
      <c r="E163" s="41">
        <v>12</v>
      </c>
      <c r="F163" s="763">
        <v>0</v>
      </c>
      <c r="G163" s="756" t="s">
        <v>153</v>
      </c>
      <c r="H163" s="41">
        <v>7</v>
      </c>
      <c r="I163" s="41">
        <f t="shared" si="141"/>
        <v>126</v>
      </c>
      <c r="L163" s="753">
        <v>11826.49</v>
      </c>
      <c r="M163" s="753">
        <v>0</v>
      </c>
      <c r="N163" s="753">
        <f t="shared" si="142"/>
        <v>11826.49</v>
      </c>
      <c r="O163" s="753">
        <f t="shared" si="143"/>
        <v>140.79154761904763</v>
      </c>
      <c r="P163" s="753">
        <f t="shared" si="144"/>
        <v>1689.4985714285717</v>
      </c>
      <c r="Q163" s="753">
        <f t="shared" si="145"/>
        <v>0</v>
      </c>
      <c r="R163" s="753">
        <f>IF(Q163&gt;0,Q163,P163)</f>
        <v>1689.4985714285717</v>
      </c>
      <c r="S163" s="764">
        <f>+'WP-10 - Disposal'!$P$46</f>
        <v>0.86738983940594916</v>
      </c>
      <c r="T163" s="753">
        <f t="shared" si="147"/>
        <v>1465.4538945480094</v>
      </c>
      <c r="U163" s="753">
        <f t="shared" si="148"/>
        <v>3519.7886904761826</v>
      </c>
      <c r="V163" s="753">
        <f>U163*S163</f>
        <v>3053.0289469750123</v>
      </c>
      <c r="W163" s="764">
        <v>1</v>
      </c>
      <c r="X163" s="753">
        <f>V163*W163</f>
        <v>3053.0289469750123</v>
      </c>
      <c r="Y163" s="753">
        <f>IF(M163&gt;0,0,X163+T163*W163)*W163</f>
        <v>4518.4828415230222</v>
      </c>
      <c r="Z163" s="753">
        <f>IF(M163&gt;0,(L163-X163)/2,IF(AA163&gt;=AD163,(((L163*S163)*W163)-Y163),(+(((L163*S163)*W163)-Y163))))</f>
        <v>5739.6944203130406</v>
      </c>
      <c r="AA163" s="753">
        <f t="shared" si="153"/>
        <v>119.91666666666667</v>
      </c>
      <c r="AB163" s="753">
        <f t="shared" si="154"/>
        <v>123</v>
      </c>
      <c r="AC163" s="753">
        <f t="shared" si="155"/>
        <v>126.91666666666667</v>
      </c>
      <c r="AD163" s="753">
        <f t="shared" si="156"/>
        <v>122</v>
      </c>
      <c r="AE163" s="753">
        <f t="shared" si="157"/>
        <v>-8.3333333333333329E-2</v>
      </c>
      <c r="AF163" s="753">
        <f t="shared" si="158"/>
        <v>2301.0396854379414</v>
      </c>
      <c r="AG163" s="753"/>
      <c r="AH163" s="753"/>
      <c r="AI163" s="753"/>
    </row>
    <row r="164" spans="2:37">
      <c r="B164" s="41" t="s">
        <v>700</v>
      </c>
      <c r="C164" s="41">
        <v>2020</v>
      </c>
      <c r="D164" s="41">
        <v>120</v>
      </c>
      <c r="E164" s="41">
        <v>4</v>
      </c>
      <c r="F164" s="763">
        <v>0</v>
      </c>
      <c r="G164" s="756" t="s">
        <v>153</v>
      </c>
      <c r="H164" s="41">
        <v>7</v>
      </c>
      <c r="I164" s="41">
        <f t="shared" si="141"/>
        <v>127</v>
      </c>
      <c r="L164" s="753">
        <v>7405.44</v>
      </c>
      <c r="M164" s="753">
        <v>0</v>
      </c>
      <c r="N164" s="753">
        <f t="shared" si="142"/>
        <v>7405.44</v>
      </c>
      <c r="O164" s="753">
        <f t="shared" si="143"/>
        <v>88.159999999999982</v>
      </c>
      <c r="P164" s="753">
        <f t="shared" si="144"/>
        <v>1057.9199999999998</v>
      </c>
      <c r="Q164" s="753">
        <f t="shared" si="145"/>
        <v>0</v>
      </c>
      <c r="R164" s="753">
        <f>IF(Q164&gt;0,Q164,P164)</f>
        <v>1057.9199999999998</v>
      </c>
      <c r="S164" s="764">
        <f>+'WP-10 - Disposal'!$P$46</f>
        <v>0.86738983940594916</v>
      </c>
      <c r="T164" s="753">
        <f t="shared" si="147"/>
        <v>917.6290589043416</v>
      </c>
      <c r="U164" s="753">
        <f t="shared" si="148"/>
        <v>1851.3599999999997</v>
      </c>
      <c r="V164" s="753">
        <f>U164*S164</f>
        <v>1605.8508530825977</v>
      </c>
      <c r="W164" s="764">
        <v>1</v>
      </c>
      <c r="X164" s="753">
        <f>V164*W164</f>
        <v>1605.8508530825977</v>
      </c>
      <c r="Y164" s="753">
        <f>IF(M164&gt;0,0,X164+T164*W164)*W164</f>
        <v>2523.4799119869394</v>
      </c>
      <c r="Z164" s="753">
        <f>IF(M164&gt;0,(L164-X164)/2,IF(AA164&gt;=AD164,(((L164*S164)*W164)-Y164),(+(((L164*S164)*W164)-Y164))))</f>
        <v>3899.9235003434524</v>
      </c>
      <c r="AA164" s="753">
        <f t="shared" si="153"/>
        <v>120.25</v>
      </c>
      <c r="AB164" s="753">
        <f t="shared" si="154"/>
        <v>123</v>
      </c>
      <c r="AC164" s="753">
        <f t="shared" si="155"/>
        <v>127.25</v>
      </c>
      <c r="AD164" s="753">
        <f t="shared" si="156"/>
        <v>122</v>
      </c>
      <c r="AE164" s="753">
        <f t="shared" si="157"/>
        <v>-8.3333333333333329E-2</v>
      </c>
      <c r="AF164" s="753">
        <f t="shared" si="158"/>
        <v>1440.8511171217788</v>
      </c>
      <c r="AG164" s="753"/>
      <c r="AH164" s="753"/>
      <c r="AI164" s="753"/>
    </row>
    <row r="165" spans="2:37">
      <c r="B165" s="41" t="s">
        <v>701</v>
      </c>
      <c r="C165" s="41">
        <v>2022</v>
      </c>
      <c r="D165" s="41">
        <v>122</v>
      </c>
      <c r="E165" s="41">
        <v>4</v>
      </c>
      <c r="F165" s="763">
        <v>0</v>
      </c>
      <c r="G165" s="756" t="s">
        <v>153</v>
      </c>
      <c r="H165" s="41">
        <v>10</v>
      </c>
      <c r="I165" s="41">
        <f t="shared" si="141"/>
        <v>132</v>
      </c>
      <c r="L165" s="753">
        <v>1228.74</v>
      </c>
      <c r="M165" s="753">
        <v>0</v>
      </c>
      <c r="N165" s="753">
        <f t="shared" si="142"/>
        <v>1228.74</v>
      </c>
      <c r="O165" s="753">
        <f t="shared" si="143"/>
        <v>10.2395</v>
      </c>
      <c r="P165" s="753">
        <f t="shared" si="144"/>
        <v>92.155499999999989</v>
      </c>
      <c r="Q165" s="753">
        <f t="shared" si="145"/>
        <v>0</v>
      </c>
      <c r="R165" s="753">
        <f>IF(Q165&gt;0,Q165,P165)</f>
        <v>92.155499999999989</v>
      </c>
      <c r="S165" s="764">
        <f>+'WP-10 - Disposal'!$P$46</f>
        <v>0.86738983940594916</v>
      </c>
      <c r="T165" s="753">
        <f t="shared" si="147"/>
        <v>79.934744345374938</v>
      </c>
      <c r="U165" s="753">
        <f t="shared" si="148"/>
        <v>0</v>
      </c>
      <c r="V165" s="753">
        <f>U165*S165</f>
        <v>0</v>
      </c>
      <c r="W165" s="764">
        <v>1</v>
      </c>
      <c r="X165" s="753">
        <f>V165*W165</f>
        <v>0</v>
      </c>
      <c r="Y165" s="753">
        <f>IF(M165&gt;0,0,X165+T165*W165)*W165</f>
        <v>79.934744345374938</v>
      </c>
      <c r="Z165" s="766">
        <f>IF(M165&gt;0,(L165-X165)/2,IF(AA165&gt;=AD165,(((L165*S165)*W165)-Y165),(+(((L165*S165)*W165)-Y165))))</f>
        <v>985.86184692629092</v>
      </c>
      <c r="AA165" s="753">
        <f t="shared" si="153"/>
        <v>122.25</v>
      </c>
      <c r="AB165" s="753">
        <f t="shared" si="154"/>
        <v>123</v>
      </c>
      <c r="AC165" s="753">
        <f t="shared" si="155"/>
        <v>132.25</v>
      </c>
      <c r="AD165" s="753">
        <f t="shared" si="156"/>
        <v>122</v>
      </c>
      <c r="AE165" s="753">
        <f t="shared" si="157"/>
        <v>-8.3333333333333329E-2</v>
      </c>
      <c r="AF165" s="753">
        <f t="shared" si="158"/>
        <v>202.91078090102167</v>
      </c>
      <c r="AG165" s="753"/>
      <c r="AH165" s="753"/>
      <c r="AI165" s="753"/>
    </row>
    <row r="166" spans="2:37">
      <c r="B166" s="221" t="s">
        <v>764</v>
      </c>
      <c r="L166" s="223">
        <f>SUM(L156:L165)</f>
        <v>104114.69000000002</v>
      </c>
      <c r="M166" s="753"/>
      <c r="N166" s="223">
        <f>SUM(N156:N165)</f>
        <v>104114.69000000002</v>
      </c>
      <c r="O166" s="223">
        <f>SUM(O156:O165)</f>
        <v>1560.4880476190474</v>
      </c>
      <c r="P166" s="223">
        <f>SUM(P156:P165)</f>
        <v>2907.3302619047627</v>
      </c>
      <c r="Q166" s="223">
        <f>SUM(Q156:Q165)</f>
        <v>0</v>
      </c>
      <c r="R166" s="223">
        <f>SUM(R156:R165)</f>
        <v>2907.3302619047627</v>
      </c>
      <c r="S166" s="753"/>
      <c r="T166" s="223">
        <f>SUM(T156:T165)</f>
        <v>2521.7887289736282</v>
      </c>
      <c r="U166" s="223">
        <f>SUM(U156:U165)</f>
        <v>88957.412499999991</v>
      </c>
      <c r="V166" s="223">
        <f>SUM(V156:V165)</f>
        <v>77160.755742343768</v>
      </c>
      <c r="W166" s="753"/>
      <c r="X166" s="223">
        <f>SUM(X156:X165)</f>
        <v>77160.755742343768</v>
      </c>
      <c r="Y166" s="223">
        <f>SUM(Y156:Y165)</f>
        <v>79682.544471317407</v>
      </c>
      <c r="Z166" s="223">
        <f>SUM(Z156:Z165)</f>
        <v>10625.479767582783</v>
      </c>
      <c r="AA166" s="753"/>
      <c r="AB166" s="753"/>
      <c r="AC166" s="753"/>
      <c r="AD166" s="753"/>
      <c r="AE166" s="753"/>
      <c r="AF166" s="772">
        <f>SUM(AF156:AF165)</f>
        <v>15067.56012558663</v>
      </c>
      <c r="AG166" s="753"/>
      <c r="AH166" s="753"/>
      <c r="AI166" s="753"/>
    </row>
    <row r="167" spans="2:37">
      <c r="L167" s="753"/>
      <c r="M167" s="753"/>
      <c r="N167" s="753"/>
      <c r="O167" s="753"/>
      <c r="P167" s="753"/>
      <c r="Q167" s="753"/>
      <c r="R167" s="753"/>
      <c r="T167" s="753"/>
      <c r="U167" s="753"/>
      <c r="V167" s="753"/>
      <c r="X167" s="753"/>
      <c r="Y167" s="753"/>
      <c r="Z167" s="753"/>
      <c r="AA167" s="753"/>
      <c r="AB167" s="753"/>
      <c r="AC167" s="753"/>
      <c r="AD167" s="753"/>
      <c r="AE167" s="753"/>
      <c r="AF167" s="753"/>
      <c r="AG167" s="753"/>
      <c r="AH167" s="753"/>
      <c r="AI167" s="753"/>
    </row>
    <row r="168" spans="2:37">
      <c r="B168" s="55" t="s">
        <v>384</v>
      </c>
      <c r="C168" s="767"/>
      <c r="H168" s="767"/>
      <c r="L168" s="753"/>
      <c r="M168" s="753"/>
      <c r="N168" s="753"/>
      <c r="O168" s="753"/>
      <c r="P168" s="753"/>
      <c r="Q168" s="753"/>
      <c r="R168" s="753"/>
      <c r="T168" s="753"/>
      <c r="U168" s="753"/>
      <c r="V168" s="753"/>
      <c r="X168" s="753"/>
      <c r="Y168" s="753"/>
      <c r="Z168" s="753"/>
      <c r="AA168" s="753"/>
      <c r="AB168" s="753"/>
      <c r="AC168" s="753"/>
      <c r="AD168" s="753"/>
      <c r="AE168" s="753"/>
      <c r="AF168" s="753"/>
      <c r="AG168" s="753"/>
      <c r="AH168" s="753"/>
      <c r="AI168" s="753"/>
    </row>
    <row r="169" spans="2:37">
      <c r="B169" s="41" t="s">
        <v>301</v>
      </c>
      <c r="C169" s="41">
        <v>2001</v>
      </c>
      <c r="D169" s="41">
        <v>101</v>
      </c>
      <c r="E169" s="41">
        <v>6</v>
      </c>
      <c r="F169" s="763">
        <v>0</v>
      </c>
      <c r="G169" s="756" t="s">
        <v>153</v>
      </c>
      <c r="H169" s="41">
        <v>7</v>
      </c>
      <c r="I169" s="41">
        <f t="shared" ref="I169:I200" si="159">D169+H169</f>
        <v>108</v>
      </c>
      <c r="L169" s="753">
        <v>10118.4</v>
      </c>
      <c r="M169" s="753">
        <v>0</v>
      </c>
      <c r="N169" s="753">
        <f t="shared" ref="N169:N200" si="160">L169-(+L169*F169)</f>
        <v>10118.4</v>
      </c>
      <c r="O169" s="753">
        <f t="shared" ref="O169:O200" si="161">(+N169/H169)/12</f>
        <v>120.45714285714286</v>
      </c>
      <c r="P169" s="753">
        <f t="shared" ref="P169:P200" si="162">IF(Q169&gt;0,0,IF(OR(AA169&gt;AB169,AC169&lt;AD169),0,IF(AND(AC169&gt;=AD169,AC169&lt;=AB169),O169*((AC169-AD169)*12),IF(AND(AD169&lt;=AA169,AB169&gt;=AA169),((AB169-AA169)*12)*O169,IF(AC169&gt;AB169,12*O169,0)))))</f>
        <v>0</v>
      </c>
      <c r="Q169" s="753">
        <f t="shared" ref="Q169:Q200" si="163">IF(M169=0,0,IF(AND(AE169&gt;=AD169,AE169&lt;=AC169),((AE169-AD169)*12)*O169,0))</f>
        <v>0</v>
      </c>
      <c r="R169" s="753">
        <f t="shared" ref="R169:R232" si="164">IF(Q169&gt;0,Q169,P169)</f>
        <v>0</v>
      </c>
      <c r="S169" s="764">
        <f>+'WP-10 - Disposal'!$P$46</f>
        <v>0.86738983940594916</v>
      </c>
      <c r="T169" s="753">
        <f t="shared" ref="T169:T197" si="165">S169*SUM(P169:Q169)</f>
        <v>0</v>
      </c>
      <c r="U169" s="753">
        <f t="shared" ref="U169:U200" si="166">IF(AA169&gt;AB169,0,IF(AC169&lt;AD169,L169,IF(AND(AC169&gt;=AD169,AC169&lt;=AB169),(L169-R169),IF(AND(AD169&lt;=AA169,AB169&gt;=AA169),0,IF(AC169&gt;AB169,((AD169-AA169)*12)*O169,0)))))</f>
        <v>10118.4</v>
      </c>
      <c r="V169" s="753">
        <f t="shared" ref="V169:V197" si="167">U169*S169</f>
        <v>8776.5973510451549</v>
      </c>
      <c r="W169" s="764">
        <v>1</v>
      </c>
      <c r="X169" s="753">
        <f t="shared" ref="X169:X197" si="168">V169*W169</f>
        <v>8776.5973510451549</v>
      </c>
      <c r="Y169" s="753">
        <f t="shared" ref="Y169:Y197" si="169">IF(M169&gt;0,0,X169+T169*W169)*W169</f>
        <v>8776.5973510451549</v>
      </c>
      <c r="Z169" s="753">
        <f t="shared" ref="Z169:Z188" si="170">IF(M169&gt;0,(L169-X169)/2,IF(AA169&gt;=AD169,(((L169*S169)*W169)-Y169)/2,(+(((L169*S169)*W169)-Y169))))</f>
        <v>0</v>
      </c>
      <c r="AA169" s="753">
        <f t="shared" ref="AA169:AA249" si="171">$D169+(($E169-1)/12)</f>
        <v>101.41666666666667</v>
      </c>
      <c r="AB169" s="753">
        <f t="shared" ref="AB169:AB232" si="172">($B$10+1)-($B$7/12)</f>
        <v>123</v>
      </c>
      <c r="AC169" s="753">
        <f t="shared" ref="AC169:AC200" si="173">$I169+(($E169-1)/12)</f>
        <v>108.41666666666667</v>
      </c>
      <c r="AD169" s="753">
        <f t="shared" ref="AD169:AD232" si="174">$B$9+($B$8/12)</f>
        <v>122</v>
      </c>
      <c r="AE169" s="753">
        <f t="shared" ref="AE169:AE232" si="175">$J169+(($K169-1)/12)</f>
        <v>-8.3333333333333329E-2</v>
      </c>
      <c r="AF169" s="753">
        <f t="shared" ref="AF169:AF200" si="176">L169-((X169+Y169)/2)-Z169</f>
        <v>1341.8026489548447</v>
      </c>
      <c r="AG169" s="753"/>
      <c r="AH169" s="753"/>
      <c r="AI169" s="753"/>
      <c r="AJ169" s="765"/>
      <c r="AK169" s="765"/>
    </row>
    <row r="170" spans="2:37">
      <c r="B170" s="41" t="s">
        <v>302</v>
      </c>
      <c r="C170" s="41">
        <v>2002</v>
      </c>
      <c r="D170" s="41">
        <v>102</v>
      </c>
      <c r="E170" s="41">
        <v>8</v>
      </c>
      <c r="F170" s="763">
        <v>0</v>
      </c>
      <c r="G170" s="756" t="s">
        <v>153</v>
      </c>
      <c r="H170" s="41">
        <v>7</v>
      </c>
      <c r="I170" s="41">
        <f t="shared" si="159"/>
        <v>109</v>
      </c>
      <c r="L170" s="753">
        <v>4869.8900000000003</v>
      </c>
      <c r="M170" s="753">
        <v>0</v>
      </c>
      <c r="N170" s="753">
        <f t="shared" si="160"/>
        <v>4869.8900000000003</v>
      </c>
      <c r="O170" s="753">
        <f t="shared" si="161"/>
        <v>57.97488095238095</v>
      </c>
      <c r="P170" s="753">
        <f t="shared" si="162"/>
        <v>0</v>
      </c>
      <c r="Q170" s="753">
        <f t="shared" si="163"/>
        <v>0</v>
      </c>
      <c r="R170" s="753">
        <f t="shared" si="164"/>
        <v>0</v>
      </c>
      <c r="S170" s="764">
        <f>+'WP-10 - Disposal'!$P$46</f>
        <v>0.86738983940594916</v>
      </c>
      <c r="T170" s="753">
        <f t="shared" si="165"/>
        <v>0</v>
      </c>
      <c r="U170" s="753">
        <f t="shared" si="166"/>
        <v>4869.8900000000003</v>
      </c>
      <c r="V170" s="753">
        <f t="shared" si="167"/>
        <v>4224.0931050246381</v>
      </c>
      <c r="W170" s="764">
        <v>1</v>
      </c>
      <c r="X170" s="753">
        <f t="shared" si="168"/>
        <v>4224.0931050246381</v>
      </c>
      <c r="Y170" s="753">
        <f t="shared" si="169"/>
        <v>4224.0931050246381</v>
      </c>
      <c r="Z170" s="753">
        <f t="shared" si="170"/>
        <v>0</v>
      </c>
      <c r="AA170" s="753">
        <f t="shared" si="171"/>
        <v>102.58333333333333</v>
      </c>
      <c r="AB170" s="753">
        <f t="shared" si="172"/>
        <v>123</v>
      </c>
      <c r="AC170" s="753">
        <f t="shared" si="173"/>
        <v>109.58333333333333</v>
      </c>
      <c r="AD170" s="753">
        <f t="shared" si="174"/>
        <v>122</v>
      </c>
      <c r="AE170" s="753">
        <f t="shared" si="175"/>
        <v>-8.3333333333333329E-2</v>
      </c>
      <c r="AF170" s="753">
        <f t="shared" si="176"/>
        <v>645.79689497536219</v>
      </c>
      <c r="AG170" s="753"/>
      <c r="AH170" s="753"/>
      <c r="AI170" s="753"/>
      <c r="AJ170" s="765"/>
      <c r="AK170" s="765"/>
    </row>
    <row r="171" spans="2:37">
      <c r="B171" s="41" t="s">
        <v>303</v>
      </c>
      <c r="C171" s="41">
        <v>2002</v>
      </c>
      <c r="D171" s="41">
        <v>102</v>
      </c>
      <c r="E171" s="41">
        <v>8</v>
      </c>
      <c r="F171" s="763">
        <v>0</v>
      </c>
      <c r="G171" s="756" t="s">
        <v>153</v>
      </c>
      <c r="H171" s="41">
        <v>7</v>
      </c>
      <c r="I171" s="41">
        <f t="shared" si="159"/>
        <v>109</v>
      </c>
      <c r="L171" s="753">
        <v>5962.24</v>
      </c>
      <c r="M171" s="753">
        <v>0</v>
      </c>
      <c r="N171" s="753">
        <f t="shared" si="160"/>
        <v>5962.24</v>
      </c>
      <c r="O171" s="753">
        <f t="shared" si="161"/>
        <v>70.97904761904762</v>
      </c>
      <c r="P171" s="753">
        <f t="shared" si="162"/>
        <v>0</v>
      </c>
      <c r="Q171" s="753">
        <f t="shared" si="163"/>
        <v>0</v>
      </c>
      <c r="R171" s="753">
        <f t="shared" si="164"/>
        <v>0</v>
      </c>
      <c r="S171" s="764">
        <f>+'WP-10 - Disposal'!$P$46</f>
        <v>0.86738983940594916</v>
      </c>
      <c r="T171" s="753">
        <f t="shared" si="165"/>
        <v>0</v>
      </c>
      <c r="U171" s="753">
        <f t="shared" si="166"/>
        <v>5962.24</v>
      </c>
      <c r="V171" s="753">
        <f t="shared" si="167"/>
        <v>5171.5863960997258</v>
      </c>
      <c r="W171" s="764">
        <v>1</v>
      </c>
      <c r="X171" s="753">
        <f t="shared" si="168"/>
        <v>5171.5863960997258</v>
      </c>
      <c r="Y171" s="753">
        <f t="shared" si="169"/>
        <v>5171.5863960997258</v>
      </c>
      <c r="Z171" s="753">
        <f t="shared" si="170"/>
        <v>0</v>
      </c>
      <c r="AA171" s="753">
        <f t="shared" si="171"/>
        <v>102.58333333333333</v>
      </c>
      <c r="AB171" s="753">
        <f t="shared" si="172"/>
        <v>123</v>
      </c>
      <c r="AC171" s="753">
        <f t="shared" si="173"/>
        <v>109.58333333333333</v>
      </c>
      <c r="AD171" s="753">
        <f t="shared" si="174"/>
        <v>122</v>
      </c>
      <c r="AE171" s="753">
        <f t="shared" si="175"/>
        <v>-8.3333333333333329E-2</v>
      </c>
      <c r="AF171" s="753">
        <f t="shared" si="176"/>
        <v>790.65360390027399</v>
      </c>
      <c r="AG171" s="753"/>
      <c r="AH171" s="753"/>
      <c r="AI171" s="753"/>
      <c r="AJ171" s="765"/>
      <c r="AK171" s="765"/>
    </row>
    <row r="172" spans="2:37">
      <c r="B172" s="41" t="s">
        <v>304</v>
      </c>
      <c r="C172" s="41">
        <v>2002</v>
      </c>
      <c r="D172" s="41">
        <v>102</v>
      </c>
      <c r="E172" s="41">
        <v>10</v>
      </c>
      <c r="F172" s="763">
        <v>0</v>
      </c>
      <c r="G172" s="756" t="s">
        <v>153</v>
      </c>
      <c r="H172" s="41">
        <v>7</v>
      </c>
      <c r="I172" s="41">
        <f t="shared" si="159"/>
        <v>109</v>
      </c>
      <c r="L172" s="753">
        <v>7304.83</v>
      </c>
      <c r="M172" s="753">
        <v>0</v>
      </c>
      <c r="N172" s="753">
        <f t="shared" si="160"/>
        <v>7304.83</v>
      </c>
      <c r="O172" s="753">
        <f t="shared" si="161"/>
        <v>86.962261904761917</v>
      </c>
      <c r="P172" s="753">
        <f t="shared" si="162"/>
        <v>0</v>
      </c>
      <c r="Q172" s="753">
        <f t="shared" si="163"/>
        <v>0</v>
      </c>
      <c r="R172" s="753">
        <f t="shared" si="164"/>
        <v>0</v>
      </c>
      <c r="S172" s="764">
        <f>+'WP-10 - Disposal'!$P$46</f>
        <v>0.86738983940594916</v>
      </c>
      <c r="T172" s="753">
        <f t="shared" si="165"/>
        <v>0</v>
      </c>
      <c r="U172" s="753">
        <f t="shared" si="166"/>
        <v>7304.83</v>
      </c>
      <c r="V172" s="753">
        <f t="shared" si="167"/>
        <v>6336.1353205877595</v>
      </c>
      <c r="W172" s="764">
        <v>1</v>
      </c>
      <c r="X172" s="753">
        <f t="shared" si="168"/>
        <v>6336.1353205877595</v>
      </c>
      <c r="Y172" s="753">
        <f t="shared" si="169"/>
        <v>6336.1353205877595</v>
      </c>
      <c r="Z172" s="753">
        <f t="shared" si="170"/>
        <v>0</v>
      </c>
      <c r="AA172" s="753">
        <f t="shared" si="171"/>
        <v>102.75</v>
      </c>
      <c r="AB172" s="753">
        <f t="shared" si="172"/>
        <v>123</v>
      </c>
      <c r="AC172" s="753">
        <f t="shared" si="173"/>
        <v>109.75</v>
      </c>
      <c r="AD172" s="753">
        <f t="shared" si="174"/>
        <v>122</v>
      </c>
      <c r="AE172" s="753">
        <f t="shared" si="175"/>
        <v>-8.3333333333333329E-2</v>
      </c>
      <c r="AF172" s="753">
        <f t="shared" si="176"/>
        <v>968.69467941224048</v>
      </c>
      <c r="AG172" s="753"/>
      <c r="AH172" s="753"/>
      <c r="AI172" s="753"/>
      <c r="AJ172" s="765"/>
      <c r="AK172" s="765"/>
    </row>
    <row r="173" spans="2:37">
      <c r="B173" s="41" t="s">
        <v>305</v>
      </c>
      <c r="C173" s="41">
        <v>2003</v>
      </c>
      <c r="D173" s="41">
        <v>103</v>
      </c>
      <c r="E173" s="41">
        <v>6</v>
      </c>
      <c r="F173" s="763">
        <v>0</v>
      </c>
      <c r="G173" s="756" t="s">
        <v>153</v>
      </c>
      <c r="H173" s="41">
        <v>7</v>
      </c>
      <c r="I173" s="41">
        <f t="shared" si="159"/>
        <v>110</v>
      </c>
      <c r="L173" s="753">
        <v>13817.6</v>
      </c>
      <c r="M173" s="753">
        <v>0</v>
      </c>
      <c r="N173" s="753">
        <f t="shared" si="160"/>
        <v>13817.6</v>
      </c>
      <c r="O173" s="753">
        <f t="shared" si="161"/>
        <v>164.49523809523811</v>
      </c>
      <c r="P173" s="753">
        <f t="shared" si="162"/>
        <v>0</v>
      </c>
      <c r="Q173" s="753">
        <f t="shared" si="163"/>
        <v>0</v>
      </c>
      <c r="R173" s="753">
        <f t="shared" si="164"/>
        <v>0</v>
      </c>
      <c r="S173" s="764">
        <f>+'WP-10 - Disposal'!$P$46</f>
        <v>0.86738983940594916</v>
      </c>
      <c r="T173" s="753">
        <f t="shared" si="165"/>
        <v>0</v>
      </c>
      <c r="U173" s="753">
        <f t="shared" si="166"/>
        <v>13817.6</v>
      </c>
      <c r="V173" s="753">
        <f t="shared" si="167"/>
        <v>11985.245844975643</v>
      </c>
      <c r="W173" s="764">
        <v>1</v>
      </c>
      <c r="X173" s="753">
        <f t="shared" si="168"/>
        <v>11985.245844975643</v>
      </c>
      <c r="Y173" s="753">
        <f t="shared" si="169"/>
        <v>11985.245844975643</v>
      </c>
      <c r="Z173" s="753">
        <f t="shared" si="170"/>
        <v>0</v>
      </c>
      <c r="AA173" s="753">
        <f t="shared" si="171"/>
        <v>103.41666666666667</v>
      </c>
      <c r="AB173" s="753">
        <f t="shared" si="172"/>
        <v>123</v>
      </c>
      <c r="AC173" s="753">
        <f t="shared" si="173"/>
        <v>110.41666666666667</v>
      </c>
      <c r="AD173" s="753">
        <f t="shared" si="174"/>
        <v>122</v>
      </c>
      <c r="AE173" s="753">
        <f t="shared" si="175"/>
        <v>-8.3333333333333329E-2</v>
      </c>
      <c r="AF173" s="753">
        <f t="shared" si="176"/>
        <v>1832.3541550243572</v>
      </c>
      <c r="AG173" s="753"/>
      <c r="AH173" s="753"/>
      <c r="AI173" s="753"/>
      <c r="AJ173" s="765"/>
      <c r="AK173" s="765"/>
    </row>
    <row r="174" spans="2:37">
      <c r="B174" s="41" t="s">
        <v>306</v>
      </c>
      <c r="C174" s="41">
        <v>2003</v>
      </c>
      <c r="D174" s="41">
        <v>103</v>
      </c>
      <c r="E174" s="41">
        <v>8</v>
      </c>
      <c r="F174" s="763">
        <v>0</v>
      </c>
      <c r="G174" s="756" t="s">
        <v>153</v>
      </c>
      <c r="H174" s="41">
        <v>7</v>
      </c>
      <c r="I174" s="41">
        <f t="shared" si="159"/>
        <v>110</v>
      </c>
      <c r="L174" s="753">
        <v>3242.24</v>
      </c>
      <c r="M174" s="753">
        <v>0</v>
      </c>
      <c r="N174" s="753">
        <f t="shared" si="160"/>
        <v>3242.24</v>
      </c>
      <c r="O174" s="753">
        <f t="shared" si="161"/>
        <v>38.598095238095233</v>
      </c>
      <c r="P174" s="753">
        <f t="shared" si="162"/>
        <v>0</v>
      </c>
      <c r="Q174" s="753">
        <f t="shared" si="163"/>
        <v>0</v>
      </c>
      <c r="R174" s="753">
        <f t="shared" si="164"/>
        <v>0</v>
      </c>
      <c r="S174" s="764">
        <f>+'WP-10 - Disposal'!$P$46</f>
        <v>0.86738983940594916</v>
      </c>
      <c r="T174" s="753">
        <f t="shared" si="165"/>
        <v>0</v>
      </c>
      <c r="U174" s="753">
        <f t="shared" si="166"/>
        <v>3242.24</v>
      </c>
      <c r="V174" s="753">
        <f t="shared" si="167"/>
        <v>2812.2860329155446</v>
      </c>
      <c r="W174" s="764">
        <v>1</v>
      </c>
      <c r="X174" s="753">
        <f t="shared" si="168"/>
        <v>2812.2860329155446</v>
      </c>
      <c r="Y174" s="753">
        <f t="shared" si="169"/>
        <v>2812.2860329155446</v>
      </c>
      <c r="Z174" s="753">
        <f t="shared" si="170"/>
        <v>0</v>
      </c>
      <c r="AA174" s="753">
        <f t="shared" si="171"/>
        <v>103.58333333333333</v>
      </c>
      <c r="AB174" s="753">
        <f t="shared" si="172"/>
        <v>123</v>
      </c>
      <c r="AC174" s="753">
        <f t="shared" si="173"/>
        <v>110.58333333333333</v>
      </c>
      <c r="AD174" s="753">
        <f t="shared" si="174"/>
        <v>122</v>
      </c>
      <c r="AE174" s="753">
        <f t="shared" si="175"/>
        <v>-8.3333333333333329E-2</v>
      </c>
      <c r="AF174" s="753">
        <f t="shared" si="176"/>
        <v>429.95396708445514</v>
      </c>
      <c r="AG174" s="753"/>
      <c r="AH174" s="753"/>
      <c r="AI174" s="753"/>
      <c r="AJ174" s="765"/>
      <c r="AK174" s="765"/>
    </row>
    <row r="175" spans="2:37">
      <c r="B175" s="41" t="s">
        <v>306</v>
      </c>
      <c r="C175" s="41">
        <v>2003</v>
      </c>
      <c r="D175" s="41">
        <v>103</v>
      </c>
      <c r="E175" s="41">
        <v>10</v>
      </c>
      <c r="F175" s="763">
        <v>0</v>
      </c>
      <c r="G175" s="756" t="s">
        <v>153</v>
      </c>
      <c r="H175" s="41">
        <v>7</v>
      </c>
      <c r="I175" s="41">
        <f t="shared" si="159"/>
        <v>110</v>
      </c>
      <c r="L175" s="753">
        <v>2669.95</v>
      </c>
      <c r="M175" s="753">
        <v>0</v>
      </c>
      <c r="N175" s="753">
        <f t="shared" si="160"/>
        <v>2669.95</v>
      </c>
      <c r="O175" s="753">
        <f t="shared" si="161"/>
        <v>31.785119047619045</v>
      </c>
      <c r="P175" s="753">
        <f t="shared" si="162"/>
        <v>0</v>
      </c>
      <c r="Q175" s="753">
        <f t="shared" si="163"/>
        <v>0</v>
      </c>
      <c r="R175" s="753">
        <f t="shared" si="164"/>
        <v>0</v>
      </c>
      <c r="S175" s="764">
        <f>+'WP-10 - Disposal'!$P$46</f>
        <v>0.86738983940594916</v>
      </c>
      <c r="T175" s="753">
        <f t="shared" si="165"/>
        <v>0</v>
      </c>
      <c r="U175" s="753">
        <f t="shared" si="166"/>
        <v>2669.95</v>
      </c>
      <c r="V175" s="753">
        <f t="shared" si="167"/>
        <v>2315.8875017219138</v>
      </c>
      <c r="W175" s="764">
        <v>1</v>
      </c>
      <c r="X175" s="753">
        <f t="shared" si="168"/>
        <v>2315.8875017219138</v>
      </c>
      <c r="Y175" s="753">
        <f t="shared" si="169"/>
        <v>2315.8875017219138</v>
      </c>
      <c r="Z175" s="753">
        <f t="shared" si="170"/>
        <v>0</v>
      </c>
      <c r="AA175" s="753">
        <f t="shared" si="171"/>
        <v>103.75</v>
      </c>
      <c r="AB175" s="753">
        <f t="shared" si="172"/>
        <v>123</v>
      </c>
      <c r="AC175" s="753">
        <f t="shared" si="173"/>
        <v>110.75</v>
      </c>
      <c r="AD175" s="753">
        <f t="shared" si="174"/>
        <v>122</v>
      </c>
      <c r="AE175" s="753">
        <f t="shared" si="175"/>
        <v>-8.3333333333333329E-2</v>
      </c>
      <c r="AF175" s="753">
        <f t="shared" si="176"/>
        <v>354.06249827808597</v>
      </c>
      <c r="AG175" s="753"/>
      <c r="AH175" s="753"/>
      <c r="AI175" s="753"/>
      <c r="AJ175" s="765"/>
      <c r="AK175" s="765"/>
    </row>
    <row r="176" spans="2:37">
      <c r="B176" s="41" t="s">
        <v>307</v>
      </c>
      <c r="C176" s="41">
        <v>2004</v>
      </c>
      <c r="D176" s="41">
        <v>104</v>
      </c>
      <c r="E176" s="41">
        <v>5</v>
      </c>
      <c r="F176" s="763">
        <v>0</v>
      </c>
      <c r="G176" s="756" t="s">
        <v>153</v>
      </c>
      <c r="H176" s="41">
        <v>7</v>
      </c>
      <c r="I176" s="41">
        <f t="shared" si="159"/>
        <v>111</v>
      </c>
      <c r="L176" s="753">
        <v>2714.56</v>
      </c>
      <c r="M176" s="753">
        <v>0</v>
      </c>
      <c r="N176" s="753">
        <f t="shared" si="160"/>
        <v>2714.56</v>
      </c>
      <c r="O176" s="753">
        <f t="shared" si="161"/>
        <v>32.316190476190478</v>
      </c>
      <c r="P176" s="753">
        <f t="shared" si="162"/>
        <v>0</v>
      </c>
      <c r="Q176" s="753">
        <f t="shared" si="163"/>
        <v>0</v>
      </c>
      <c r="R176" s="753">
        <f t="shared" si="164"/>
        <v>0</v>
      </c>
      <c r="S176" s="764">
        <f>+'WP-10 - Disposal'!$P$46</f>
        <v>0.86738983940594916</v>
      </c>
      <c r="T176" s="753">
        <f t="shared" si="165"/>
        <v>0</v>
      </c>
      <c r="U176" s="753">
        <f t="shared" si="166"/>
        <v>2714.56</v>
      </c>
      <c r="V176" s="753">
        <f t="shared" si="167"/>
        <v>2354.5817624578135</v>
      </c>
      <c r="W176" s="764">
        <v>1</v>
      </c>
      <c r="X176" s="753">
        <f t="shared" si="168"/>
        <v>2354.5817624578135</v>
      </c>
      <c r="Y176" s="753">
        <f t="shared" si="169"/>
        <v>2354.5817624578135</v>
      </c>
      <c r="Z176" s="753">
        <f t="shared" si="170"/>
        <v>0</v>
      </c>
      <c r="AA176" s="753">
        <f t="shared" si="171"/>
        <v>104.33333333333333</v>
      </c>
      <c r="AB176" s="753">
        <f t="shared" si="172"/>
        <v>123</v>
      </c>
      <c r="AC176" s="753">
        <f t="shared" si="173"/>
        <v>111.33333333333333</v>
      </c>
      <c r="AD176" s="753">
        <f t="shared" si="174"/>
        <v>122</v>
      </c>
      <c r="AE176" s="753">
        <f t="shared" si="175"/>
        <v>-8.3333333333333329E-2</v>
      </c>
      <c r="AF176" s="753">
        <f t="shared" si="176"/>
        <v>359.97823754218643</v>
      </c>
      <c r="AG176" s="753"/>
      <c r="AH176" s="753"/>
      <c r="AI176" s="753"/>
      <c r="AJ176" s="765"/>
      <c r="AK176" s="765"/>
    </row>
    <row r="177" spans="2:37">
      <c r="B177" s="41" t="s">
        <v>308</v>
      </c>
      <c r="C177" s="41">
        <v>2006</v>
      </c>
      <c r="D177" s="41">
        <v>106</v>
      </c>
      <c r="E177" s="41">
        <v>11</v>
      </c>
      <c r="F177" s="763">
        <v>0</v>
      </c>
      <c r="G177" s="756" t="s">
        <v>153</v>
      </c>
      <c r="H177" s="41">
        <v>7</v>
      </c>
      <c r="I177" s="41">
        <f t="shared" si="159"/>
        <v>113</v>
      </c>
      <c r="L177" s="753">
        <v>5924</v>
      </c>
      <c r="M177" s="753">
        <v>0</v>
      </c>
      <c r="N177" s="753">
        <f t="shared" si="160"/>
        <v>5924</v>
      </c>
      <c r="O177" s="753">
        <f t="shared" si="161"/>
        <v>70.523809523809533</v>
      </c>
      <c r="P177" s="753">
        <f t="shared" si="162"/>
        <v>0</v>
      </c>
      <c r="Q177" s="753">
        <f t="shared" si="163"/>
        <v>0</v>
      </c>
      <c r="R177" s="753">
        <f t="shared" si="164"/>
        <v>0</v>
      </c>
      <c r="S177" s="764">
        <f>+'WP-10 - Disposal'!$P$46</f>
        <v>0.86738983940594916</v>
      </c>
      <c r="T177" s="753">
        <f t="shared" si="165"/>
        <v>0</v>
      </c>
      <c r="U177" s="753">
        <f t="shared" si="166"/>
        <v>5924</v>
      </c>
      <c r="V177" s="753">
        <f t="shared" si="167"/>
        <v>5138.417408640843</v>
      </c>
      <c r="W177" s="764">
        <v>1</v>
      </c>
      <c r="X177" s="753">
        <f t="shared" si="168"/>
        <v>5138.417408640843</v>
      </c>
      <c r="Y177" s="753">
        <f t="shared" si="169"/>
        <v>5138.417408640843</v>
      </c>
      <c r="Z177" s="753">
        <f t="shared" si="170"/>
        <v>0</v>
      </c>
      <c r="AA177" s="753">
        <f t="shared" si="171"/>
        <v>106.83333333333333</v>
      </c>
      <c r="AB177" s="753">
        <f t="shared" si="172"/>
        <v>123</v>
      </c>
      <c r="AC177" s="753">
        <f t="shared" si="173"/>
        <v>113.83333333333333</v>
      </c>
      <c r="AD177" s="753">
        <f t="shared" si="174"/>
        <v>122</v>
      </c>
      <c r="AE177" s="753">
        <f t="shared" si="175"/>
        <v>-8.3333333333333329E-2</v>
      </c>
      <c r="AF177" s="753">
        <f t="shared" si="176"/>
        <v>785.58259135915705</v>
      </c>
      <c r="AG177" s="753"/>
      <c r="AH177" s="753"/>
      <c r="AI177" s="753"/>
      <c r="AJ177" s="765"/>
      <c r="AK177" s="765"/>
    </row>
    <row r="178" spans="2:37">
      <c r="B178" s="41" t="s">
        <v>309</v>
      </c>
      <c r="C178" s="41">
        <v>2007</v>
      </c>
      <c r="D178" s="41">
        <v>107</v>
      </c>
      <c r="E178" s="41">
        <v>2</v>
      </c>
      <c r="F178" s="763">
        <v>0</v>
      </c>
      <c r="G178" s="756" t="s">
        <v>153</v>
      </c>
      <c r="H178" s="41">
        <v>10</v>
      </c>
      <c r="I178" s="41">
        <f t="shared" si="159"/>
        <v>117</v>
      </c>
      <c r="L178" s="753">
        <v>6144</v>
      </c>
      <c r="M178" s="753">
        <v>0</v>
      </c>
      <c r="N178" s="753">
        <f t="shared" si="160"/>
        <v>6144</v>
      </c>
      <c r="O178" s="753">
        <f t="shared" si="161"/>
        <v>51.199999999999996</v>
      </c>
      <c r="P178" s="753">
        <f t="shared" si="162"/>
        <v>0</v>
      </c>
      <c r="Q178" s="753">
        <f t="shared" si="163"/>
        <v>0</v>
      </c>
      <c r="R178" s="753">
        <f t="shared" si="164"/>
        <v>0</v>
      </c>
      <c r="S178" s="764">
        <f>+'WP-10 - Disposal'!$P$46</f>
        <v>0.86738983940594916</v>
      </c>
      <c r="T178" s="753">
        <f t="shared" si="165"/>
        <v>0</v>
      </c>
      <c r="U178" s="753">
        <f t="shared" si="166"/>
        <v>6144</v>
      </c>
      <c r="V178" s="753">
        <f t="shared" si="167"/>
        <v>5329.2431733101512</v>
      </c>
      <c r="W178" s="764">
        <v>1</v>
      </c>
      <c r="X178" s="753">
        <f t="shared" si="168"/>
        <v>5329.2431733101512</v>
      </c>
      <c r="Y178" s="753">
        <f t="shared" si="169"/>
        <v>5329.2431733101512</v>
      </c>
      <c r="Z178" s="753">
        <f t="shared" si="170"/>
        <v>0</v>
      </c>
      <c r="AA178" s="753">
        <f t="shared" si="171"/>
        <v>107.08333333333333</v>
      </c>
      <c r="AB178" s="753">
        <f t="shared" si="172"/>
        <v>123</v>
      </c>
      <c r="AC178" s="753">
        <f t="shared" si="173"/>
        <v>117.08333333333333</v>
      </c>
      <c r="AD178" s="753">
        <f t="shared" si="174"/>
        <v>122</v>
      </c>
      <c r="AE178" s="753">
        <f t="shared" si="175"/>
        <v>-8.3333333333333329E-2</v>
      </c>
      <c r="AF178" s="753">
        <f t="shared" si="176"/>
        <v>814.75682668984882</v>
      </c>
      <c r="AG178" s="753"/>
      <c r="AH178" s="753"/>
      <c r="AI178" s="753"/>
      <c r="AJ178" s="765"/>
      <c r="AK178" s="765"/>
    </row>
    <row r="179" spans="2:37">
      <c r="B179" s="41" t="s">
        <v>310</v>
      </c>
      <c r="C179" s="41">
        <v>2007</v>
      </c>
      <c r="D179" s="41">
        <v>107</v>
      </c>
      <c r="E179" s="41">
        <v>3</v>
      </c>
      <c r="F179" s="763">
        <v>0</v>
      </c>
      <c r="G179" s="756" t="s">
        <v>153</v>
      </c>
      <c r="H179" s="41">
        <v>10</v>
      </c>
      <c r="I179" s="41">
        <f t="shared" si="159"/>
        <v>117</v>
      </c>
      <c r="L179" s="753">
        <v>6350</v>
      </c>
      <c r="M179" s="753">
        <v>0</v>
      </c>
      <c r="N179" s="753">
        <f t="shared" si="160"/>
        <v>6350</v>
      </c>
      <c r="O179" s="753">
        <f t="shared" si="161"/>
        <v>52.916666666666664</v>
      </c>
      <c r="P179" s="753">
        <f t="shared" si="162"/>
        <v>0</v>
      </c>
      <c r="Q179" s="753">
        <f t="shared" si="163"/>
        <v>0</v>
      </c>
      <c r="R179" s="753">
        <f t="shared" si="164"/>
        <v>0</v>
      </c>
      <c r="S179" s="764">
        <f>+'WP-10 - Disposal'!$P$46</f>
        <v>0.86738983940594916</v>
      </c>
      <c r="T179" s="753">
        <f t="shared" si="165"/>
        <v>0</v>
      </c>
      <c r="U179" s="753">
        <f t="shared" si="166"/>
        <v>6350</v>
      </c>
      <c r="V179" s="753">
        <f t="shared" si="167"/>
        <v>5507.9254802277774</v>
      </c>
      <c r="W179" s="764">
        <v>1</v>
      </c>
      <c r="X179" s="753">
        <f t="shared" si="168"/>
        <v>5507.9254802277774</v>
      </c>
      <c r="Y179" s="753">
        <f t="shared" si="169"/>
        <v>5507.9254802277774</v>
      </c>
      <c r="Z179" s="753">
        <f t="shared" si="170"/>
        <v>0</v>
      </c>
      <c r="AA179" s="753">
        <f t="shared" si="171"/>
        <v>107.16666666666667</v>
      </c>
      <c r="AB179" s="753">
        <f t="shared" si="172"/>
        <v>123</v>
      </c>
      <c r="AC179" s="753">
        <f t="shared" si="173"/>
        <v>117.16666666666667</v>
      </c>
      <c r="AD179" s="753">
        <f t="shared" si="174"/>
        <v>122</v>
      </c>
      <c r="AE179" s="753">
        <f t="shared" si="175"/>
        <v>-8.3333333333333329E-2</v>
      </c>
      <c r="AF179" s="753">
        <f t="shared" si="176"/>
        <v>842.07451977222263</v>
      </c>
      <c r="AG179" s="753"/>
      <c r="AH179" s="753"/>
      <c r="AI179" s="753"/>
      <c r="AJ179" s="765"/>
      <c r="AK179" s="765"/>
    </row>
    <row r="180" spans="2:37">
      <c r="B180" s="41" t="s">
        <v>311</v>
      </c>
      <c r="C180" s="41">
        <v>2007</v>
      </c>
      <c r="D180" s="41">
        <v>107</v>
      </c>
      <c r="E180" s="41">
        <v>3</v>
      </c>
      <c r="F180" s="763">
        <v>0</v>
      </c>
      <c r="G180" s="756" t="s">
        <v>153</v>
      </c>
      <c r="H180" s="41">
        <v>15</v>
      </c>
      <c r="I180" s="41">
        <f t="shared" si="159"/>
        <v>122</v>
      </c>
      <c r="L180" s="753">
        <v>2783.14</v>
      </c>
      <c r="M180" s="753">
        <v>0</v>
      </c>
      <c r="N180" s="753">
        <f t="shared" si="160"/>
        <v>2783.14</v>
      </c>
      <c r="O180" s="753">
        <f t="shared" si="161"/>
        <v>15.461888888888888</v>
      </c>
      <c r="P180" s="753">
        <f t="shared" si="162"/>
        <v>30.923777777778653</v>
      </c>
      <c r="Q180" s="753">
        <f t="shared" si="163"/>
        <v>0</v>
      </c>
      <c r="R180" s="753">
        <f t="shared" si="164"/>
        <v>30.923777777778653</v>
      </c>
      <c r="S180" s="764">
        <f>+'WP-10 - Disposal'!$P$46</f>
        <v>0.86738983940594916</v>
      </c>
      <c r="T180" s="753">
        <f t="shared" si="165"/>
        <v>26.822970640492684</v>
      </c>
      <c r="U180" s="753">
        <f t="shared" si="166"/>
        <v>2752.2162222222214</v>
      </c>
      <c r="V180" s="753">
        <f t="shared" si="167"/>
        <v>2387.2443870037805</v>
      </c>
      <c r="W180" s="764">
        <v>1</v>
      </c>
      <c r="X180" s="753">
        <f t="shared" si="168"/>
        <v>2387.2443870037805</v>
      </c>
      <c r="Y180" s="753">
        <f t="shared" si="169"/>
        <v>2414.0673576442732</v>
      </c>
      <c r="Z180" s="753">
        <f t="shared" si="170"/>
        <v>0</v>
      </c>
      <c r="AA180" s="753">
        <f t="shared" si="171"/>
        <v>107.16666666666667</v>
      </c>
      <c r="AB180" s="753">
        <f t="shared" si="172"/>
        <v>123</v>
      </c>
      <c r="AC180" s="753">
        <f t="shared" si="173"/>
        <v>122.16666666666667</v>
      </c>
      <c r="AD180" s="753">
        <f t="shared" si="174"/>
        <v>122</v>
      </c>
      <c r="AE180" s="753">
        <f t="shared" si="175"/>
        <v>-8.3333333333333329E-2</v>
      </c>
      <c r="AF180" s="753">
        <f t="shared" si="176"/>
        <v>382.48412767597301</v>
      </c>
      <c r="AG180" s="753"/>
      <c r="AH180" s="753"/>
      <c r="AI180" s="753"/>
      <c r="AJ180" s="765"/>
      <c r="AK180" s="765"/>
    </row>
    <row r="181" spans="2:37">
      <c r="B181" s="41" t="s">
        <v>312</v>
      </c>
      <c r="C181" s="41">
        <v>2007</v>
      </c>
      <c r="D181" s="41">
        <v>107</v>
      </c>
      <c r="E181" s="41">
        <v>10</v>
      </c>
      <c r="F181" s="763">
        <v>0</v>
      </c>
      <c r="G181" s="756" t="s">
        <v>153</v>
      </c>
      <c r="H181" s="41">
        <v>10</v>
      </c>
      <c r="I181" s="41">
        <f t="shared" si="159"/>
        <v>117</v>
      </c>
      <c r="L181" s="753">
        <v>6915.15</v>
      </c>
      <c r="M181" s="753">
        <v>0</v>
      </c>
      <c r="N181" s="753">
        <f t="shared" si="160"/>
        <v>6915.15</v>
      </c>
      <c r="O181" s="753">
        <f t="shared" si="161"/>
        <v>57.626249999999999</v>
      </c>
      <c r="P181" s="753">
        <f t="shared" si="162"/>
        <v>0</v>
      </c>
      <c r="Q181" s="753">
        <f t="shared" si="163"/>
        <v>0</v>
      </c>
      <c r="R181" s="753">
        <f t="shared" si="164"/>
        <v>0</v>
      </c>
      <c r="S181" s="764">
        <f>+'WP-10 - Disposal'!$P$46</f>
        <v>0.86738983940594916</v>
      </c>
      <c r="T181" s="753">
        <f t="shared" si="165"/>
        <v>0</v>
      </c>
      <c r="U181" s="753">
        <f t="shared" si="166"/>
        <v>6915.15</v>
      </c>
      <c r="V181" s="753">
        <f t="shared" si="167"/>
        <v>5998.1308479680492</v>
      </c>
      <c r="W181" s="764">
        <v>1</v>
      </c>
      <c r="X181" s="753">
        <f t="shared" si="168"/>
        <v>5998.1308479680492</v>
      </c>
      <c r="Y181" s="753">
        <f t="shared" si="169"/>
        <v>5998.1308479680492</v>
      </c>
      <c r="Z181" s="753">
        <f t="shared" si="170"/>
        <v>0</v>
      </c>
      <c r="AA181" s="753">
        <f t="shared" si="171"/>
        <v>107.75</v>
      </c>
      <c r="AB181" s="753">
        <f t="shared" si="172"/>
        <v>123</v>
      </c>
      <c r="AC181" s="753">
        <f t="shared" si="173"/>
        <v>117.75</v>
      </c>
      <c r="AD181" s="753">
        <f t="shared" si="174"/>
        <v>122</v>
      </c>
      <c r="AE181" s="753">
        <f t="shared" si="175"/>
        <v>-8.3333333333333329E-2</v>
      </c>
      <c r="AF181" s="753">
        <f t="shared" si="176"/>
        <v>917.0191520319504</v>
      </c>
      <c r="AG181" s="753"/>
      <c r="AH181" s="753"/>
      <c r="AI181" s="753"/>
      <c r="AJ181" s="765"/>
      <c r="AK181" s="765"/>
    </row>
    <row r="182" spans="2:37">
      <c r="B182" s="41" t="s">
        <v>313</v>
      </c>
      <c r="C182" s="41">
        <v>2007</v>
      </c>
      <c r="D182" s="41">
        <v>107</v>
      </c>
      <c r="E182" s="41">
        <v>11</v>
      </c>
      <c r="F182" s="763">
        <v>0</v>
      </c>
      <c r="G182" s="756" t="s">
        <v>153</v>
      </c>
      <c r="H182" s="41">
        <v>10</v>
      </c>
      <c r="I182" s="41">
        <f t="shared" si="159"/>
        <v>117</v>
      </c>
      <c r="L182" s="753">
        <v>5350</v>
      </c>
      <c r="M182" s="753">
        <v>0</v>
      </c>
      <c r="N182" s="753">
        <f t="shared" si="160"/>
        <v>5350</v>
      </c>
      <c r="O182" s="753">
        <f t="shared" si="161"/>
        <v>44.583333333333336</v>
      </c>
      <c r="P182" s="753">
        <f t="shared" si="162"/>
        <v>0</v>
      </c>
      <c r="Q182" s="753">
        <f t="shared" si="163"/>
        <v>0</v>
      </c>
      <c r="R182" s="753">
        <f t="shared" si="164"/>
        <v>0</v>
      </c>
      <c r="S182" s="764">
        <f>+'WP-10 - Disposal'!$P$46</f>
        <v>0.86738983940594916</v>
      </c>
      <c r="T182" s="753">
        <f t="shared" si="165"/>
        <v>0</v>
      </c>
      <c r="U182" s="753">
        <f t="shared" si="166"/>
        <v>5350</v>
      </c>
      <c r="V182" s="753">
        <f t="shared" si="167"/>
        <v>4640.5356408218277</v>
      </c>
      <c r="W182" s="764">
        <v>1</v>
      </c>
      <c r="X182" s="753">
        <f t="shared" si="168"/>
        <v>4640.5356408218277</v>
      </c>
      <c r="Y182" s="753">
        <f t="shared" si="169"/>
        <v>4640.5356408218277</v>
      </c>
      <c r="Z182" s="753">
        <f t="shared" si="170"/>
        <v>0</v>
      </c>
      <c r="AA182" s="753">
        <f t="shared" si="171"/>
        <v>107.83333333333333</v>
      </c>
      <c r="AB182" s="753">
        <f t="shared" si="172"/>
        <v>123</v>
      </c>
      <c r="AC182" s="753">
        <f t="shared" si="173"/>
        <v>117.83333333333333</v>
      </c>
      <c r="AD182" s="753">
        <f t="shared" si="174"/>
        <v>122</v>
      </c>
      <c r="AE182" s="753">
        <f t="shared" si="175"/>
        <v>-8.3333333333333329E-2</v>
      </c>
      <c r="AF182" s="753">
        <f t="shared" si="176"/>
        <v>709.46435917817234</v>
      </c>
      <c r="AG182" s="753"/>
      <c r="AH182" s="753"/>
      <c r="AI182" s="753"/>
      <c r="AJ182" s="765"/>
      <c r="AK182" s="765"/>
    </row>
    <row r="183" spans="2:37">
      <c r="B183" s="41" t="s">
        <v>314</v>
      </c>
      <c r="C183" s="41">
        <v>2009</v>
      </c>
      <c r="D183" s="41">
        <v>109</v>
      </c>
      <c r="E183" s="41">
        <v>6</v>
      </c>
      <c r="F183" s="763">
        <v>0</v>
      </c>
      <c r="G183" s="756" t="s">
        <v>153</v>
      </c>
      <c r="H183" s="41">
        <v>10</v>
      </c>
      <c r="I183" s="41">
        <f t="shared" si="159"/>
        <v>119</v>
      </c>
      <c r="L183" s="753">
        <v>17700</v>
      </c>
      <c r="M183" s="753">
        <v>0</v>
      </c>
      <c r="N183" s="753">
        <f t="shared" si="160"/>
        <v>17700</v>
      </c>
      <c r="O183" s="753">
        <f t="shared" si="161"/>
        <v>147.5</v>
      </c>
      <c r="P183" s="753">
        <f t="shared" si="162"/>
        <v>0</v>
      </c>
      <c r="Q183" s="753">
        <f t="shared" si="163"/>
        <v>0</v>
      </c>
      <c r="R183" s="753">
        <f t="shared" si="164"/>
        <v>0</v>
      </c>
      <c r="S183" s="764">
        <f>+'WP-10 - Disposal'!$P$46</f>
        <v>0.86738983940594916</v>
      </c>
      <c r="T183" s="753">
        <f t="shared" si="165"/>
        <v>0</v>
      </c>
      <c r="U183" s="753">
        <f t="shared" si="166"/>
        <v>17700</v>
      </c>
      <c r="V183" s="753">
        <f t="shared" si="167"/>
        <v>15352.800157485301</v>
      </c>
      <c r="W183" s="764">
        <v>1</v>
      </c>
      <c r="X183" s="753">
        <f t="shared" si="168"/>
        <v>15352.800157485301</v>
      </c>
      <c r="Y183" s="753">
        <f t="shared" si="169"/>
        <v>15352.800157485301</v>
      </c>
      <c r="Z183" s="753">
        <f t="shared" si="170"/>
        <v>0</v>
      </c>
      <c r="AA183" s="753">
        <f t="shared" si="171"/>
        <v>109.41666666666667</v>
      </c>
      <c r="AB183" s="753">
        <f t="shared" si="172"/>
        <v>123</v>
      </c>
      <c r="AC183" s="753">
        <f t="shared" si="173"/>
        <v>119.41666666666667</v>
      </c>
      <c r="AD183" s="753">
        <f t="shared" si="174"/>
        <v>122</v>
      </c>
      <c r="AE183" s="753">
        <f t="shared" si="175"/>
        <v>-8.3333333333333329E-2</v>
      </c>
      <c r="AF183" s="753">
        <f t="shared" si="176"/>
        <v>2347.1998425146994</v>
      </c>
      <c r="AG183" s="753"/>
      <c r="AH183" s="753"/>
      <c r="AI183" s="753"/>
      <c r="AJ183" s="765"/>
      <c r="AK183" s="765"/>
    </row>
    <row r="184" spans="2:37">
      <c r="B184" s="41" t="s">
        <v>315</v>
      </c>
      <c r="C184" s="41">
        <v>2011</v>
      </c>
      <c r="D184" s="41">
        <v>111</v>
      </c>
      <c r="E184" s="41">
        <v>1</v>
      </c>
      <c r="F184" s="763">
        <v>0</v>
      </c>
      <c r="G184" s="756" t="s">
        <v>153</v>
      </c>
      <c r="H184" s="41">
        <v>10</v>
      </c>
      <c r="I184" s="41">
        <f t="shared" si="159"/>
        <v>121</v>
      </c>
      <c r="L184" s="753">
        <v>9785</v>
      </c>
      <c r="M184" s="753">
        <v>0</v>
      </c>
      <c r="N184" s="753">
        <f t="shared" si="160"/>
        <v>9785</v>
      </c>
      <c r="O184" s="753">
        <f t="shared" si="161"/>
        <v>81.541666666666671</v>
      </c>
      <c r="P184" s="753">
        <f t="shared" si="162"/>
        <v>0</v>
      </c>
      <c r="Q184" s="753">
        <f t="shared" si="163"/>
        <v>0</v>
      </c>
      <c r="R184" s="753">
        <f t="shared" si="164"/>
        <v>0</v>
      </c>
      <c r="S184" s="764">
        <f>+'WP-10 - Disposal'!$P$46</f>
        <v>0.86738983940594916</v>
      </c>
      <c r="T184" s="753">
        <f t="shared" si="165"/>
        <v>0</v>
      </c>
      <c r="U184" s="753">
        <f t="shared" si="166"/>
        <v>9785</v>
      </c>
      <c r="V184" s="753">
        <f t="shared" si="167"/>
        <v>8487.4095785872123</v>
      </c>
      <c r="W184" s="764">
        <v>1</v>
      </c>
      <c r="X184" s="753">
        <f t="shared" si="168"/>
        <v>8487.4095785872123</v>
      </c>
      <c r="Y184" s="753">
        <f t="shared" si="169"/>
        <v>8487.4095785872123</v>
      </c>
      <c r="Z184" s="753">
        <f t="shared" si="170"/>
        <v>0</v>
      </c>
      <c r="AA184" s="753">
        <f t="shared" si="171"/>
        <v>111</v>
      </c>
      <c r="AB184" s="753">
        <f t="shared" si="172"/>
        <v>123</v>
      </c>
      <c r="AC184" s="753">
        <f t="shared" si="173"/>
        <v>121</v>
      </c>
      <c r="AD184" s="753">
        <f t="shared" si="174"/>
        <v>122</v>
      </c>
      <c r="AE184" s="753">
        <f t="shared" si="175"/>
        <v>-8.3333333333333329E-2</v>
      </c>
      <c r="AF184" s="753">
        <f t="shared" si="176"/>
        <v>1297.5904214127877</v>
      </c>
      <c r="AG184" s="753"/>
      <c r="AH184" s="753"/>
      <c r="AI184" s="753"/>
      <c r="AJ184" s="765"/>
      <c r="AK184" s="765"/>
    </row>
    <row r="185" spans="2:37">
      <c r="B185" s="41" t="s">
        <v>316</v>
      </c>
      <c r="C185" s="41">
        <v>2011</v>
      </c>
      <c r="D185" s="41">
        <v>111</v>
      </c>
      <c r="E185" s="41">
        <v>4</v>
      </c>
      <c r="F185" s="763">
        <v>0</v>
      </c>
      <c r="G185" s="756" t="s">
        <v>153</v>
      </c>
      <c r="H185" s="41">
        <v>7</v>
      </c>
      <c r="I185" s="41">
        <f t="shared" si="159"/>
        <v>118</v>
      </c>
      <c r="L185" s="753">
        <v>5475</v>
      </c>
      <c r="M185" s="753">
        <v>0</v>
      </c>
      <c r="N185" s="753">
        <f t="shared" si="160"/>
        <v>5475</v>
      </c>
      <c r="O185" s="753">
        <f t="shared" si="161"/>
        <v>65.178571428571431</v>
      </c>
      <c r="P185" s="753">
        <f t="shared" si="162"/>
        <v>0</v>
      </c>
      <c r="Q185" s="753">
        <f t="shared" si="163"/>
        <v>0</v>
      </c>
      <c r="R185" s="753">
        <f t="shared" si="164"/>
        <v>0</v>
      </c>
      <c r="S185" s="764">
        <f>+'WP-10 - Disposal'!$P$46</f>
        <v>0.86738983940594916</v>
      </c>
      <c r="T185" s="753">
        <f t="shared" si="165"/>
        <v>0</v>
      </c>
      <c r="U185" s="753">
        <f t="shared" si="166"/>
        <v>5475</v>
      </c>
      <c r="V185" s="753">
        <f t="shared" si="167"/>
        <v>4748.9593707475715</v>
      </c>
      <c r="W185" s="764">
        <v>1</v>
      </c>
      <c r="X185" s="753">
        <f t="shared" si="168"/>
        <v>4748.9593707475715</v>
      </c>
      <c r="Y185" s="753">
        <f t="shared" si="169"/>
        <v>4748.9593707475715</v>
      </c>
      <c r="Z185" s="753">
        <f t="shared" si="170"/>
        <v>0</v>
      </c>
      <c r="AA185" s="753">
        <f t="shared" si="171"/>
        <v>111.25</v>
      </c>
      <c r="AB185" s="753">
        <f t="shared" si="172"/>
        <v>123</v>
      </c>
      <c r="AC185" s="753">
        <f t="shared" si="173"/>
        <v>118.25</v>
      </c>
      <c r="AD185" s="753">
        <f t="shared" si="174"/>
        <v>122</v>
      </c>
      <c r="AE185" s="753">
        <f t="shared" si="175"/>
        <v>-8.3333333333333329E-2</v>
      </c>
      <c r="AF185" s="753">
        <f t="shared" si="176"/>
        <v>726.04062925242852</v>
      </c>
      <c r="AG185" s="753"/>
      <c r="AH185" s="753"/>
      <c r="AI185" s="753"/>
      <c r="AJ185" s="765"/>
      <c r="AK185" s="765"/>
    </row>
    <row r="186" spans="2:37">
      <c r="B186" s="41" t="s">
        <v>317</v>
      </c>
      <c r="C186" s="41">
        <v>2012</v>
      </c>
      <c r="D186" s="41">
        <v>112</v>
      </c>
      <c r="E186" s="41">
        <v>1</v>
      </c>
      <c r="F186" s="763">
        <v>0</v>
      </c>
      <c r="G186" s="756" t="s">
        <v>153</v>
      </c>
      <c r="H186" s="41">
        <v>10</v>
      </c>
      <c r="I186" s="41">
        <f t="shared" si="159"/>
        <v>122</v>
      </c>
      <c r="L186" s="753">
        <v>1752</v>
      </c>
      <c r="M186" s="753">
        <v>0</v>
      </c>
      <c r="N186" s="753">
        <f t="shared" si="160"/>
        <v>1752</v>
      </c>
      <c r="O186" s="753">
        <f t="shared" si="161"/>
        <v>14.6</v>
      </c>
      <c r="P186" s="753">
        <f t="shared" si="162"/>
        <v>0</v>
      </c>
      <c r="Q186" s="753">
        <f t="shared" si="163"/>
        <v>0</v>
      </c>
      <c r="R186" s="753">
        <f t="shared" si="164"/>
        <v>0</v>
      </c>
      <c r="S186" s="764">
        <f>+'WP-10 - Disposal'!$P$46</f>
        <v>0.86738983940594916</v>
      </c>
      <c r="T186" s="753">
        <f t="shared" si="165"/>
        <v>0</v>
      </c>
      <c r="U186" s="753">
        <f t="shared" si="166"/>
        <v>1752</v>
      </c>
      <c r="V186" s="753">
        <f t="shared" si="167"/>
        <v>1519.666998639223</v>
      </c>
      <c r="W186" s="764">
        <v>1</v>
      </c>
      <c r="X186" s="753">
        <f t="shared" si="168"/>
        <v>1519.666998639223</v>
      </c>
      <c r="Y186" s="753">
        <f t="shared" si="169"/>
        <v>1519.666998639223</v>
      </c>
      <c r="Z186" s="753">
        <f t="shared" si="170"/>
        <v>0</v>
      </c>
      <c r="AA186" s="753">
        <f t="shared" si="171"/>
        <v>112</v>
      </c>
      <c r="AB186" s="753">
        <f t="shared" si="172"/>
        <v>123</v>
      </c>
      <c r="AC186" s="753">
        <f t="shared" si="173"/>
        <v>122</v>
      </c>
      <c r="AD186" s="753">
        <f t="shared" si="174"/>
        <v>122</v>
      </c>
      <c r="AE186" s="753">
        <f t="shared" si="175"/>
        <v>-8.3333333333333329E-2</v>
      </c>
      <c r="AF186" s="753">
        <f t="shared" si="176"/>
        <v>232.33300136077696</v>
      </c>
      <c r="AG186" s="753"/>
      <c r="AH186" s="753"/>
      <c r="AI186" s="753"/>
      <c r="AJ186" s="765"/>
      <c r="AK186" s="765"/>
    </row>
    <row r="187" spans="2:37">
      <c r="B187" s="41" t="s">
        <v>318</v>
      </c>
      <c r="C187" s="41">
        <v>2012</v>
      </c>
      <c r="D187" s="41">
        <v>112</v>
      </c>
      <c r="E187" s="41">
        <v>2</v>
      </c>
      <c r="F187" s="763">
        <v>0</v>
      </c>
      <c r="G187" s="756" t="s">
        <v>153</v>
      </c>
      <c r="H187" s="41">
        <v>10</v>
      </c>
      <c r="I187" s="41">
        <f t="shared" si="159"/>
        <v>122</v>
      </c>
      <c r="L187" s="753">
        <v>9480</v>
      </c>
      <c r="M187" s="753">
        <v>0</v>
      </c>
      <c r="N187" s="753">
        <f t="shared" si="160"/>
        <v>9480</v>
      </c>
      <c r="O187" s="753">
        <f t="shared" si="161"/>
        <v>79</v>
      </c>
      <c r="P187" s="753">
        <f t="shared" si="162"/>
        <v>78.999999999995509</v>
      </c>
      <c r="Q187" s="753">
        <f t="shared" si="163"/>
        <v>0</v>
      </c>
      <c r="R187" s="753">
        <f t="shared" si="164"/>
        <v>78.999999999995509</v>
      </c>
      <c r="S187" s="764">
        <f>+'WP-10 - Disposal'!$P$46</f>
        <v>0.86738983940594916</v>
      </c>
      <c r="T187" s="753">
        <f t="shared" si="165"/>
        <v>68.523797313066083</v>
      </c>
      <c r="U187" s="753">
        <f t="shared" si="166"/>
        <v>9401.0000000000036</v>
      </c>
      <c r="V187" s="753">
        <f t="shared" si="167"/>
        <v>8154.3318802553313</v>
      </c>
      <c r="W187" s="764">
        <v>1</v>
      </c>
      <c r="X187" s="753">
        <f t="shared" si="168"/>
        <v>8154.3318802553313</v>
      </c>
      <c r="Y187" s="753">
        <f t="shared" si="169"/>
        <v>8222.8556775683974</v>
      </c>
      <c r="Z187" s="753">
        <f t="shared" si="170"/>
        <v>0</v>
      </c>
      <c r="AA187" s="753">
        <f t="shared" si="171"/>
        <v>112.08333333333333</v>
      </c>
      <c r="AB187" s="753">
        <f t="shared" si="172"/>
        <v>123</v>
      </c>
      <c r="AC187" s="753">
        <f t="shared" si="173"/>
        <v>122.08333333333333</v>
      </c>
      <c r="AD187" s="753">
        <f t="shared" si="174"/>
        <v>122</v>
      </c>
      <c r="AE187" s="753">
        <f t="shared" si="175"/>
        <v>-8.3333333333333329E-2</v>
      </c>
      <c r="AF187" s="753">
        <f t="shared" si="176"/>
        <v>1291.4062210881357</v>
      </c>
      <c r="AG187" s="753"/>
      <c r="AH187" s="753"/>
      <c r="AI187" s="753"/>
      <c r="AJ187" s="765"/>
      <c r="AK187" s="765"/>
    </row>
    <row r="188" spans="2:37">
      <c r="B188" s="41" t="s">
        <v>319</v>
      </c>
      <c r="C188" s="41">
        <v>2012</v>
      </c>
      <c r="D188" s="41">
        <v>112</v>
      </c>
      <c r="E188" s="41">
        <v>9</v>
      </c>
      <c r="F188" s="763">
        <v>0</v>
      </c>
      <c r="G188" s="756" t="s">
        <v>153</v>
      </c>
      <c r="H188" s="41">
        <v>10</v>
      </c>
      <c r="I188" s="41">
        <f t="shared" si="159"/>
        <v>122</v>
      </c>
      <c r="L188" s="753">
        <v>5886.72</v>
      </c>
      <c r="M188" s="753">
        <v>0</v>
      </c>
      <c r="N188" s="753">
        <f t="shared" si="160"/>
        <v>5886.72</v>
      </c>
      <c r="O188" s="753">
        <f t="shared" si="161"/>
        <v>49.056000000000004</v>
      </c>
      <c r="P188" s="753">
        <f t="shared" si="162"/>
        <v>392.44800000000282</v>
      </c>
      <c r="Q188" s="753">
        <f t="shared" si="163"/>
        <v>0</v>
      </c>
      <c r="R188" s="753">
        <f t="shared" si="164"/>
        <v>392.44800000000282</v>
      </c>
      <c r="S188" s="764">
        <f>+'WP-10 - Disposal'!$P$46</f>
        <v>0.86738983940594916</v>
      </c>
      <c r="T188" s="753">
        <f t="shared" si="165"/>
        <v>340.40540769518839</v>
      </c>
      <c r="U188" s="753">
        <f t="shared" si="166"/>
        <v>5494.2719999999972</v>
      </c>
      <c r="V188" s="753">
        <f t="shared" si="167"/>
        <v>4765.675707732601</v>
      </c>
      <c r="W188" s="764">
        <v>1</v>
      </c>
      <c r="X188" s="753">
        <f t="shared" si="168"/>
        <v>4765.675707732601</v>
      </c>
      <c r="Y188" s="753">
        <f t="shared" si="169"/>
        <v>5106.081115427789</v>
      </c>
      <c r="Z188" s="753">
        <f t="shared" si="170"/>
        <v>0</v>
      </c>
      <c r="AA188" s="753">
        <f t="shared" si="171"/>
        <v>112.66666666666667</v>
      </c>
      <c r="AB188" s="753">
        <f t="shared" si="172"/>
        <v>123</v>
      </c>
      <c r="AC188" s="753">
        <f t="shared" si="173"/>
        <v>122.66666666666667</v>
      </c>
      <c r="AD188" s="753">
        <f t="shared" si="174"/>
        <v>122</v>
      </c>
      <c r="AE188" s="753">
        <f t="shared" si="175"/>
        <v>-8.3333333333333329E-2</v>
      </c>
      <c r="AF188" s="753">
        <f t="shared" si="176"/>
        <v>950.84158841980479</v>
      </c>
      <c r="AG188" s="753"/>
      <c r="AH188" s="753"/>
      <c r="AI188" s="753"/>
      <c r="AJ188" s="765"/>
      <c r="AK188" s="765"/>
    </row>
    <row r="189" spans="2:37">
      <c r="B189" s="41" t="s">
        <v>320</v>
      </c>
      <c r="C189" s="41">
        <v>2012</v>
      </c>
      <c r="D189" s="41">
        <v>112</v>
      </c>
      <c r="E189" s="41">
        <v>12</v>
      </c>
      <c r="F189" s="763">
        <v>0</v>
      </c>
      <c r="G189" s="756" t="s">
        <v>153</v>
      </c>
      <c r="H189" s="41">
        <v>10</v>
      </c>
      <c r="I189" s="41">
        <f t="shared" si="159"/>
        <v>122</v>
      </c>
      <c r="L189" s="753">
        <v>10184.59</v>
      </c>
      <c r="M189" s="753">
        <v>0</v>
      </c>
      <c r="N189" s="753">
        <f t="shared" si="160"/>
        <v>10184.59</v>
      </c>
      <c r="O189" s="753">
        <f t="shared" si="161"/>
        <v>84.871583333333334</v>
      </c>
      <c r="P189" s="753">
        <f t="shared" si="162"/>
        <v>933.58741666667152</v>
      </c>
      <c r="Q189" s="753">
        <f t="shared" si="163"/>
        <v>0</v>
      </c>
      <c r="R189" s="753">
        <f t="shared" si="164"/>
        <v>933.58741666667152</v>
      </c>
      <c r="S189" s="764">
        <f>+'WP-10 - Disposal'!$P$46</f>
        <v>0.86738983940594916</v>
      </c>
      <c r="T189" s="753">
        <f t="shared" si="165"/>
        <v>809.78423941391918</v>
      </c>
      <c r="U189" s="753">
        <f t="shared" si="166"/>
        <v>9251.0025833333293</v>
      </c>
      <c r="V189" s="753">
        <f t="shared" si="167"/>
        <v>8024.2256451015173</v>
      </c>
      <c r="W189" s="764">
        <v>1</v>
      </c>
      <c r="X189" s="753">
        <f t="shared" si="168"/>
        <v>8024.2256451015173</v>
      </c>
      <c r="Y189" s="753">
        <f t="shared" si="169"/>
        <v>8834.0098845154371</v>
      </c>
      <c r="Z189" s="753">
        <f t="shared" ref="Z189:Z220" si="177">IF(M189&gt;0,(L189-X189)/2,IF(AA189&gt;=AD189,(((L189*S189)*W189)-Y189),(+(((L189*S189)*W189)-Y189))))</f>
        <v>-1.8189894035458565E-12</v>
      </c>
      <c r="AA189" s="753">
        <f t="shared" si="171"/>
        <v>112.91666666666667</v>
      </c>
      <c r="AB189" s="753">
        <f t="shared" si="172"/>
        <v>123</v>
      </c>
      <c r="AC189" s="753">
        <f t="shared" si="173"/>
        <v>122.91666666666667</v>
      </c>
      <c r="AD189" s="753">
        <f t="shared" si="174"/>
        <v>122</v>
      </c>
      <c r="AE189" s="753">
        <f t="shared" si="175"/>
        <v>-8.3333333333333329E-2</v>
      </c>
      <c r="AF189" s="753">
        <f t="shared" si="176"/>
        <v>1755.4722351915243</v>
      </c>
      <c r="AG189" s="753"/>
      <c r="AH189" s="753"/>
      <c r="AI189" s="753"/>
      <c r="AJ189" s="765"/>
      <c r="AK189" s="765"/>
    </row>
    <row r="190" spans="2:37">
      <c r="B190" s="41" t="s">
        <v>321</v>
      </c>
      <c r="C190" s="41">
        <v>2013</v>
      </c>
      <c r="D190" s="41">
        <v>113</v>
      </c>
      <c r="E190" s="41">
        <v>5</v>
      </c>
      <c r="F190" s="763">
        <v>0</v>
      </c>
      <c r="G190" s="756" t="s">
        <v>153</v>
      </c>
      <c r="H190" s="41">
        <v>10</v>
      </c>
      <c r="I190" s="41">
        <f t="shared" si="159"/>
        <v>123</v>
      </c>
      <c r="L190" s="753">
        <v>7962.84</v>
      </c>
      <c r="M190" s="753"/>
      <c r="N190" s="753">
        <f t="shared" si="160"/>
        <v>7962.84</v>
      </c>
      <c r="O190" s="753">
        <f t="shared" si="161"/>
        <v>66.356999999999999</v>
      </c>
      <c r="P190" s="753">
        <f t="shared" si="162"/>
        <v>796.28399999999999</v>
      </c>
      <c r="Q190" s="753">
        <f t="shared" si="163"/>
        <v>0</v>
      </c>
      <c r="R190" s="753">
        <f>IF(Q190&gt;0,Q190,P190)</f>
        <v>796.28399999999999</v>
      </c>
      <c r="S190" s="764">
        <f>+'WP-10 - Disposal'!$P$46</f>
        <v>0.86738983940594916</v>
      </c>
      <c r="T190" s="753">
        <f>S190*SUM(P190:Q190)</f>
        <v>690.68865088152677</v>
      </c>
      <c r="U190" s="753">
        <f t="shared" si="166"/>
        <v>6901.1280000000033</v>
      </c>
      <c r="V190" s="753">
        <f>U190*S190</f>
        <v>5985.9683076399024</v>
      </c>
      <c r="W190" s="764">
        <v>1</v>
      </c>
      <c r="X190" s="753">
        <f>V190*W190</f>
        <v>5985.9683076399024</v>
      </c>
      <c r="Y190" s="753">
        <f>IF(M190&gt;0,0,X190+T190*W190)*W190</f>
        <v>6676.6569585214293</v>
      </c>
      <c r="Z190" s="753">
        <f t="shared" si="177"/>
        <v>230.22955029383866</v>
      </c>
      <c r="AA190" s="753">
        <f t="shared" si="171"/>
        <v>113.33333333333333</v>
      </c>
      <c r="AB190" s="753">
        <f t="shared" si="172"/>
        <v>123</v>
      </c>
      <c r="AC190" s="753">
        <f t="shared" si="173"/>
        <v>123.33333333333333</v>
      </c>
      <c r="AD190" s="753">
        <f t="shared" si="174"/>
        <v>122</v>
      </c>
      <c r="AE190" s="753">
        <f t="shared" si="175"/>
        <v>-8.3333333333333329E-2</v>
      </c>
      <c r="AF190" s="753">
        <f t="shared" si="176"/>
        <v>1401.2978166254952</v>
      </c>
      <c r="AG190" s="753"/>
      <c r="AH190" s="753"/>
      <c r="AI190" s="753"/>
      <c r="AJ190" s="765"/>
      <c r="AK190" s="765"/>
    </row>
    <row r="191" spans="2:37">
      <c r="B191" s="41" t="s">
        <v>321</v>
      </c>
      <c r="C191" s="41">
        <v>2013</v>
      </c>
      <c r="D191" s="41">
        <v>113</v>
      </c>
      <c r="E191" s="41">
        <v>7</v>
      </c>
      <c r="F191" s="763">
        <v>0</v>
      </c>
      <c r="G191" s="756" t="s">
        <v>153</v>
      </c>
      <c r="H191" s="41">
        <v>10</v>
      </c>
      <c r="I191" s="41">
        <f t="shared" si="159"/>
        <v>123</v>
      </c>
      <c r="L191" s="753">
        <v>7962.84</v>
      </c>
      <c r="M191" s="753">
        <v>0</v>
      </c>
      <c r="N191" s="753">
        <f t="shared" si="160"/>
        <v>7962.84</v>
      </c>
      <c r="O191" s="753">
        <f t="shared" si="161"/>
        <v>66.356999999999999</v>
      </c>
      <c r="P191" s="753">
        <f t="shared" si="162"/>
        <v>796.28399999999999</v>
      </c>
      <c r="Q191" s="753">
        <f t="shared" si="163"/>
        <v>0</v>
      </c>
      <c r="R191" s="753">
        <f t="shared" si="164"/>
        <v>796.28399999999999</v>
      </c>
      <c r="S191" s="764">
        <f>+'WP-10 - Disposal'!$P$46</f>
        <v>0.86738983940594916</v>
      </c>
      <c r="T191" s="753">
        <f t="shared" si="165"/>
        <v>690.68865088152677</v>
      </c>
      <c r="U191" s="753">
        <f t="shared" si="166"/>
        <v>6768.4139999999998</v>
      </c>
      <c r="V191" s="753">
        <f t="shared" si="167"/>
        <v>5870.853532492978</v>
      </c>
      <c r="W191" s="764">
        <v>1</v>
      </c>
      <c r="X191" s="753">
        <f t="shared" si="168"/>
        <v>5870.853532492978</v>
      </c>
      <c r="Y191" s="753">
        <f t="shared" si="169"/>
        <v>6561.5421833745049</v>
      </c>
      <c r="Z191" s="753">
        <f t="shared" si="177"/>
        <v>345.34432544076299</v>
      </c>
      <c r="AA191" s="753">
        <f t="shared" si="171"/>
        <v>113.5</v>
      </c>
      <c r="AB191" s="753">
        <f t="shared" si="172"/>
        <v>123</v>
      </c>
      <c r="AC191" s="753">
        <f t="shared" si="173"/>
        <v>123.5</v>
      </c>
      <c r="AD191" s="753">
        <f t="shared" si="174"/>
        <v>122</v>
      </c>
      <c r="AE191" s="753">
        <f t="shared" si="175"/>
        <v>-8.3333333333333329E-2</v>
      </c>
      <c r="AF191" s="753">
        <f t="shared" si="176"/>
        <v>1401.2978166254961</v>
      </c>
      <c r="AG191" s="753"/>
      <c r="AH191" s="753"/>
      <c r="AI191" s="753"/>
      <c r="AJ191" s="765"/>
      <c r="AK191" s="765"/>
    </row>
    <row r="192" spans="2:37">
      <c r="B192" s="41" t="s">
        <v>322</v>
      </c>
      <c r="C192" s="41">
        <v>2013</v>
      </c>
      <c r="D192" s="41">
        <v>113</v>
      </c>
      <c r="E192" s="41">
        <v>9</v>
      </c>
      <c r="F192" s="763">
        <v>0</v>
      </c>
      <c r="G192" s="756" t="s">
        <v>153</v>
      </c>
      <c r="H192" s="41">
        <v>10</v>
      </c>
      <c r="I192" s="41">
        <f t="shared" si="159"/>
        <v>123</v>
      </c>
      <c r="L192" s="753">
        <v>2540.4</v>
      </c>
      <c r="M192" s="753">
        <v>0</v>
      </c>
      <c r="N192" s="753">
        <f t="shared" si="160"/>
        <v>2540.4</v>
      </c>
      <c r="O192" s="753">
        <f t="shared" si="161"/>
        <v>21.17</v>
      </c>
      <c r="P192" s="753">
        <f t="shared" si="162"/>
        <v>254.04000000000002</v>
      </c>
      <c r="Q192" s="753">
        <f t="shared" si="163"/>
        <v>0</v>
      </c>
      <c r="R192" s="753">
        <f t="shared" si="164"/>
        <v>254.04000000000002</v>
      </c>
      <c r="S192" s="764">
        <f>+'WP-10 - Disposal'!$P$46</f>
        <v>0.86738983940594916</v>
      </c>
      <c r="T192" s="753">
        <f t="shared" si="165"/>
        <v>220.35171480268735</v>
      </c>
      <c r="U192" s="753">
        <f t="shared" si="166"/>
        <v>2116.9999999999991</v>
      </c>
      <c r="V192" s="753">
        <f t="shared" si="167"/>
        <v>1836.2642900223937</v>
      </c>
      <c r="W192" s="764">
        <v>1</v>
      </c>
      <c r="X192" s="753">
        <f t="shared" si="168"/>
        <v>1836.2642900223937</v>
      </c>
      <c r="Y192" s="753">
        <f t="shared" si="169"/>
        <v>2056.6160048250808</v>
      </c>
      <c r="Z192" s="753">
        <f t="shared" si="177"/>
        <v>146.90114320179237</v>
      </c>
      <c r="AA192" s="753">
        <f t="shared" si="171"/>
        <v>113.66666666666667</v>
      </c>
      <c r="AB192" s="753">
        <f t="shared" si="172"/>
        <v>123</v>
      </c>
      <c r="AC192" s="753">
        <f t="shared" si="173"/>
        <v>123.66666666666667</v>
      </c>
      <c r="AD192" s="753">
        <f t="shared" si="174"/>
        <v>122</v>
      </c>
      <c r="AE192" s="753">
        <f t="shared" si="175"/>
        <v>-8.3333333333333329E-2</v>
      </c>
      <c r="AF192" s="753">
        <f t="shared" si="176"/>
        <v>447.05870937447048</v>
      </c>
      <c r="AG192" s="753"/>
      <c r="AH192" s="753"/>
      <c r="AI192" s="753"/>
      <c r="AJ192" s="765"/>
      <c r="AK192" s="765"/>
    </row>
    <row r="193" spans="2:37">
      <c r="B193" s="41" t="s">
        <v>323</v>
      </c>
      <c r="C193" s="41">
        <v>2013</v>
      </c>
      <c r="D193" s="41">
        <v>113</v>
      </c>
      <c r="E193" s="41">
        <v>11</v>
      </c>
      <c r="F193" s="763">
        <v>0</v>
      </c>
      <c r="G193" s="756" t="s">
        <v>153</v>
      </c>
      <c r="H193" s="41">
        <v>10</v>
      </c>
      <c r="I193" s="41">
        <f t="shared" si="159"/>
        <v>123</v>
      </c>
      <c r="L193" s="753">
        <v>7962.84</v>
      </c>
      <c r="M193" s="753">
        <v>0</v>
      </c>
      <c r="N193" s="753">
        <f t="shared" si="160"/>
        <v>7962.84</v>
      </c>
      <c r="O193" s="753">
        <f t="shared" si="161"/>
        <v>66.356999999999999</v>
      </c>
      <c r="P193" s="753">
        <f t="shared" si="162"/>
        <v>796.28399999999999</v>
      </c>
      <c r="Q193" s="753">
        <f t="shared" si="163"/>
        <v>0</v>
      </c>
      <c r="R193" s="753">
        <f t="shared" si="164"/>
        <v>796.28399999999999</v>
      </c>
      <c r="S193" s="764">
        <f>+'WP-10 - Disposal'!$P$46</f>
        <v>0.86738983940594916</v>
      </c>
      <c r="T193" s="753">
        <f t="shared" si="165"/>
        <v>690.68865088152677</v>
      </c>
      <c r="U193" s="753">
        <f t="shared" si="166"/>
        <v>6502.9860000000035</v>
      </c>
      <c r="V193" s="753">
        <f t="shared" si="167"/>
        <v>5640.6239821991385</v>
      </c>
      <c r="W193" s="764">
        <v>1</v>
      </c>
      <c r="X193" s="753">
        <f t="shared" si="168"/>
        <v>5640.6239821991385</v>
      </c>
      <c r="Y193" s="753">
        <f t="shared" si="169"/>
        <v>6331.3126330806654</v>
      </c>
      <c r="Z193" s="753">
        <f t="shared" si="177"/>
        <v>575.57387573460255</v>
      </c>
      <c r="AA193" s="753">
        <f t="shared" si="171"/>
        <v>113.83333333333333</v>
      </c>
      <c r="AB193" s="753">
        <f t="shared" si="172"/>
        <v>123</v>
      </c>
      <c r="AC193" s="753">
        <f t="shared" si="173"/>
        <v>123.83333333333333</v>
      </c>
      <c r="AD193" s="753">
        <f t="shared" si="174"/>
        <v>122</v>
      </c>
      <c r="AE193" s="753">
        <f t="shared" si="175"/>
        <v>-8.3333333333333329E-2</v>
      </c>
      <c r="AF193" s="753">
        <f t="shared" si="176"/>
        <v>1401.2978166254961</v>
      </c>
      <c r="AG193" s="753"/>
      <c r="AH193" s="753"/>
      <c r="AI193" s="753"/>
      <c r="AJ193" s="765"/>
      <c r="AK193" s="765"/>
    </row>
    <row r="194" spans="2:37">
      <c r="B194" s="41" t="s">
        <v>324</v>
      </c>
      <c r="C194" s="41">
        <v>2014</v>
      </c>
      <c r="D194" s="41">
        <v>114</v>
      </c>
      <c r="E194" s="41">
        <v>9</v>
      </c>
      <c r="F194" s="763">
        <v>0</v>
      </c>
      <c r="G194" s="756" t="s">
        <v>153</v>
      </c>
      <c r="H194" s="41">
        <v>10</v>
      </c>
      <c r="I194" s="41">
        <f t="shared" si="159"/>
        <v>124</v>
      </c>
      <c r="L194" s="753">
        <v>10763.85</v>
      </c>
      <c r="M194" s="753">
        <v>0</v>
      </c>
      <c r="N194" s="753">
        <f t="shared" si="160"/>
        <v>10763.85</v>
      </c>
      <c r="O194" s="753">
        <f t="shared" si="161"/>
        <v>89.698750000000004</v>
      </c>
      <c r="P194" s="753">
        <f t="shared" si="162"/>
        <v>1076.385</v>
      </c>
      <c r="Q194" s="753">
        <f t="shared" si="163"/>
        <v>0</v>
      </c>
      <c r="R194" s="753">
        <f t="shared" si="164"/>
        <v>1076.385</v>
      </c>
      <c r="S194" s="764">
        <f>+'WP-10 - Disposal'!$P$46</f>
        <v>0.86738983940594916</v>
      </c>
      <c r="T194" s="753">
        <f t="shared" si="165"/>
        <v>933.64541228897258</v>
      </c>
      <c r="U194" s="753">
        <f t="shared" si="166"/>
        <v>7893.4899999999952</v>
      </c>
      <c r="V194" s="753">
        <f t="shared" si="167"/>
        <v>6846.7330234524616</v>
      </c>
      <c r="W194" s="764">
        <v>1</v>
      </c>
      <c r="X194" s="753">
        <f t="shared" si="168"/>
        <v>6846.7330234524616</v>
      </c>
      <c r="Y194" s="753">
        <f t="shared" si="169"/>
        <v>7780.3784357414343</v>
      </c>
      <c r="Z194" s="753">
        <f t="shared" si="177"/>
        <v>1556.0756871482927</v>
      </c>
      <c r="AA194" s="753">
        <f t="shared" si="171"/>
        <v>114.66666666666667</v>
      </c>
      <c r="AB194" s="753">
        <f t="shared" si="172"/>
        <v>123</v>
      </c>
      <c r="AC194" s="753">
        <f t="shared" si="173"/>
        <v>124.66666666666667</v>
      </c>
      <c r="AD194" s="753">
        <f t="shared" si="174"/>
        <v>122</v>
      </c>
      <c r="AE194" s="753">
        <f t="shared" si="175"/>
        <v>-8.3333333333333329E-2</v>
      </c>
      <c r="AF194" s="753">
        <f t="shared" si="176"/>
        <v>1894.2185832547593</v>
      </c>
      <c r="AG194" s="753"/>
      <c r="AH194" s="753"/>
      <c r="AI194" s="753"/>
      <c r="AJ194" s="765"/>
      <c r="AK194" s="765"/>
    </row>
    <row r="195" spans="2:37">
      <c r="B195" s="41" t="s">
        <v>325</v>
      </c>
      <c r="C195" s="41">
        <v>2015</v>
      </c>
      <c r="D195" s="41">
        <v>115</v>
      </c>
      <c r="E195" s="41">
        <v>5</v>
      </c>
      <c r="F195" s="763">
        <v>0</v>
      </c>
      <c r="G195" s="756" t="s">
        <v>153</v>
      </c>
      <c r="H195" s="41">
        <v>10</v>
      </c>
      <c r="I195" s="41">
        <f t="shared" si="159"/>
        <v>125</v>
      </c>
      <c r="L195" s="753">
        <v>33178.120000000003</v>
      </c>
      <c r="M195" s="753">
        <v>0</v>
      </c>
      <c r="N195" s="753">
        <f t="shared" si="160"/>
        <v>33178.120000000003</v>
      </c>
      <c r="O195" s="753">
        <f t="shared" si="161"/>
        <v>276.48433333333338</v>
      </c>
      <c r="P195" s="753">
        <f t="shared" si="162"/>
        <v>3317.8120000000008</v>
      </c>
      <c r="Q195" s="753">
        <f t="shared" si="163"/>
        <v>0</v>
      </c>
      <c r="R195" s="753">
        <f t="shared" si="164"/>
        <v>3317.8120000000008</v>
      </c>
      <c r="S195" s="764">
        <f>+'WP-10 - Disposal'!$P$46</f>
        <v>0.86738983940594916</v>
      </c>
      <c r="T195" s="753">
        <f t="shared" si="165"/>
        <v>2877.8364178591319</v>
      </c>
      <c r="U195" s="753">
        <f t="shared" si="166"/>
        <v>22118.746666666688</v>
      </c>
      <c r="V195" s="753">
        <f t="shared" si="167"/>
        <v>19185.57611906089</v>
      </c>
      <c r="W195" s="764">
        <v>1</v>
      </c>
      <c r="X195" s="753">
        <f t="shared" si="168"/>
        <v>19185.57611906089</v>
      </c>
      <c r="Y195" s="753">
        <f t="shared" si="169"/>
        <v>22063.412536920023</v>
      </c>
      <c r="Z195" s="753">
        <f t="shared" si="177"/>
        <v>6714.9516416712904</v>
      </c>
      <c r="AA195" s="753">
        <f t="shared" si="171"/>
        <v>115.33333333333333</v>
      </c>
      <c r="AB195" s="753">
        <f t="shared" si="172"/>
        <v>123</v>
      </c>
      <c r="AC195" s="753">
        <f t="shared" si="173"/>
        <v>125.33333333333333</v>
      </c>
      <c r="AD195" s="753">
        <f t="shared" si="174"/>
        <v>122</v>
      </c>
      <c r="AE195" s="753">
        <f t="shared" si="175"/>
        <v>-8.3333333333333329E-2</v>
      </c>
      <c r="AF195" s="753">
        <f t="shared" si="176"/>
        <v>5838.6740303382576</v>
      </c>
      <c r="AG195" s="753"/>
      <c r="AH195" s="753"/>
      <c r="AI195" s="753"/>
      <c r="AJ195" s="765"/>
      <c r="AK195" s="765"/>
    </row>
    <row r="196" spans="2:37">
      <c r="B196" s="41" t="s">
        <v>326</v>
      </c>
      <c r="C196" s="41">
        <v>2015</v>
      </c>
      <c r="D196" s="41">
        <v>115</v>
      </c>
      <c r="E196" s="41">
        <v>10</v>
      </c>
      <c r="F196" s="763">
        <v>0</v>
      </c>
      <c r="G196" s="756" t="s">
        <v>153</v>
      </c>
      <c r="H196" s="41">
        <v>10</v>
      </c>
      <c r="I196" s="41">
        <f t="shared" si="159"/>
        <v>125</v>
      </c>
      <c r="L196" s="753">
        <v>8351.52</v>
      </c>
      <c r="M196" s="753">
        <v>0</v>
      </c>
      <c r="N196" s="753">
        <f t="shared" si="160"/>
        <v>8351.52</v>
      </c>
      <c r="O196" s="753">
        <f t="shared" si="161"/>
        <v>69.596000000000004</v>
      </c>
      <c r="P196" s="753">
        <f t="shared" si="162"/>
        <v>835.15200000000004</v>
      </c>
      <c r="Q196" s="753">
        <f t="shared" si="163"/>
        <v>0</v>
      </c>
      <c r="R196" s="753">
        <f t="shared" si="164"/>
        <v>835.15200000000004</v>
      </c>
      <c r="S196" s="764">
        <f>+'WP-10 - Disposal'!$P$46</f>
        <v>0.86738983940594916</v>
      </c>
      <c r="T196" s="753">
        <f t="shared" si="165"/>
        <v>724.40235915955725</v>
      </c>
      <c r="U196" s="753">
        <f t="shared" si="166"/>
        <v>5219.7000000000007</v>
      </c>
      <c r="V196" s="753">
        <f t="shared" si="167"/>
        <v>4527.5147447472336</v>
      </c>
      <c r="W196" s="764">
        <v>1</v>
      </c>
      <c r="X196" s="753">
        <f t="shared" si="168"/>
        <v>4527.5147447472336</v>
      </c>
      <c r="Y196" s="753">
        <f t="shared" si="169"/>
        <v>5251.9171039067905</v>
      </c>
      <c r="Z196" s="753">
        <f t="shared" si="177"/>
        <v>1992.1064876887822</v>
      </c>
      <c r="AA196" s="753">
        <f t="shared" si="171"/>
        <v>115.75</v>
      </c>
      <c r="AB196" s="753">
        <f t="shared" si="172"/>
        <v>123</v>
      </c>
      <c r="AC196" s="753">
        <f t="shared" si="173"/>
        <v>125.75</v>
      </c>
      <c r="AD196" s="753">
        <f t="shared" si="174"/>
        <v>122</v>
      </c>
      <c r="AE196" s="753">
        <f t="shared" si="175"/>
        <v>-8.3333333333333329E-2</v>
      </c>
      <c r="AF196" s="753">
        <f t="shared" si="176"/>
        <v>1469.6975879842057</v>
      </c>
      <c r="AG196" s="753"/>
      <c r="AH196" s="753"/>
      <c r="AI196" s="753"/>
      <c r="AJ196" s="765"/>
      <c r="AK196" s="765"/>
    </row>
    <row r="197" spans="2:37">
      <c r="B197" s="41" t="s">
        <v>327</v>
      </c>
      <c r="C197" s="41">
        <v>2015</v>
      </c>
      <c r="D197" s="41">
        <v>115</v>
      </c>
      <c r="E197" s="41">
        <v>12</v>
      </c>
      <c r="F197" s="763">
        <v>0</v>
      </c>
      <c r="G197" s="756" t="s">
        <v>153</v>
      </c>
      <c r="H197" s="41">
        <v>10</v>
      </c>
      <c r="I197" s="41">
        <f t="shared" si="159"/>
        <v>125</v>
      </c>
      <c r="L197" s="753">
        <v>6751.36</v>
      </c>
      <c r="M197" s="753">
        <v>0</v>
      </c>
      <c r="N197" s="753">
        <f t="shared" si="160"/>
        <v>6751.36</v>
      </c>
      <c r="O197" s="753">
        <f t="shared" si="161"/>
        <v>56.261333333333333</v>
      </c>
      <c r="P197" s="753">
        <f t="shared" si="162"/>
        <v>675.13599999999997</v>
      </c>
      <c r="Q197" s="753">
        <f t="shared" si="163"/>
        <v>0</v>
      </c>
      <c r="R197" s="753">
        <f t="shared" si="164"/>
        <v>675.13599999999997</v>
      </c>
      <c r="S197" s="764">
        <f>+'WP-10 - Disposal'!$P$46</f>
        <v>0.86738983940594916</v>
      </c>
      <c r="T197" s="753">
        <f t="shared" si="165"/>
        <v>585.60610661717487</v>
      </c>
      <c r="U197" s="753">
        <f t="shared" si="166"/>
        <v>4107.07733333333</v>
      </c>
      <c r="V197" s="753">
        <f t="shared" si="167"/>
        <v>3562.437148587811</v>
      </c>
      <c r="W197" s="764">
        <v>1</v>
      </c>
      <c r="X197" s="753">
        <f t="shared" si="168"/>
        <v>3562.437148587811</v>
      </c>
      <c r="Y197" s="753">
        <f t="shared" si="169"/>
        <v>4148.0432552049861</v>
      </c>
      <c r="Z197" s="753">
        <f t="shared" si="177"/>
        <v>1708.0178109667622</v>
      </c>
      <c r="AA197" s="753">
        <f t="shared" si="171"/>
        <v>115.91666666666667</v>
      </c>
      <c r="AB197" s="753">
        <f t="shared" si="172"/>
        <v>123</v>
      </c>
      <c r="AC197" s="753">
        <f t="shared" si="173"/>
        <v>125.91666666666667</v>
      </c>
      <c r="AD197" s="753">
        <f t="shared" si="174"/>
        <v>122</v>
      </c>
      <c r="AE197" s="753">
        <f t="shared" si="175"/>
        <v>-8.3333333333333329E-2</v>
      </c>
      <c r="AF197" s="753">
        <f t="shared" si="176"/>
        <v>1188.1019871368389</v>
      </c>
      <c r="AG197" s="753"/>
      <c r="AH197" s="753"/>
      <c r="AI197" s="753"/>
      <c r="AJ197" s="765"/>
      <c r="AK197" s="765"/>
    </row>
    <row r="198" spans="2:37">
      <c r="B198" s="41" t="s">
        <v>803</v>
      </c>
      <c r="C198" s="41">
        <v>2016</v>
      </c>
      <c r="D198" s="41">
        <v>116</v>
      </c>
      <c r="E198" s="41">
        <v>4</v>
      </c>
      <c r="F198" s="763">
        <v>0</v>
      </c>
      <c r="G198" s="756" t="s">
        <v>153</v>
      </c>
      <c r="H198" s="41">
        <v>10</v>
      </c>
      <c r="I198" s="41">
        <f t="shared" si="159"/>
        <v>126</v>
      </c>
      <c r="L198" s="753">
        <v>24695.68</v>
      </c>
      <c r="M198" s="753">
        <v>0</v>
      </c>
      <c r="N198" s="753">
        <f t="shared" si="160"/>
        <v>24695.68</v>
      </c>
      <c r="O198" s="753">
        <f t="shared" si="161"/>
        <v>205.79733333333334</v>
      </c>
      <c r="P198" s="753">
        <f t="shared" si="162"/>
        <v>2469.5680000000002</v>
      </c>
      <c r="Q198" s="753">
        <f t="shared" si="163"/>
        <v>0</v>
      </c>
      <c r="R198" s="753">
        <f t="shared" si="164"/>
        <v>2469.5680000000002</v>
      </c>
      <c r="S198" s="764">
        <f>+'WP-10 - Disposal'!$P$46</f>
        <v>0.86738983940594916</v>
      </c>
      <c r="T198" s="753">
        <f>S198*SUM(P198:Q198)</f>
        <v>2142.0781909220714</v>
      </c>
      <c r="U198" s="753">
        <f t="shared" si="166"/>
        <v>14200.016000000001</v>
      </c>
      <c r="V198" s="753">
        <f>U198*S198</f>
        <v>12316.949597801909</v>
      </c>
      <c r="W198" s="764">
        <v>1</v>
      </c>
      <c r="X198" s="753">
        <f>V198*W198</f>
        <v>12316.949597801909</v>
      </c>
      <c r="Y198" s="753">
        <f>IF(M198&gt;0,0,X198+T198*W198)*W198</f>
        <v>14459.027788723981</v>
      </c>
      <c r="Z198" s="753">
        <f t="shared" si="177"/>
        <v>6961.7541204967292</v>
      </c>
      <c r="AA198" s="753">
        <f t="shared" si="171"/>
        <v>116.25</v>
      </c>
      <c r="AB198" s="753">
        <f t="shared" si="172"/>
        <v>123</v>
      </c>
      <c r="AC198" s="753">
        <f t="shared" si="173"/>
        <v>126.25</v>
      </c>
      <c r="AD198" s="753">
        <f t="shared" si="174"/>
        <v>122</v>
      </c>
      <c r="AE198" s="753">
        <f t="shared" si="175"/>
        <v>-8.3333333333333329E-2</v>
      </c>
      <c r="AF198" s="753">
        <f t="shared" si="176"/>
        <v>4345.9371862403259</v>
      </c>
      <c r="AG198" s="753"/>
      <c r="AH198" s="753"/>
      <c r="AI198" s="753"/>
      <c r="AJ198" s="765"/>
      <c r="AK198" s="765"/>
    </row>
    <row r="199" spans="2:37">
      <c r="B199" s="41" t="s">
        <v>804</v>
      </c>
      <c r="C199" s="41">
        <v>2016</v>
      </c>
      <c r="D199" s="41">
        <v>116</v>
      </c>
      <c r="E199" s="41">
        <v>11</v>
      </c>
      <c r="F199" s="763">
        <v>0</v>
      </c>
      <c r="G199" s="756" t="s">
        <v>153</v>
      </c>
      <c r="H199" s="41">
        <v>10</v>
      </c>
      <c r="I199" s="41">
        <f t="shared" si="159"/>
        <v>126</v>
      </c>
      <c r="L199" s="753">
        <v>8755.9500000000007</v>
      </c>
      <c r="M199" s="753">
        <v>0</v>
      </c>
      <c r="N199" s="753">
        <f t="shared" si="160"/>
        <v>8755.9500000000007</v>
      </c>
      <c r="O199" s="753">
        <f t="shared" si="161"/>
        <v>72.966250000000002</v>
      </c>
      <c r="P199" s="753">
        <f t="shared" si="162"/>
        <v>875.59500000000003</v>
      </c>
      <c r="Q199" s="753">
        <f t="shared" si="163"/>
        <v>0</v>
      </c>
      <c r="R199" s="753">
        <f t="shared" si="164"/>
        <v>875.59500000000003</v>
      </c>
      <c r="S199" s="764">
        <f>+'WP-10 - Disposal'!$P$46</f>
        <v>0.86738983940594916</v>
      </c>
      <c r="T199" s="753">
        <f>S199*SUM(P199:Q199)</f>
        <v>759.48220643465208</v>
      </c>
      <c r="U199" s="753">
        <f t="shared" si="166"/>
        <v>4523.9075000000039</v>
      </c>
      <c r="V199" s="753">
        <f>U199*S199</f>
        <v>3923.9913999123723</v>
      </c>
      <c r="W199" s="764">
        <v>1</v>
      </c>
      <c r="X199" s="753">
        <f>V199*W199</f>
        <v>3923.9913999123723</v>
      </c>
      <c r="Y199" s="753">
        <f>IF(M199&gt;0,0,X199+T199*W199)*W199</f>
        <v>4683.4736063470245</v>
      </c>
      <c r="Z199" s="753">
        <f t="shared" si="177"/>
        <v>2911.3484579994965</v>
      </c>
      <c r="AA199" s="753">
        <f t="shared" si="171"/>
        <v>116.83333333333333</v>
      </c>
      <c r="AB199" s="753">
        <f t="shared" si="172"/>
        <v>123</v>
      </c>
      <c r="AC199" s="753">
        <f t="shared" si="173"/>
        <v>126.83333333333333</v>
      </c>
      <c r="AD199" s="753">
        <f t="shared" si="174"/>
        <v>122</v>
      </c>
      <c r="AE199" s="753">
        <f t="shared" si="175"/>
        <v>-8.3333333333333329E-2</v>
      </c>
      <c r="AF199" s="753">
        <f t="shared" si="176"/>
        <v>1540.8690388708055</v>
      </c>
      <c r="AG199" s="753"/>
      <c r="AH199" s="753"/>
      <c r="AI199" s="753"/>
      <c r="AJ199" s="765"/>
      <c r="AK199" s="765"/>
    </row>
    <row r="200" spans="2:37">
      <c r="B200" s="41" t="s">
        <v>805</v>
      </c>
      <c r="C200" s="41">
        <v>2016</v>
      </c>
      <c r="D200" s="41">
        <v>116</v>
      </c>
      <c r="E200" s="41">
        <v>12</v>
      </c>
      <c r="F200" s="763">
        <v>0</v>
      </c>
      <c r="G200" s="756" t="s">
        <v>153</v>
      </c>
      <c r="H200" s="41">
        <v>10</v>
      </c>
      <c r="I200" s="41">
        <f t="shared" si="159"/>
        <v>126</v>
      </c>
      <c r="L200" s="753">
        <v>17511.89</v>
      </c>
      <c r="M200" s="753">
        <v>0</v>
      </c>
      <c r="N200" s="753">
        <f t="shared" si="160"/>
        <v>17511.89</v>
      </c>
      <c r="O200" s="753">
        <f t="shared" si="161"/>
        <v>145.93241666666665</v>
      </c>
      <c r="P200" s="753">
        <f t="shared" si="162"/>
        <v>1751.1889999999999</v>
      </c>
      <c r="Q200" s="753">
        <f t="shared" si="163"/>
        <v>0</v>
      </c>
      <c r="R200" s="753">
        <f t="shared" si="164"/>
        <v>1751.1889999999999</v>
      </c>
      <c r="S200" s="764">
        <f>+'WP-10 - Disposal'!$P$46</f>
        <v>0.86738983940594916</v>
      </c>
      <c r="T200" s="753">
        <f>S200*SUM(P200:Q200)</f>
        <v>1518.9635454794645</v>
      </c>
      <c r="U200" s="753">
        <f t="shared" si="166"/>
        <v>8901.8774166666572</v>
      </c>
      <c r="V200" s="753">
        <f>U200*S200</f>
        <v>7721.3980228539376</v>
      </c>
      <c r="W200" s="764">
        <v>1</v>
      </c>
      <c r="X200" s="753">
        <f>V200*W200</f>
        <v>7721.3980228539376</v>
      </c>
      <c r="Y200" s="753">
        <f>IF(M200&gt;0,0,X200+T200*W200)*W200</f>
        <v>9240.3615683334028</v>
      </c>
      <c r="Z200" s="753">
        <f t="shared" si="177"/>
        <v>5949.2738864612438</v>
      </c>
      <c r="AA200" s="753">
        <f t="shared" si="171"/>
        <v>116.91666666666667</v>
      </c>
      <c r="AB200" s="753">
        <f t="shared" si="172"/>
        <v>123</v>
      </c>
      <c r="AC200" s="753">
        <f t="shared" si="173"/>
        <v>126.91666666666667</v>
      </c>
      <c r="AD200" s="753">
        <f t="shared" si="174"/>
        <v>122</v>
      </c>
      <c r="AE200" s="753">
        <f t="shared" si="175"/>
        <v>-8.3333333333333329E-2</v>
      </c>
      <c r="AF200" s="753">
        <f t="shared" si="176"/>
        <v>3081.7363179450858</v>
      </c>
      <c r="AG200" s="753"/>
      <c r="AH200" s="753"/>
      <c r="AI200" s="753"/>
      <c r="AJ200" s="765"/>
      <c r="AK200" s="765"/>
    </row>
    <row r="201" spans="2:37">
      <c r="B201" s="41" t="s">
        <v>806</v>
      </c>
      <c r="C201" s="41">
        <v>2017</v>
      </c>
      <c r="D201" s="41">
        <v>117</v>
      </c>
      <c r="E201" s="41">
        <v>2</v>
      </c>
      <c r="F201" s="763">
        <v>0</v>
      </c>
      <c r="G201" s="756" t="s">
        <v>153</v>
      </c>
      <c r="H201" s="41">
        <v>10</v>
      </c>
      <c r="I201" s="41">
        <f t="shared" ref="I201:I232" si="178">D201+H201</f>
        <v>127</v>
      </c>
      <c r="L201" s="753">
        <v>8351.52</v>
      </c>
      <c r="M201" s="753">
        <v>0</v>
      </c>
      <c r="N201" s="753">
        <f t="shared" ref="N201:N217" si="179">L201-(+L201*F201)</f>
        <v>8351.52</v>
      </c>
      <c r="O201" s="753">
        <f t="shared" ref="O201:O217" si="180">(+N201/H201)/12</f>
        <v>69.596000000000004</v>
      </c>
      <c r="P201" s="753">
        <f t="shared" ref="P201:P232" si="181">IF(Q201&gt;0,0,IF(OR(AA201&gt;AB201,AC201&lt;AD201),0,IF(AND(AC201&gt;=AD201,AC201&lt;=AB201),O201*((AC201-AD201)*12),IF(AND(AD201&lt;=AA201,AB201&gt;=AA201),((AB201-AA201)*12)*O201,IF(AC201&gt;AB201,12*O201,0)))))</f>
        <v>835.15200000000004</v>
      </c>
      <c r="Q201" s="753">
        <f t="shared" ref="Q201:Q232" si="182">IF(M201=0,0,IF(AND(AE201&gt;=AD201,AE201&lt;=AC201),((AE201-AD201)*12)*O201,0))</f>
        <v>0</v>
      </c>
      <c r="R201" s="753">
        <f t="shared" si="164"/>
        <v>835.15200000000004</v>
      </c>
      <c r="S201" s="764">
        <f>+'WP-10 - Disposal'!$P$46</f>
        <v>0.86738983940594916</v>
      </c>
      <c r="T201" s="753">
        <f t="shared" ref="T201:T217" si="183">S201*SUM(P201:Q201)</f>
        <v>724.40235915955725</v>
      </c>
      <c r="U201" s="753">
        <f t="shared" ref="U201:U232" si="184">IF(AA201&gt;AB201,0,IF(AC201&lt;AD201,L201,IF(AND(AC201&gt;=AD201,AC201&lt;=AB201),(L201-R201),IF(AND(AD201&lt;=AA201,AB201&gt;=AA201),0,IF(AC201&gt;AB201,((AD201-AA201)*12)*O201,0)))))</f>
        <v>4106.1640000000043</v>
      </c>
      <c r="V201" s="753">
        <f t="shared" ref="V201:V217" si="185">U201*S201</f>
        <v>3561.6449325344934</v>
      </c>
      <c r="W201" s="764">
        <v>1</v>
      </c>
      <c r="X201" s="753">
        <f t="shared" ref="X201:X217" si="186">V201*W201</f>
        <v>3561.6449325344934</v>
      </c>
      <c r="Y201" s="753">
        <f t="shared" ref="Y201:Y217" si="187">IF(M201&gt;0,0,X201+T201*W201)*W201</f>
        <v>4286.0472916940507</v>
      </c>
      <c r="Z201" s="753">
        <f t="shared" si="177"/>
        <v>2957.976299901522</v>
      </c>
      <c r="AA201" s="753">
        <f t="shared" si="171"/>
        <v>117.08333333333333</v>
      </c>
      <c r="AB201" s="753">
        <f t="shared" si="172"/>
        <v>123</v>
      </c>
      <c r="AC201" s="753">
        <f t="shared" ref="AC201:AC249" si="188">$I201+(($E201-1)/12)</f>
        <v>127.08333333333333</v>
      </c>
      <c r="AD201" s="753">
        <f t="shared" si="174"/>
        <v>122</v>
      </c>
      <c r="AE201" s="753">
        <f t="shared" si="175"/>
        <v>-8.3333333333333329E-2</v>
      </c>
      <c r="AF201" s="753">
        <f t="shared" ref="AF201:AF232" si="189">L201-((X201+Y201)/2)-Z201</f>
        <v>1469.6975879842066</v>
      </c>
      <c r="AG201" s="753"/>
      <c r="AH201" s="753"/>
      <c r="AI201" s="753"/>
      <c r="AJ201" s="765"/>
      <c r="AK201" s="765"/>
    </row>
    <row r="202" spans="2:37">
      <c r="B202" s="41" t="s">
        <v>807</v>
      </c>
      <c r="C202" s="41">
        <v>2017</v>
      </c>
      <c r="D202" s="41">
        <v>117</v>
      </c>
      <c r="E202" s="41">
        <v>3</v>
      </c>
      <c r="F202" s="763">
        <v>0</v>
      </c>
      <c r="G202" s="756" t="s">
        <v>153</v>
      </c>
      <c r="H202" s="41">
        <v>10</v>
      </c>
      <c r="I202" s="41">
        <f t="shared" si="178"/>
        <v>127</v>
      </c>
      <c r="L202" s="753">
        <v>17511.89</v>
      </c>
      <c r="M202" s="753">
        <v>0</v>
      </c>
      <c r="N202" s="753">
        <f t="shared" si="179"/>
        <v>17511.89</v>
      </c>
      <c r="O202" s="753">
        <f t="shared" si="180"/>
        <v>145.93241666666665</v>
      </c>
      <c r="P202" s="753">
        <f t="shared" si="181"/>
        <v>1751.1889999999999</v>
      </c>
      <c r="Q202" s="753">
        <f t="shared" si="182"/>
        <v>0</v>
      </c>
      <c r="R202" s="753">
        <f t="shared" si="164"/>
        <v>1751.1889999999999</v>
      </c>
      <c r="S202" s="764">
        <f>+'WP-10 - Disposal'!$P$46</f>
        <v>0.86738983940594916</v>
      </c>
      <c r="T202" s="753">
        <f t="shared" si="183"/>
        <v>1518.9635454794645</v>
      </c>
      <c r="U202" s="753">
        <f t="shared" si="184"/>
        <v>8464.0801666666575</v>
      </c>
      <c r="V202" s="753">
        <f t="shared" si="185"/>
        <v>7341.6571364840711</v>
      </c>
      <c r="W202" s="764">
        <v>1</v>
      </c>
      <c r="X202" s="753">
        <f t="shared" si="186"/>
        <v>7341.6571364840711</v>
      </c>
      <c r="Y202" s="753">
        <f t="shared" si="187"/>
        <v>8860.6206819635354</v>
      </c>
      <c r="Z202" s="753">
        <f t="shared" si="177"/>
        <v>6329.0147728311113</v>
      </c>
      <c r="AA202" s="753">
        <f t="shared" si="171"/>
        <v>117.16666666666667</v>
      </c>
      <c r="AB202" s="753">
        <f t="shared" si="172"/>
        <v>123</v>
      </c>
      <c r="AC202" s="753">
        <f t="shared" si="188"/>
        <v>127.16666666666667</v>
      </c>
      <c r="AD202" s="753">
        <f t="shared" si="174"/>
        <v>122</v>
      </c>
      <c r="AE202" s="753">
        <f t="shared" si="175"/>
        <v>-8.3333333333333329E-2</v>
      </c>
      <c r="AF202" s="753">
        <f t="shared" si="189"/>
        <v>3081.7363179450858</v>
      </c>
      <c r="AG202" s="753"/>
      <c r="AH202" s="753"/>
      <c r="AI202" s="753"/>
      <c r="AJ202" s="765"/>
      <c r="AK202" s="765"/>
    </row>
    <row r="203" spans="2:37">
      <c r="B203" s="41" t="s">
        <v>808</v>
      </c>
      <c r="C203" s="41">
        <v>2017</v>
      </c>
      <c r="D203" s="41">
        <v>117</v>
      </c>
      <c r="E203" s="41">
        <v>3</v>
      </c>
      <c r="F203" s="763">
        <v>0</v>
      </c>
      <c r="G203" s="756" t="s">
        <v>153</v>
      </c>
      <c r="H203" s="41">
        <v>10</v>
      </c>
      <c r="I203" s="41">
        <f t="shared" si="178"/>
        <v>127</v>
      </c>
      <c r="L203" s="753">
        <v>14712.7</v>
      </c>
      <c r="M203" s="753">
        <v>0</v>
      </c>
      <c r="N203" s="753">
        <f t="shared" si="179"/>
        <v>14712.7</v>
      </c>
      <c r="O203" s="753">
        <f t="shared" si="180"/>
        <v>122.60583333333334</v>
      </c>
      <c r="P203" s="753">
        <f t="shared" si="181"/>
        <v>1471.27</v>
      </c>
      <c r="Q203" s="753">
        <f t="shared" si="182"/>
        <v>0</v>
      </c>
      <c r="R203" s="753">
        <f t="shared" si="164"/>
        <v>1471.27</v>
      </c>
      <c r="S203" s="764">
        <f>+'WP-10 - Disposal'!$P$46</f>
        <v>0.86738983940594916</v>
      </c>
      <c r="T203" s="753">
        <f t="shared" si="183"/>
        <v>1276.1646490227909</v>
      </c>
      <c r="U203" s="753">
        <f t="shared" si="184"/>
        <v>7111.138333333327</v>
      </c>
      <c r="V203" s="753">
        <f t="shared" si="185"/>
        <v>6168.129136943483</v>
      </c>
      <c r="W203" s="764">
        <v>1</v>
      </c>
      <c r="X203" s="753">
        <f t="shared" si="186"/>
        <v>6168.129136943483</v>
      </c>
      <c r="Y203" s="753">
        <f t="shared" si="187"/>
        <v>7444.2937859662743</v>
      </c>
      <c r="Z203" s="753">
        <f t="shared" si="177"/>
        <v>5317.3527042616352</v>
      </c>
      <c r="AA203" s="753">
        <f t="shared" si="171"/>
        <v>117.16666666666667</v>
      </c>
      <c r="AB203" s="753">
        <f t="shared" si="172"/>
        <v>123</v>
      </c>
      <c r="AC203" s="753">
        <f t="shared" si="188"/>
        <v>127.16666666666667</v>
      </c>
      <c r="AD203" s="753">
        <f t="shared" si="174"/>
        <v>122</v>
      </c>
      <c r="AE203" s="753">
        <f t="shared" si="175"/>
        <v>-8.3333333333333329E-2</v>
      </c>
      <c r="AF203" s="753">
        <f t="shared" si="189"/>
        <v>2589.1358342834865</v>
      </c>
      <c r="AG203" s="753"/>
      <c r="AH203" s="753"/>
      <c r="AI203" s="753"/>
      <c r="AJ203" s="765"/>
      <c r="AK203" s="765"/>
    </row>
    <row r="204" spans="2:37">
      <c r="B204" s="41" t="s">
        <v>809</v>
      </c>
      <c r="C204" s="41">
        <v>2017</v>
      </c>
      <c r="D204" s="41">
        <v>117</v>
      </c>
      <c r="E204" s="41">
        <v>3</v>
      </c>
      <c r="F204" s="763">
        <v>0</v>
      </c>
      <c r="G204" s="756" t="s">
        <v>153</v>
      </c>
      <c r="H204" s="41">
        <v>10</v>
      </c>
      <c r="I204" s="41">
        <f t="shared" si="178"/>
        <v>127</v>
      </c>
      <c r="L204" s="753">
        <v>7356.35</v>
      </c>
      <c r="M204" s="753">
        <v>0</v>
      </c>
      <c r="N204" s="753">
        <f t="shared" si="179"/>
        <v>7356.35</v>
      </c>
      <c r="O204" s="753">
        <f t="shared" si="180"/>
        <v>61.302916666666668</v>
      </c>
      <c r="P204" s="753">
        <f t="shared" si="181"/>
        <v>735.63499999999999</v>
      </c>
      <c r="Q204" s="753">
        <f t="shared" si="182"/>
        <v>0</v>
      </c>
      <c r="R204" s="753">
        <f t="shared" si="164"/>
        <v>735.63499999999999</v>
      </c>
      <c r="S204" s="764">
        <f>+'WP-10 - Disposal'!$P$46</f>
        <v>0.86738983940594916</v>
      </c>
      <c r="T204" s="753">
        <f t="shared" si="183"/>
        <v>638.08232451139543</v>
      </c>
      <c r="U204" s="753">
        <f t="shared" si="184"/>
        <v>3555.5691666666635</v>
      </c>
      <c r="V204" s="753">
        <f t="shared" si="185"/>
        <v>3084.0645684717415</v>
      </c>
      <c r="W204" s="764">
        <v>1</v>
      </c>
      <c r="X204" s="753">
        <f t="shared" si="186"/>
        <v>3084.0645684717415</v>
      </c>
      <c r="Y204" s="753">
        <f t="shared" si="187"/>
        <v>3722.1468929831371</v>
      </c>
      <c r="Z204" s="753">
        <f t="shared" si="177"/>
        <v>2658.6763521308176</v>
      </c>
      <c r="AA204" s="753">
        <f t="shared" si="171"/>
        <v>117.16666666666667</v>
      </c>
      <c r="AB204" s="753">
        <f t="shared" si="172"/>
        <v>123</v>
      </c>
      <c r="AC204" s="753">
        <f t="shared" si="188"/>
        <v>127.16666666666667</v>
      </c>
      <c r="AD204" s="753">
        <f t="shared" si="174"/>
        <v>122</v>
      </c>
      <c r="AE204" s="753">
        <f t="shared" si="175"/>
        <v>-8.3333333333333329E-2</v>
      </c>
      <c r="AF204" s="753">
        <f t="shared" si="189"/>
        <v>1294.5679171417432</v>
      </c>
      <c r="AG204" s="753"/>
      <c r="AH204" s="753"/>
      <c r="AI204" s="753"/>
      <c r="AJ204" s="765"/>
      <c r="AK204" s="765"/>
    </row>
    <row r="205" spans="2:37">
      <c r="B205" s="41" t="s">
        <v>810</v>
      </c>
      <c r="C205" s="41">
        <v>2017</v>
      </c>
      <c r="D205" s="41">
        <v>117</v>
      </c>
      <c r="E205" s="41">
        <v>3</v>
      </c>
      <c r="F205" s="763">
        <v>0</v>
      </c>
      <c r="G205" s="756" t="s">
        <v>153</v>
      </c>
      <c r="H205" s="41">
        <v>10</v>
      </c>
      <c r="I205" s="41">
        <f t="shared" si="178"/>
        <v>127</v>
      </c>
      <c r="L205" s="753">
        <v>7065.5</v>
      </c>
      <c r="M205" s="753">
        <v>0</v>
      </c>
      <c r="N205" s="753">
        <f t="shared" si="179"/>
        <v>7065.5</v>
      </c>
      <c r="O205" s="753">
        <f t="shared" si="180"/>
        <v>58.879166666666663</v>
      </c>
      <c r="P205" s="753">
        <f t="shared" si="181"/>
        <v>706.55</v>
      </c>
      <c r="Q205" s="753">
        <f t="shared" si="182"/>
        <v>0</v>
      </c>
      <c r="R205" s="753">
        <f t="shared" si="164"/>
        <v>706.55</v>
      </c>
      <c r="S205" s="764">
        <f>+'WP-10 - Disposal'!$P$46</f>
        <v>0.86738983940594916</v>
      </c>
      <c r="T205" s="753">
        <f t="shared" si="183"/>
        <v>612.8542910322733</v>
      </c>
      <c r="U205" s="753">
        <f t="shared" si="184"/>
        <v>3414.9916666666631</v>
      </c>
      <c r="V205" s="753">
        <f t="shared" si="185"/>
        <v>2962.1290733226515</v>
      </c>
      <c r="W205" s="764">
        <v>1</v>
      </c>
      <c r="X205" s="753">
        <f t="shared" si="186"/>
        <v>2962.1290733226515</v>
      </c>
      <c r="Y205" s="753">
        <f t="shared" si="187"/>
        <v>3574.9833643549246</v>
      </c>
      <c r="Z205" s="753">
        <f t="shared" si="177"/>
        <v>2553.5595459678088</v>
      </c>
      <c r="AA205" s="753">
        <f t="shared" si="171"/>
        <v>117.16666666666667</v>
      </c>
      <c r="AB205" s="753">
        <f t="shared" si="172"/>
        <v>123</v>
      </c>
      <c r="AC205" s="753">
        <f t="shared" si="188"/>
        <v>127.16666666666667</v>
      </c>
      <c r="AD205" s="753">
        <f t="shared" si="174"/>
        <v>122</v>
      </c>
      <c r="AE205" s="753">
        <f t="shared" si="175"/>
        <v>-8.3333333333333329E-2</v>
      </c>
      <c r="AF205" s="753">
        <f t="shared" si="189"/>
        <v>1243.3842351934031</v>
      </c>
      <c r="AG205" s="753"/>
      <c r="AH205" s="753"/>
      <c r="AI205" s="753"/>
      <c r="AJ205" s="765"/>
      <c r="AK205" s="765"/>
    </row>
    <row r="206" spans="2:37">
      <c r="B206" s="41" t="s">
        <v>811</v>
      </c>
      <c r="C206" s="41">
        <v>2017</v>
      </c>
      <c r="D206" s="41">
        <v>117</v>
      </c>
      <c r="E206" s="41">
        <v>6</v>
      </c>
      <c r="F206" s="763">
        <v>0</v>
      </c>
      <c r="G206" s="756" t="s">
        <v>153</v>
      </c>
      <c r="H206" s="41">
        <v>10</v>
      </c>
      <c r="I206" s="41">
        <f t="shared" si="178"/>
        <v>127</v>
      </c>
      <c r="L206" s="753">
        <v>27305.9</v>
      </c>
      <c r="M206" s="753">
        <v>0</v>
      </c>
      <c r="N206" s="753">
        <f t="shared" si="179"/>
        <v>27305.9</v>
      </c>
      <c r="O206" s="753">
        <f t="shared" si="180"/>
        <v>227.54916666666668</v>
      </c>
      <c r="P206" s="753">
        <f t="shared" si="181"/>
        <v>2730.59</v>
      </c>
      <c r="Q206" s="753">
        <f t="shared" si="182"/>
        <v>0</v>
      </c>
      <c r="R206" s="753">
        <f t="shared" si="164"/>
        <v>2730.59</v>
      </c>
      <c r="S206" s="764">
        <f>+'WP-10 - Disposal'!$P$46</f>
        <v>0.86738983940594916</v>
      </c>
      <c r="T206" s="753">
        <f t="shared" si="183"/>
        <v>2368.486021583491</v>
      </c>
      <c r="U206" s="753">
        <f t="shared" si="184"/>
        <v>12515.204166666654</v>
      </c>
      <c r="V206" s="753">
        <f t="shared" si="185"/>
        <v>10855.560932257655</v>
      </c>
      <c r="W206" s="764">
        <v>1</v>
      </c>
      <c r="X206" s="753">
        <f t="shared" si="186"/>
        <v>10855.560932257655</v>
      </c>
      <c r="Y206" s="753">
        <f t="shared" si="187"/>
        <v>13224.046953841145</v>
      </c>
      <c r="Z206" s="753">
        <f t="shared" si="177"/>
        <v>10460.813261993764</v>
      </c>
      <c r="AA206" s="753">
        <f t="shared" si="171"/>
        <v>117.41666666666667</v>
      </c>
      <c r="AB206" s="753">
        <f t="shared" si="172"/>
        <v>123</v>
      </c>
      <c r="AC206" s="753">
        <f t="shared" si="188"/>
        <v>127.41666666666667</v>
      </c>
      <c r="AD206" s="753">
        <f t="shared" si="174"/>
        <v>122</v>
      </c>
      <c r="AE206" s="753">
        <f t="shared" si="175"/>
        <v>-8.3333333333333329E-2</v>
      </c>
      <c r="AF206" s="753">
        <f t="shared" si="189"/>
        <v>4805.2827949568382</v>
      </c>
      <c r="AG206" s="753"/>
      <c r="AH206" s="753"/>
      <c r="AI206" s="753"/>
      <c r="AJ206" s="765"/>
      <c r="AK206" s="765"/>
    </row>
    <row r="207" spans="2:37">
      <c r="B207" s="41" t="s">
        <v>812</v>
      </c>
      <c r="C207" s="41">
        <v>2017</v>
      </c>
      <c r="D207" s="41">
        <v>117</v>
      </c>
      <c r="E207" s="41">
        <v>6</v>
      </c>
      <c r="F207" s="763">
        <v>0</v>
      </c>
      <c r="G207" s="756" t="s">
        <v>153</v>
      </c>
      <c r="H207" s="41">
        <v>10</v>
      </c>
      <c r="I207" s="41">
        <f t="shared" si="178"/>
        <v>127</v>
      </c>
      <c r="L207" s="753">
        <v>29687.37</v>
      </c>
      <c r="M207" s="753">
        <v>0</v>
      </c>
      <c r="N207" s="753">
        <f t="shared" si="179"/>
        <v>29687.37</v>
      </c>
      <c r="O207" s="753">
        <f t="shared" si="180"/>
        <v>247.39475000000002</v>
      </c>
      <c r="P207" s="753">
        <f t="shared" si="181"/>
        <v>2968.7370000000001</v>
      </c>
      <c r="Q207" s="753">
        <f t="shared" si="182"/>
        <v>0</v>
      </c>
      <c r="R207" s="753">
        <f t="shared" si="164"/>
        <v>2968.7370000000001</v>
      </c>
      <c r="S207" s="764">
        <f>+'WP-10 - Disposal'!$P$46</f>
        <v>0.86738983940594916</v>
      </c>
      <c r="T207" s="753">
        <f t="shared" si="183"/>
        <v>2575.0523096684992</v>
      </c>
      <c r="U207" s="753">
        <f t="shared" si="184"/>
        <v>13606.711249999988</v>
      </c>
      <c r="V207" s="753">
        <f t="shared" si="185"/>
        <v>11802.323085980612</v>
      </c>
      <c r="W207" s="764">
        <v>1</v>
      </c>
      <c r="X207" s="753">
        <f t="shared" si="186"/>
        <v>11802.323085980612</v>
      </c>
      <c r="Y207" s="753">
        <f t="shared" si="187"/>
        <v>14377.375395649111</v>
      </c>
      <c r="Z207" s="753">
        <f t="shared" si="177"/>
        <v>11373.147701035881</v>
      </c>
      <c r="AA207" s="753">
        <f t="shared" si="171"/>
        <v>117.41666666666667</v>
      </c>
      <c r="AB207" s="753">
        <f t="shared" si="172"/>
        <v>123</v>
      </c>
      <c r="AC207" s="753">
        <f t="shared" si="188"/>
        <v>127.41666666666667</v>
      </c>
      <c r="AD207" s="753">
        <f t="shared" si="174"/>
        <v>122</v>
      </c>
      <c r="AE207" s="753">
        <f t="shared" si="175"/>
        <v>-8.3333333333333329E-2</v>
      </c>
      <c r="AF207" s="753">
        <f t="shared" si="189"/>
        <v>5224.3730581492546</v>
      </c>
      <c r="AG207" s="753"/>
      <c r="AH207" s="753"/>
      <c r="AI207" s="753"/>
      <c r="AJ207" s="765"/>
      <c r="AK207" s="765"/>
    </row>
    <row r="208" spans="2:37">
      <c r="B208" s="41" t="s">
        <v>813</v>
      </c>
      <c r="C208" s="41">
        <v>2017</v>
      </c>
      <c r="D208" s="41">
        <v>117</v>
      </c>
      <c r="E208" s="41">
        <v>6</v>
      </c>
      <c r="F208" s="763">
        <v>0</v>
      </c>
      <c r="G208" s="756" t="s">
        <v>153</v>
      </c>
      <c r="H208" s="41">
        <v>10</v>
      </c>
      <c r="I208" s="41">
        <f t="shared" si="178"/>
        <v>127</v>
      </c>
      <c r="L208" s="753">
        <v>8389.6200000000008</v>
      </c>
      <c r="M208" s="753">
        <v>0</v>
      </c>
      <c r="N208" s="753">
        <f t="shared" si="179"/>
        <v>8389.6200000000008</v>
      </c>
      <c r="O208" s="753">
        <f t="shared" si="180"/>
        <v>69.913500000000013</v>
      </c>
      <c r="P208" s="753">
        <f t="shared" si="181"/>
        <v>838.96200000000022</v>
      </c>
      <c r="Q208" s="753">
        <f t="shared" si="182"/>
        <v>0</v>
      </c>
      <c r="R208" s="753">
        <f t="shared" si="164"/>
        <v>838.96200000000022</v>
      </c>
      <c r="S208" s="764">
        <f>+'WP-10 - Disposal'!$P$46</f>
        <v>0.86738983940594916</v>
      </c>
      <c r="T208" s="753">
        <f t="shared" si="183"/>
        <v>727.70711444769415</v>
      </c>
      <c r="U208" s="753">
        <f t="shared" si="184"/>
        <v>3845.2424999999967</v>
      </c>
      <c r="V208" s="753">
        <f t="shared" si="185"/>
        <v>3335.3242745519274</v>
      </c>
      <c r="W208" s="764">
        <v>1</v>
      </c>
      <c r="X208" s="753">
        <f t="shared" si="186"/>
        <v>3335.3242745519274</v>
      </c>
      <c r="Y208" s="753">
        <f t="shared" si="187"/>
        <v>4063.0313889996214</v>
      </c>
      <c r="Z208" s="753">
        <f t="shared" si="177"/>
        <v>3214.0397554773181</v>
      </c>
      <c r="AA208" s="753">
        <f t="shared" si="171"/>
        <v>117.41666666666667</v>
      </c>
      <c r="AB208" s="753">
        <f t="shared" si="172"/>
        <v>123</v>
      </c>
      <c r="AC208" s="753">
        <f t="shared" si="188"/>
        <v>127.41666666666667</v>
      </c>
      <c r="AD208" s="753">
        <f t="shared" si="174"/>
        <v>122</v>
      </c>
      <c r="AE208" s="753">
        <f t="shared" si="175"/>
        <v>-8.3333333333333329E-2</v>
      </c>
      <c r="AF208" s="753">
        <f t="shared" si="189"/>
        <v>1476.4024127469083</v>
      </c>
      <c r="AG208" s="753"/>
      <c r="AH208" s="753"/>
      <c r="AI208" s="753"/>
      <c r="AJ208" s="765"/>
      <c r="AK208" s="765"/>
    </row>
    <row r="209" spans="2:37">
      <c r="B209" s="41" t="s">
        <v>814</v>
      </c>
      <c r="C209" s="41">
        <v>2017</v>
      </c>
      <c r="D209" s="41">
        <v>117</v>
      </c>
      <c r="E209" s="41">
        <v>10</v>
      </c>
      <c r="F209" s="763">
        <v>0</v>
      </c>
      <c r="G209" s="756" t="s">
        <v>153</v>
      </c>
      <c r="H209" s="41">
        <v>10</v>
      </c>
      <c r="I209" s="41">
        <f t="shared" si="178"/>
        <v>127</v>
      </c>
      <c r="L209" s="753">
        <v>16911.36</v>
      </c>
      <c r="M209" s="753">
        <v>0</v>
      </c>
      <c r="N209" s="753">
        <f t="shared" si="179"/>
        <v>16911.36</v>
      </c>
      <c r="O209" s="753">
        <f t="shared" si="180"/>
        <v>140.928</v>
      </c>
      <c r="P209" s="753">
        <f t="shared" si="181"/>
        <v>1691.136</v>
      </c>
      <c r="Q209" s="753">
        <f t="shared" si="182"/>
        <v>0</v>
      </c>
      <c r="R209" s="753">
        <f t="shared" si="164"/>
        <v>1691.136</v>
      </c>
      <c r="S209" s="764">
        <f>+'WP-10 - Disposal'!$P$46</f>
        <v>0.86738983940594916</v>
      </c>
      <c r="T209" s="753">
        <f t="shared" si="183"/>
        <v>1466.8741834536193</v>
      </c>
      <c r="U209" s="753">
        <f t="shared" si="184"/>
        <v>7187.3279999999995</v>
      </c>
      <c r="V209" s="753">
        <f t="shared" si="185"/>
        <v>6234.215279677881</v>
      </c>
      <c r="W209" s="764">
        <v>1</v>
      </c>
      <c r="X209" s="753">
        <f t="shared" si="186"/>
        <v>6234.215279677881</v>
      </c>
      <c r="Y209" s="753">
        <f t="shared" si="187"/>
        <v>7701.0894631315005</v>
      </c>
      <c r="Z209" s="753">
        <f t="shared" si="177"/>
        <v>6967.6523714046925</v>
      </c>
      <c r="AA209" s="753">
        <f t="shared" si="171"/>
        <v>117.75</v>
      </c>
      <c r="AB209" s="753">
        <f t="shared" si="172"/>
        <v>123</v>
      </c>
      <c r="AC209" s="753">
        <f t="shared" si="188"/>
        <v>127.75</v>
      </c>
      <c r="AD209" s="753">
        <f t="shared" si="174"/>
        <v>122</v>
      </c>
      <c r="AE209" s="753">
        <f t="shared" si="175"/>
        <v>-8.3333333333333329E-2</v>
      </c>
      <c r="AF209" s="753">
        <f t="shared" si="189"/>
        <v>2976.0552571906173</v>
      </c>
      <c r="AG209" s="753"/>
      <c r="AH209" s="753"/>
      <c r="AI209" s="753"/>
      <c r="AJ209" s="765"/>
      <c r="AK209" s="765"/>
    </row>
    <row r="210" spans="2:37">
      <c r="B210" s="41" t="s">
        <v>814</v>
      </c>
      <c r="C210" s="41">
        <v>2017</v>
      </c>
      <c r="D210" s="41">
        <v>117</v>
      </c>
      <c r="E210" s="41">
        <v>12</v>
      </c>
      <c r="F210" s="763">
        <v>0</v>
      </c>
      <c r="G210" s="756" t="s">
        <v>153</v>
      </c>
      <c r="H210" s="41">
        <v>10</v>
      </c>
      <c r="I210" s="41">
        <f t="shared" si="178"/>
        <v>127</v>
      </c>
      <c r="L210" s="753">
        <v>17043.48</v>
      </c>
      <c r="M210" s="753">
        <v>0</v>
      </c>
      <c r="N210" s="753">
        <f t="shared" si="179"/>
        <v>17043.48</v>
      </c>
      <c r="O210" s="753">
        <f t="shared" si="180"/>
        <v>142.029</v>
      </c>
      <c r="P210" s="753">
        <f t="shared" si="181"/>
        <v>1704.348</v>
      </c>
      <c r="Q210" s="753">
        <f t="shared" si="182"/>
        <v>0</v>
      </c>
      <c r="R210" s="753">
        <f t="shared" si="164"/>
        <v>1704.348</v>
      </c>
      <c r="S210" s="764">
        <f>+'WP-10 - Disposal'!$P$46</f>
        <v>0.86738983940594916</v>
      </c>
      <c r="T210" s="753">
        <f t="shared" si="183"/>
        <v>1478.3341380118507</v>
      </c>
      <c r="U210" s="753">
        <f t="shared" si="184"/>
        <v>6959.4209999999921</v>
      </c>
      <c r="V210" s="753">
        <f t="shared" si="185"/>
        <v>6036.5310635483829</v>
      </c>
      <c r="W210" s="764">
        <v>1</v>
      </c>
      <c r="X210" s="753">
        <f t="shared" si="186"/>
        <v>6036.5310635483829</v>
      </c>
      <c r="Y210" s="753">
        <f t="shared" si="187"/>
        <v>7514.8652015602338</v>
      </c>
      <c r="Z210" s="753">
        <f t="shared" si="177"/>
        <v>7268.4761785582714</v>
      </c>
      <c r="AA210" s="753">
        <f t="shared" si="171"/>
        <v>117.91666666666667</v>
      </c>
      <c r="AB210" s="753">
        <f t="shared" si="172"/>
        <v>123</v>
      </c>
      <c r="AC210" s="753">
        <f t="shared" si="188"/>
        <v>127.91666666666667</v>
      </c>
      <c r="AD210" s="753">
        <f t="shared" si="174"/>
        <v>122</v>
      </c>
      <c r="AE210" s="753">
        <f t="shared" si="175"/>
        <v>-8.3333333333333329E-2</v>
      </c>
      <c r="AF210" s="753">
        <f t="shared" si="189"/>
        <v>2999.3056888874189</v>
      </c>
      <c r="AG210" s="753"/>
      <c r="AH210" s="753"/>
      <c r="AI210" s="753"/>
      <c r="AJ210" s="765"/>
      <c r="AK210" s="765"/>
    </row>
    <row r="211" spans="2:37">
      <c r="B211" s="41" t="s">
        <v>815</v>
      </c>
      <c r="C211" s="41">
        <v>2018</v>
      </c>
      <c r="D211" s="41">
        <v>118</v>
      </c>
      <c r="E211" s="41">
        <v>5</v>
      </c>
      <c r="F211" s="763">
        <v>0</v>
      </c>
      <c r="G211" s="756" t="s">
        <v>153</v>
      </c>
      <c r="H211" s="41">
        <v>10</v>
      </c>
      <c r="I211" s="41">
        <f t="shared" si="178"/>
        <v>128</v>
      </c>
      <c r="L211" s="753">
        <v>20214.36</v>
      </c>
      <c r="M211" s="753">
        <v>0</v>
      </c>
      <c r="N211" s="753">
        <f t="shared" si="179"/>
        <v>20214.36</v>
      </c>
      <c r="O211" s="753">
        <f t="shared" si="180"/>
        <v>168.453</v>
      </c>
      <c r="P211" s="753">
        <f t="shared" si="181"/>
        <v>2021.4360000000001</v>
      </c>
      <c r="Q211" s="753">
        <f t="shared" si="182"/>
        <v>0</v>
      </c>
      <c r="R211" s="753">
        <f t="shared" si="164"/>
        <v>2021.4360000000001</v>
      </c>
      <c r="S211" s="764">
        <f>+'WP-10 - Disposal'!$P$46</f>
        <v>0.86738983940594916</v>
      </c>
      <c r="T211" s="753">
        <f t="shared" si="183"/>
        <v>1753.3730474094043</v>
      </c>
      <c r="U211" s="753">
        <f t="shared" si="184"/>
        <v>7411.9320000000098</v>
      </c>
      <c r="V211" s="753">
        <f t="shared" si="185"/>
        <v>6429.0345071678239</v>
      </c>
      <c r="W211" s="764">
        <v>1</v>
      </c>
      <c r="X211" s="753">
        <f t="shared" si="186"/>
        <v>6429.0345071678239</v>
      </c>
      <c r="Y211" s="753">
        <f t="shared" si="187"/>
        <v>8182.4075545772284</v>
      </c>
      <c r="Z211" s="753">
        <f t="shared" si="177"/>
        <v>9351.3229195168133</v>
      </c>
      <c r="AA211" s="753">
        <f t="shared" si="171"/>
        <v>118.33333333333333</v>
      </c>
      <c r="AB211" s="753">
        <f t="shared" si="172"/>
        <v>123</v>
      </c>
      <c r="AC211" s="753">
        <f t="shared" si="188"/>
        <v>128.33333333333334</v>
      </c>
      <c r="AD211" s="753">
        <f t="shared" si="174"/>
        <v>122</v>
      </c>
      <c r="AE211" s="753">
        <f t="shared" si="175"/>
        <v>-8.3333333333333329E-2</v>
      </c>
      <c r="AF211" s="753">
        <f t="shared" si="189"/>
        <v>3557.3160496106611</v>
      </c>
      <c r="AG211" s="753"/>
      <c r="AH211" s="753"/>
      <c r="AI211" s="753"/>
      <c r="AJ211" s="765"/>
      <c r="AK211" s="765"/>
    </row>
    <row r="212" spans="2:37">
      <c r="B212" s="41" t="s">
        <v>816</v>
      </c>
      <c r="C212" s="41">
        <v>2018</v>
      </c>
      <c r="D212" s="41">
        <v>118</v>
      </c>
      <c r="E212" s="41">
        <v>9</v>
      </c>
      <c r="F212" s="763">
        <v>0</v>
      </c>
      <c r="G212" s="756" t="s">
        <v>153</v>
      </c>
      <c r="H212" s="41">
        <v>10</v>
      </c>
      <c r="I212" s="41">
        <f t="shared" si="178"/>
        <v>128</v>
      </c>
      <c r="L212" s="753">
        <v>21416.65</v>
      </c>
      <c r="M212" s="753">
        <v>0</v>
      </c>
      <c r="N212" s="753">
        <f t="shared" si="179"/>
        <v>21416.65</v>
      </c>
      <c r="O212" s="753">
        <f t="shared" si="180"/>
        <v>178.47208333333333</v>
      </c>
      <c r="P212" s="753">
        <f t="shared" si="181"/>
        <v>2141.665</v>
      </c>
      <c r="Q212" s="753">
        <f t="shared" si="182"/>
        <v>0</v>
      </c>
      <c r="R212" s="753">
        <f t="shared" si="164"/>
        <v>2141.665</v>
      </c>
      <c r="S212" s="764">
        <f>+'WP-10 - Disposal'!$P$46</f>
        <v>0.86738983940594916</v>
      </c>
      <c r="T212" s="753">
        <f t="shared" si="183"/>
        <v>1857.658460411342</v>
      </c>
      <c r="U212" s="753">
        <f t="shared" si="184"/>
        <v>7138.8833333333232</v>
      </c>
      <c r="V212" s="753">
        <f t="shared" si="185"/>
        <v>6192.1948680377982</v>
      </c>
      <c r="W212" s="764">
        <v>1</v>
      </c>
      <c r="X212" s="753">
        <f t="shared" si="186"/>
        <v>6192.1948680377982</v>
      </c>
      <c r="Y212" s="753">
        <f t="shared" si="187"/>
        <v>8049.8533284491405</v>
      </c>
      <c r="Z212" s="753">
        <f t="shared" si="177"/>
        <v>10526.73127566428</v>
      </c>
      <c r="AA212" s="753">
        <f t="shared" si="171"/>
        <v>118.66666666666667</v>
      </c>
      <c r="AB212" s="753">
        <f t="shared" si="172"/>
        <v>123</v>
      </c>
      <c r="AC212" s="753">
        <f t="shared" si="188"/>
        <v>128.66666666666666</v>
      </c>
      <c r="AD212" s="753">
        <f t="shared" si="174"/>
        <v>122</v>
      </c>
      <c r="AE212" s="753">
        <f t="shared" si="175"/>
        <v>-8.3333333333333329E-2</v>
      </c>
      <c r="AF212" s="753">
        <f t="shared" si="189"/>
        <v>3768.8946260922512</v>
      </c>
      <c r="AG212" s="753"/>
      <c r="AH212" s="753"/>
      <c r="AI212" s="753"/>
      <c r="AJ212" s="765"/>
      <c r="AK212" s="765"/>
    </row>
    <row r="213" spans="2:37">
      <c r="B213" s="41" t="s">
        <v>817</v>
      </c>
      <c r="C213" s="41">
        <v>2018</v>
      </c>
      <c r="D213" s="41">
        <v>118</v>
      </c>
      <c r="E213" s="41">
        <v>10</v>
      </c>
      <c r="F213" s="763">
        <v>0</v>
      </c>
      <c r="G213" s="756" t="s">
        <v>153</v>
      </c>
      <c r="H213" s="41">
        <v>10</v>
      </c>
      <c r="I213" s="41">
        <f t="shared" si="178"/>
        <v>128</v>
      </c>
      <c r="L213" s="753">
        <v>9539.06</v>
      </c>
      <c r="M213" s="753">
        <v>0</v>
      </c>
      <c r="N213" s="753">
        <f t="shared" si="179"/>
        <v>9539.06</v>
      </c>
      <c r="O213" s="753">
        <f t="shared" si="180"/>
        <v>79.492166666666662</v>
      </c>
      <c r="P213" s="753">
        <f t="shared" si="181"/>
        <v>953.90599999999995</v>
      </c>
      <c r="Q213" s="753">
        <f t="shared" si="182"/>
        <v>0</v>
      </c>
      <c r="R213" s="753">
        <f t="shared" si="164"/>
        <v>953.90599999999995</v>
      </c>
      <c r="S213" s="764">
        <f>+'WP-10 - Disposal'!$P$46</f>
        <v>0.86738983940594916</v>
      </c>
      <c r="T213" s="753">
        <f t="shared" si="183"/>
        <v>827.40837214837131</v>
      </c>
      <c r="U213" s="753">
        <f t="shared" si="184"/>
        <v>3100.1944999999996</v>
      </c>
      <c r="V213" s="753">
        <f t="shared" si="185"/>
        <v>2689.0772094822064</v>
      </c>
      <c r="W213" s="764">
        <v>1</v>
      </c>
      <c r="X213" s="753">
        <f t="shared" si="186"/>
        <v>2689.0772094822064</v>
      </c>
      <c r="Y213" s="753">
        <f t="shared" si="187"/>
        <v>3516.4855816305776</v>
      </c>
      <c r="Z213" s="753">
        <f t="shared" si="177"/>
        <v>4757.5981398531367</v>
      </c>
      <c r="AA213" s="753">
        <f t="shared" si="171"/>
        <v>118.75</v>
      </c>
      <c r="AB213" s="753">
        <f t="shared" si="172"/>
        <v>123</v>
      </c>
      <c r="AC213" s="753">
        <f t="shared" si="188"/>
        <v>128.75</v>
      </c>
      <c r="AD213" s="753">
        <f t="shared" si="174"/>
        <v>122</v>
      </c>
      <c r="AE213" s="753">
        <f t="shared" si="175"/>
        <v>-8.3333333333333329E-2</v>
      </c>
      <c r="AF213" s="753">
        <f t="shared" si="189"/>
        <v>1678.6804645904704</v>
      </c>
      <c r="AG213" s="753"/>
      <c r="AH213" s="753"/>
      <c r="AI213" s="753"/>
      <c r="AJ213" s="765"/>
      <c r="AK213" s="765"/>
    </row>
    <row r="214" spans="2:37">
      <c r="B214" s="41" t="s">
        <v>818</v>
      </c>
      <c r="C214" s="41">
        <v>2019</v>
      </c>
      <c r="D214" s="41">
        <v>119</v>
      </c>
      <c r="E214" s="41">
        <v>1</v>
      </c>
      <c r="F214" s="763">
        <v>0</v>
      </c>
      <c r="G214" s="756" t="s">
        <v>153</v>
      </c>
      <c r="H214" s="41">
        <v>7</v>
      </c>
      <c r="I214" s="41">
        <f t="shared" si="178"/>
        <v>126</v>
      </c>
      <c r="L214" s="753">
        <v>12224.93</v>
      </c>
      <c r="M214" s="753">
        <v>0</v>
      </c>
      <c r="N214" s="753">
        <f t="shared" si="179"/>
        <v>12224.93</v>
      </c>
      <c r="O214" s="753">
        <f t="shared" si="180"/>
        <v>145.53488095238097</v>
      </c>
      <c r="P214" s="753">
        <f t="shared" si="181"/>
        <v>1746.4185714285718</v>
      </c>
      <c r="Q214" s="753">
        <f t="shared" si="182"/>
        <v>0</v>
      </c>
      <c r="R214" s="753">
        <f t="shared" si="164"/>
        <v>1746.4185714285718</v>
      </c>
      <c r="S214" s="764">
        <f>+'WP-10 - Disposal'!$P$46</f>
        <v>0.86738983940594916</v>
      </c>
      <c r="T214" s="753">
        <f t="shared" si="183"/>
        <v>1514.825724206996</v>
      </c>
      <c r="U214" s="753">
        <f t="shared" si="184"/>
        <v>5239.2557142857149</v>
      </c>
      <c r="V214" s="753">
        <f t="shared" si="185"/>
        <v>4544.4771726209874</v>
      </c>
      <c r="W214" s="764">
        <v>1</v>
      </c>
      <c r="X214" s="753">
        <f t="shared" si="186"/>
        <v>4544.4771726209874</v>
      </c>
      <c r="Y214" s="753">
        <f t="shared" si="187"/>
        <v>6059.3028968279832</v>
      </c>
      <c r="Z214" s="753">
        <f t="shared" si="177"/>
        <v>4544.4771726209874</v>
      </c>
      <c r="AA214" s="753">
        <f t="shared" si="171"/>
        <v>119</v>
      </c>
      <c r="AB214" s="753">
        <f t="shared" si="172"/>
        <v>123</v>
      </c>
      <c r="AC214" s="753">
        <f t="shared" si="188"/>
        <v>126</v>
      </c>
      <c r="AD214" s="753">
        <f t="shared" si="174"/>
        <v>122</v>
      </c>
      <c r="AE214" s="753">
        <f t="shared" si="175"/>
        <v>-8.3333333333333329E-2</v>
      </c>
      <c r="AF214" s="753">
        <f t="shared" si="189"/>
        <v>2378.5627926545276</v>
      </c>
      <c r="AG214" s="753"/>
      <c r="AH214" s="753"/>
      <c r="AI214" s="753"/>
      <c r="AJ214" s="765"/>
      <c r="AK214" s="765"/>
    </row>
    <row r="215" spans="2:37">
      <c r="B215" s="41" t="s">
        <v>819</v>
      </c>
      <c r="C215" s="41">
        <v>2019</v>
      </c>
      <c r="D215" s="41">
        <v>119</v>
      </c>
      <c r="E215" s="41">
        <v>3</v>
      </c>
      <c r="F215" s="763">
        <v>0</v>
      </c>
      <c r="G215" s="756" t="s">
        <v>153</v>
      </c>
      <c r="H215" s="41">
        <v>7</v>
      </c>
      <c r="I215" s="41">
        <f t="shared" si="178"/>
        <v>126</v>
      </c>
      <c r="L215" s="753">
        <v>10708.33</v>
      </c>
      <c r="M215" s="753">
        <v>0</v>
      </c>
      <c r="N215" s="753">
        <f t="shared" si="179"/>
        <v>10708.33</v>
      </c>
      <c r="O215" s="753">
        <f t="shared" si="180"/>
        <v>127.48011904761904</v>
      </c>
      <c r="P215" s="753">
        <f t="shared" si="181"/>
        <v>1529.7614285714285</v>
      </c>
      <c r="Q215" s="753">
        <f t="shared" si="182"/>
        <v>0</v>
      </c>
      <c r="R215" s="753">
        <f t="shared" si="164"/>
        <v>1529.7614285714285</v>
      </c>
      <c r="S215" s="764">
        <f>+'WP-10 - Disposal'!$P$46</f>
        <v>0.86738983940594916</v>
      </c>
      <c r="T215" s="753">
        <f t="shared" si="183"/>
        <v>1326.8995198579867</v>
      </c>
      <c r="U215" s="753">
        <f t="shared" si="184"/>
        <v>4334.3240476190404</v>
      </c>
      <c r="V215" s="753">
        <f t="shared" si="185"/>
        <v>3759.5486395976232</v>
      </c>
      <c r="W215" s="764">
        <v>1</v>
      </c>
      <c r="X215" s="753">
        <f t="shared" si="186"/>
        <v>3759.5486395976232</v>
      </c>
      <c r="Y215" s="753">
        <f t="shared" si="187"/>
        <v>5086.44815945561</v>
      </c>
      <c r="Z215" s="753">
        <f t="shared" si="177"/>
        <v>4201.8484795502982</v>
      </c>
      <c r="AA215" s="753">
        <f t="shared" si="171"/>
        <v>119.16666666666667</v>
      </c>
      <c r="AB215" s="753">
        <f t="shared" si="172"/>
        <v>123</v>
      </c>
      <c r="AC215" s="753">
        <f t="shared" si="188"/>
        <v>126.16666666666667</v>
      </c>
      <c r="AD215" s="753">
        <f t="shared" si="174"/>
        <v>122</v>
      </c>
      <c r="AE215" s="753">
        <f t="shared" si="175"/>
        <v>-8.3333333333333329E-2</v>
      </c>
      <c r="AF215" s="753">
        <f t="shared" si="189"/>
        <v>2083.4831209230852</v>
      </c>
      <c r="AG215" s="753"/>
      <c r="AH215" s="753"/>
      <c r="AI215" s="753"/>
      <c r="AJ215" s="765"/>
      <c r="AK215" s="765"/>
    </row>
    <row r="216" spans="2:37">
      <c r="B216" s="41" t="s">
        <v>820</v>
      </c>
      <c r="C216" s="41">
        <v>2019</v>
      </c>
      <c r="D216" s="41">
        <v>119</v>
      </c>
      <c r="E216" s="41">
        <v>5</v>
      </c>
      <c r="F216" s="763">
        <v>0</v>
      </c>
      <c r="G216" s="756" t="s">
        <v>153</v>
      </c>
      <c r="H216" s="41">
        <v>7</v>
      </c>
      <c r="I216" s="41">
        <f t="shared" si="178"/>
        <v>126</v>
      </c>
      <c r="L216" s="753">
        <v>3636.79</v>
      </c>
      <c r="M216" s="753">
        <v>0</v>
      </c>
      <c r="N216" s="753">
        <f t="shared" si="179"/>
        <v>3636.79</v>
      </c>
      <c r="O216" s="753">
        <f t="shared" si="180"/>
        <v>43.295119047619046</v>
      </c>
      <c r="P216" s="753">
        <f t="shared" si="181"/>
        <v>519.54142857142858</v>
      </c>
      <c r="Q216" s="753">
        <f t="shared" si="182"/>
        <v>0</v>
      </c>
      <c r="R216" s="753">
        <f t="shared" si="164"/>
        <v>519.54142857142858</v>
      </c>
      <c r="S216" s="764">
        <f>+'WP-10 - Disposal'!$P$46</f>
        <v>0.86738983940594916</v>
      </c>
      <c r="T216" s="753">
        <f t="shared" si="183"/>
        <v>450.64495629330884</v>
      </c>
      <c r="U216" s="753">
        <f t="shared" si="184"/>
        <v>1385.443809523812</v>
      </c>
      <c r="V216" s="753">
        <f t="shared" si="185"/>
        <v>1201.7198834488256</v>
      </c>
      <c r="W216" s="764">
        <v>1</v>
      </c>
      <c r="X216" s="753">
        <f t="shared" si="186"/>
        <v>1201.7198834488256</v>
      </c>
      <c r="Y216" s="753">
        <f t="shared" si="187"/>
        <v>1652.3648397421343</v>
      </c>
      <c r="Z216" s="753">
        <f t="shared" si="177"/>
        <v>1502.1498543110274</v>
      </c>
      <c r="AA216" s="753">
        <f t="shared" si="171"/>
        <v>119.33333333333333</v>
      </c>
      <c r="AB216" s="753">
        <f t="shared" si="172"/>
        <v>123</v>
      </c>
      <c r="AC216" s="753">
        <f t="shared" si="188"/>
        <v>126.33333333333333</v>
      </c>
      <c r="AD216" s="753">
        <f t="shared" si="174"/>
        <v>122</v>
      </c>
      <c r="AE216" s="753">
        <f t="shared" si="175"/>
        <v>-8.3333333333333329E-2</v>
      </c>
      <c r="AF216" s="753">
        <f t="shared" si="189"/>
        <v>707.59778409349246</v>
      </c>
      <c r="AG216" s="753"/>
      <c r="AH216" s="753"/>
      <c r="AI216" s="753"/>
      <c r="AJ216" s="765"/>
      <c r="AK216" s="765"/>
    </row>
    <row r="217" spans="2:37">
      <c r="B217" s="41" t="s">
        <v>821</v>
      </c>
      <c r="C217" s="41">
        <v>2019</v>
      </c>
      <c r="D217" s="41">
        <v>119</v>
      </c>
      <c r="E217" s="41">
        <v>5</v>
      </c>
      <c r="F217" s="763">
        <v>0</v>
      </c>
      <c r="G217" s="756" t="s">
        <v>153</v>
      </c>
      <c r="H217" s="41">
        <v>7</v>
      </c>
      <c r="I217" s="41">
        <f t="shared" si="178"/>
        <v>126</v>
      </c>
      <c r="L217" s="753">
        <v>9539.06</v>
      </c>
      <c r="M217" s="753">
        <v>0</v>
      </c>
      <c r="N217" s="753">
        <f t="shared" si="179"/>
        <v>9539.06</v>
      </c>
      <c r="O217" s="753">
        <f t="shared" si="180"/>
        <v>113.56023809523809</v>
      </c>
      <c r="P217" s="753">
        <f t="shared" si="181"/>
        <v>1362.722857142857</v>
      </c>
      <c r="Q217" s="753">
        <f t="shared" si="182"/>
        <v>0</v>
      </c>
      <c r="R217" s="753">
        <f t="shared" si="164"/>
        <v>1362.722857142857</v>
      </c>
      <c r="S217" s="764">
        <f>+'WP-10 - Disposal'!$P$46</f>
        <v>0.86738983940594916</v>
      </c>
      <c r="T217" s="753">
        <f t="shared" si="183"/>
        <v>1182.0119602119589</v>
      </c>
      <c r="U217" s="753">
        <f t="shared" si="184"/>
        <v>3633.9276190476253</v>
      </c>
      <c r="V217" s="753">
        <f t="shared" si="185"/>
        <v>3152.0318938985629</v>
      </c>
      <c r="W217" s="764">
        <v>1</v>
      </c>
      <c r="X217" s="753">
        <f t="shared" si="186"/>
        <v>3152.0318938985629</v>
      </c>
      <c r="Y217" s="753">
        <f t="shared" si="187"/>
        <v>4334.0438541105214</v>
      </c>
      <c r="Z217" s="753">
        <f t="shared" si="177"/>
        <v>3940.0398673731925</v>
      </c>
      <c r="AA217" s="753">
        <f t="shared" si="171"/>
        <v>119.33333333333333</v>
      </c>
      <c r="AB217" s="753">
        <f t="shared" si="172"/>
        <v>123</v>
      </c>
      <c r="AC217" s="753">
        <f t="shared" si="188"/>
        <v>126.33333333333333</v>
      </c>
      <c r="AD217" s="753">
        <f t="shared" si="174"/>
        <v>122</v>
      </c>
      <c r="AE217" s="753">
        <f t="shared" si="175"/>
        <v>-8.3333333333333329E-2</v>
      </c>
      <c r="AF217" s="753">
        <f t="shared" si="189"/>
        <v>1855.9822586222654</v>
      </c>
      <c r="AG217" s="753"/>
      <c r="AH217" s="753"/>
      <c r="AI217" s="753"/>
      <c r="AJ217" s="765"/>
      <c r="AK217" s="765"/>
    </row>
    <row r="218" spans="2:37">
      <c r="B218" s="41" t="s">
        <v>822</v>
      </c>
      <c r="C218" s="41">
        <v>2019</v>
      </c>
      <c r="D218" s="41">
        <v>119</v>
      </c>
      <c r="E218" s="41">
        <v>6</v>
      </c>
      <c r="F218" s="763">
        <v>0</v>
      </c>
      <c r="G218" s="756" t="s">
        <v>153</v>
      </c>
      <c r="H218" s="41">
        <v>7</v>
      </c>
      <c r="I218" s="41">
        <f t="shared" si="178"/>
        <v>126</v>
      </c>
      <c r="L218" s="753">
        <v>8750</v>
      </c>
      <c r="M218" s="753">
        <v>0</v>
      </c>
      <c r="N218" s="753">
        <f t="shared" ref="N218:N224" si="190">L218-(+L218*F218)</f>
        <v>8750</v>
      </c>
      <c r="O218" s="753">
        <f t="shared" ref="O218:O224" si="191">(+N218/H218)/12</f>
        <v>104.16666666666667</v>
      </c>
      <c r="P218" s="753">
        <f t="shared" si="181"/>
        <v>1250</v>
      </c>
      <c r="Q218" s="753">
        <f t="shared" si="182"/>
        <v>0</v>
      </c>
      <c r="R218" s="753">
        <f t="shared" si="164"/>
        <v>1250</v>
      </c>
      <c r="S218" s="764">
        <f>+'WP-10 - Disposal'!$P$46</f>
        <v>0.86738983940594916</v>
      </c>
      <c r="T218" s="753">
        <f t="shared" ref="T218:T224" si="192">S218*SUM(P218:Q218)</f>
        <v>1084.2372992574365</v>
      </c>
      <c r="U218" s="753">
        <f t="shared" si="184"/>
        <v>3229.1666666666611</v>
      </c>
      <c r="V218" s="753">
        <f t="shared" ref="V218:V224" si="193">U218*S218</f>
        <v>2800.9463564150392</v>
      </c>
      <c r="W218" s="764">
        <v>1</v>
      </c>
      <c r="X218" s="753">
        <f t="shared" ref="X218:X224" si="194">V218*W218</f>
        <v>2800.9463564150392</v>
      </c>
      <c r="Y218" s="753">
        <f t="shared" ref="Y218:Y224" si="195">IF(M218&gt;0,0,X218+T218*W218)*W218</f>
        <v>3885.1836556724757</v>
      </c>
      <c r="Z218" s="753">
        <f t="shared" si="177"/>
        <v>3704.4774391295796</v>
      </c>
      <c r="AA218" s="753">
        <f t="shared" si="171"/>
        <v>119.41666666666667</v>
      </c>
      <c r="AB218" s="753">
        <f t="shared" si="172"/>
        <v>123</v>
      </c>
      <c r="AC218" s="753">
        <f t="shared" si="188"/>
        <v>126.41666666666667</v>
      </c>
      <c r="AD218" s="753">
        <f t="shared" si="174"/>
        <v>122</v>
      </c>
      <c r="AE218" s="753">
        <f t="shared" si="175"/>
        <v>-8.3333333333333329E-2</v>
      </c>
      <c r="AF218" s="753">
        <f t="shared" si="189"/>
        <v>1702.457554826663</v>
      </c>
      <c r="AG218" s="753"/>
      <c r="AH218" s="753"/>
      <c r="AI218" s="753"/>
      <c r="AJ218" s="765"/>
      <c r="AK218" s="765"/>
    </row>
    <row r="219" spans="2:37">
      <c r="B219" s="41" t="s">
        <v>821</v>
      </c>
      <c r="C219" s="41">
        <v>2019</v>
      </c>
      <c r="D219" s="41">
        <v>119</v>
      </c>
      <c r="E219" s="41">
        <v>7</v>
      </c>
      <c r="F219" s="763">
        <v>0</v>
      </c>
      <c r="G219" s="756" t="s">
        <v>153</v>
      </c>
      <c r="H219" s="41">
        <v>7</v>
      </c>
      <c r="I219" s="41">
        <f t="shared" si="178"/>
        <v>126</v>
      </c>
      <c r="L219" s="753">
        <v>9842.94</v>
      </c>
      <c r="M219" s="753">
        <v>0</v>
      </c>
      <c r="N219" s="753">
        <f t="shared" si="190"/>
        <v>9842.94</v>
      </c>
      <c r="O219" s="753">
        <f t="shared" si="191"/>
        <v>117.17785714285715</v>
      </c>
      <c r="P219" s="753">
        <f t="shared" si="181"/>
        <v>1406.1342857142859</v>
      </c>
      <c r="Q219" s="753">
        <f t="shared" si="182"/>
        <v>0</v>
      </c>
      <c r="R219" s="753">
        <f t="shared" si="164"/>
        <v>1406.1342857142859</v>
      </c>
      <c r="S219" s="764">
        <f>+'WP-10 - Disposal'!$P$46</f>
        <v>0.86738983940594916</v>
      </c>
      <c r="T219" s="753">
        <f t="shared" si="192"/>
        <v>1219.6665922689135</v>
      </c>
      <c r="U219" s="753">
        <f t="shared" si="184"/>
        <v>3515.3357142857144</v>
      </c>
      <c r="V219" s="753">
        <f t="shared" si="193"/>
        <v>3049.1664806722833</v>
      </c>
      <c r="W219" s="764">
        <v>1</v>
      </c>
      <c r="X219" s="753">
        <f t="shared" si="194"/>
        <v>3049.1664806722833</v>
      </c>
      <c r="Y219" s="753">
        <f t="shared" si="195"/>
        <v>4268.8330729411973</v>
      </c>
      <c r="Z219" s="753">
        <f t="shared" si="177"/>
        <v>4268.8330729411955</v>
      </c>
      <c r="AA219" s="753">
        <f t="shared" si="171"/>
        <v>119.5</v>
      </c>
      <c r="AB219" s="753">
        <f t="shared" si="172"/>
        <v>123</v>
      </c>
      <c r="AC219" s="753">
        <f t="shared" si="188"/>
        <v>126.5</v>
      </c>
      <c r="AD219" s="753">
        <f t="shared" si="174"/>
        <v>122</v>
      </c>
      <c r="AE219" s="753">
        <f t="shared" si="175"/>
        <v>-8.3333333333333329E-2</v>
      </c>
      <c r="AF219" s="753">
        <f t="shared" si="189"/>
        <v>1915.1071502520645</v>
      </c>
      <c r="AG219" s="753"/>
      <c r="AH219" s="753"/>
      <c r="AI219" s="753"/>
      <c r="AJ219" s="765"/>
      <c r="AK219" s="765"/>
    </row>
    <row r="220" spans="2:37">
      <c r="B220" s="41" t="s">
        <v>823</v>
      </c>
      <c r="C220" s="41">
        <v>2019</v>
      </c>
      <c r="D220" s="41">
        <v>119</v>
      </c>
      <c r="E220" s="41">
        <v>7</v>
      </c>
      <c r="F220" s="763">
        <v>0</v>
      </c>
      <c r="G220" s="756" t="s">
        <v>153</v>
      </c>
      <c r="H220" s="41">
        <v>10</v>
      </c>
      <c r="I220" s="41">
        <f t="shared" si="178"/>
        <v>129</v>
      </c>
      <c r="L220" s="753">
        <v>43106.36</v>
      </c>
      <c r="M220" s="753">
        <v>0</v>
      </c>
      <c r="N220" s="753">
        <f t="shared" si="190"/>
        <v>43106.36</v>
      </c>
      <c r="O220" s="753">
        <f t="shared" si="191"/>
        <v>359.21966666666668</v>
      </c>
      <c r="P220" s="753">
        <f t="shared" si="181"/>
        <v>4310.6360000000004</v>
      </c>
      <c r="Q220" s="753">
        <f t="shared" si="182"/>
        <v>0</v>
      </c>
      <c r="R220" s="753">
        <f t="shared" si="164"/>
        <v>4310.6360000000004</v>
      </c>
      <c r="S220" s="764">
        <f>+'WP-10 - Disposal'!$P$46</f>
        <v>0.86738983940594916</v>
      </c>
      <c r="T220" s="753">
        <f t="shared" si="192"/>
        <v>3739.0018677775033</v>
      </c>
      <c r="U220" s="753">
        <f t="shared" si="184"/>
        <v>10776.59</v>
      </c>
      <c r="V220" s="753">
        <f t="shared" si="193"/>
        <v>9347.5046694437569</v>
      </c>
      <c r="W220" s="764">
        <v>1</v>
      </c>
      <c r="X220" s="753">
        <f t="shared" si="194"/>
        <v>9347.5046694437569</v>
      </c>
      <c r="Y220" s="753">
        <f t="shared" si="195"/>
        <v>13086.506537221259</v>
      </c>
      <c r="Z220" s="753">
        <f t="shared" si="177"/>
        <v>24303.512140553768</v>
      </c>
      <c r="AA220" s="753">
        <f t="shared" si="171"/>
        <v>119.5</v>
      </c>
      <c r="AB220" s="753">
        <f t="shared" si="172"/>
        <v>123</v>
      </c>
      <c r="AC220" s="753">
        <f t="shared" si="188"/>
        <v>129.5</v>
      </c>
      <c r="AD220" s="753">
        <f t="shared" si="174"/>
        <v>122</v>
      </c>
      <c r="AE220" s="753">
        <f t="shared" si="175"/>
        <v>-8.3333333333333329E-2</v>
      </c>
      <c r="AF220" s="753">
        <f t="shared" si="189"/>
        <v>7585.8422561137231</v>
      </c>
      <c r="AG220" s="753"/>
      <c r="AH220" s="753"/>
      <c r="AI220" s="753"/>
      <c r="AJ220" s="765"/>
      <c r="AK220" s="765"/>
    </row>
    <row r="221" spans="2:37">
      <c r="B221" s="41" t="s">
        <v>824</v>
      </c>
      <c r="C221" s="41">
        <v>2019</v>
      </c>
      <c r="D221" s="41">
        <v>119</v>
      </c>
      <c r="E221" s="41">
        <v>7</v>
      </c>
      <c r="F221" s="763">
        <v>0</v>
      </c>
      <c r="G221" s="756" t="s">
        <v>153</v>
      </c>
      <c r="H221" s="41">
        <v>7</v>
      </c>
      <c r="I221" s="41">
        <f t="shared" si="178"/>
        <v>126</v>
      </c>
      <c r="L221" s="753">
        <v>4921.47</v>
      </c>
      <c r="M221" s="753">
        <v>0</v>
      </c>
      <c r="N221" s="753">
        <f t="shared" si="190"/>
        <v>4921.47</v>
      </c>
      <c r="O221" s="753">
        <f t="shared" si="191"/>
        <v>58.588928571428575</v>
      </c>
      <c r="P221" s="753">
        <f t="shared" si="181"/>
        <v>703.06714285714293</v>
      </c>
      <c r="Q221" s="753">
        <f t="shared" si="182"/>
        <v>0</v>
      </c>
      <c r="R221" s="753">
        <f t="shared" si="164"/>
        <v>703.06714285714293</v>
      </c>
      <c r="S221" s="764">
        <f>+'WP-10 - Disposal'!$P$46</f>
        <v>0.86738983940594916</v>
      </c>
      <c r="T221" s="753">
        <f t="shared" si="192"/>
        <v>609.83329613445676</v>
      </c>
      <c r="U221" s="753">
        <f t="shared" si="184"/>
        <v>1757.6678571428572</v>
      </c>
      <c r="V221" s="753">
        <f t="shared" si="193"/>
        <v>1524.5832403361417</v>
      </c>
      <c r="W221" s="764">
        <v>1</v>
      </c>
      <c r="X221" s="753">
        <f t="shared" si="194"/>
        <v>1524.5832403361417</v>
      </c>
      <c r="Y221" s="753">
        <f t="shared" si="195"/>
        <v>2134.4165364705987</v>
      </c>
      <c r="Z221" s="753">
        <f t="shared" ref="Z221:Z243" si="196">IF(M221&gt;0,(L221-X221)/2,IF(AA221&gt;=AD221,(((L221*S221)*W221)-Y221),(+(((L221*S221)*W221)-Y221))))</f>
        <v>2134.4165364705977</v>
      </c>
      <c r="AA221" s="753">
        <f t="shared" si="171"/>
        <v>119.5</v>
      </c>
      <c r="AB221" s="753">
        <f t="shared" si="172"/>
        <v>123</v>
      </c>
      <c r="AC221" s="753">
        <f t="shared" si="188"/>
        <v>126.5</v>
      </c>
      <c r="AD221" s="753">
        <f t="shared" si="174"/>
        <v>122</v>
      </c>
      <c r="AE221" s="753">
        <f t="shared" si="175"/>
        <v>-8.3333333333333329E-2</v>
      </c>
      <c r="AF221" s="753">
        <f t="shared" si="189"/>
        <v>957.55357512603223</v>
      </c>
      <c r="AG221" s="753"/>
      <c r="AH221" s="753"/>
      <c r="AI221" s="753"/>
      <c r="AJ221" s="765"/>
      <c r="AK221" s="765"/>
    </row>
    <row r="222" spans="2:37">
      <c r="B222" s="41" t="s">
        <v>825</v>
      </c>
      <c r="C222" s="41">
        <v>2019</v>
      </c>
      <c r="D222" s="41">
        <v>119</v>
      </c>
      <c r="E222" s="41">
        <v>11</v>
      </c>
      <c r="F222" s="763">
        <v>0</v>
      </c>
      <c r="G222" s="756" t="s">
        <v>153</v>
      </c>
      <c r="H222" s="41">
        <v>7</v>
      </c>
      <c r="I222" s="41">
        <f t="shared" si="178"/>
        <v>126</v>
      </c>
      <c r="L222" s="753">
        <v>5775</v>
      </c>
      <c r="M222" s="753">
        <v>0</v>
      </c>
      <c r="N222" s="753">
        <f t="shared" si="190"/>
        <v>5775</v>
      </c>
      <c r="O222" s="753">
        <f t="shared" si="191"/>
        <v>68.75</v>
      </c>
      <c r="P222" s="753">
        <f t="shared" si="181"/>
        <v>825</v>
      </c>
      <c r="Q222" s="753">
        <f t="shared" si="182"/>
        <v>0</v>
      </c>
      <c r="R222" s="753">
        <f t="shared" si="164"/>
        <v>825</v>
      </c>
      <c r="S222" s="764">
        <f>+'WP-10 - Disposal'!$P$46</f>
        <v>0.86738983940594916</v>
      </c>
      <c r="T222" s="753">
        <f t="shared" si="192"/>
        <v>715.59661750990801</v>
      </c>
      <c r="U222" s="753">
        <f t="shared" si="184"/>
        <v>1787.5000000000039</v>
      </c>
      <c r="V222" s="753">
        <f t="shared" si="193"/>
        <v>1550.4593379381374</v>
      </c>
      <c r="W222" s="764">
        <v>1</v>
      </c>
      <c r="X222" s="753">
        <f t="shared" si="194"/>
        <v>1550.4593379381374</v>
      </c>
      <c r="Y222" s="753">
        <f t="shared" si="195"/>
        <v>2266.0559554480456</v>
      </c>
      <c r="Z222" s="753">
        <f t="shared" si="196"/>
        <v>2743.1203671213111</v>
      </c>
      <c r="AA222" s="753">
        <f t="shared" si="171"/>
        <v>119.83333333333333</v>
      </c>
      <c r="AB222" s="753">
        <f t="shared" si="172"/>
        <v>123</v>
      </c>
      <c r="AC222" s="753">
        <f t="shared" si="188"/>
        <v>126.83333333333333</v>
      </c>
      <c r="AD222" s="753">
        <f t="shared" si="174"/>
        <v>122</v>
      </c>
      <c r="AE222" s="753">
        <f t="shared" si="175"/>
        <v>-8.3333333333333329E-2</v>
      </c>
      <c r="AF222" s="753">
        <f t="shared" si="189"/>
        <v>1123.6219861855975</v>
      </c>
      <c r="AG222" s="753"/>
      <c r="AH222" s="753"/>
      <c r="AI222" s="753"/>
      <c r="AJ222" s="765"/>
      <c r="AK222" s="765"/>
    </row>
    <row r="223" spans="2:37">
      <c r="B223" s="41" t="s">
        <v>826</v>
      </c>
      <c r="C223" s="41">
        <v>2019</v>
      </c>
      <c r="D223" s="41">
        <v>119</v>
      </c>
      <c r="E223" s="41">
        <v>11</v>
      </c>
      <c r="F223" s="763">
        <v>0</v>
      </c>
      <c r="G223" s="756" t="s">
        <v>153</v>
      </c>
      <c r="H223" s="41">
        <v>7</v>
      </c>
      <c r="I223" s="41">
        <f t="shared" si="178"/>
        <v>126</v>
      </c>
      <c r="L223" s="753">
        <v>6562.5</v>
      </c>
      <c r="M223" s="753">
        <v>0</v>
      </c>
      <c r="N223" s="753">
        <f t="shared" si="190"/>
        <v>6562.5</v>
      </c>
      <c r="O223" s="753">
        <f t="shared" si="191"/>
        <v>78.125</v>
      </c>
      <c r="P223" s="753">
        <f t="shared" si="181"/>
        <v>937.5</v>
      </c>
      <c r="Q223" s="753">
        <f t="shared" si="182"/>
        <v>0</v>
      </c>
      <c r="R223" s="753">
        <f t="shared" si="164"/>
        <v>937.5</v>
      </c>
      <c r="S223" s="764">
        <f>+'WP-10 - Disposal'!$P$46</f>
        <v>0.86738983940594916</v>
      </c>
      <c r="T223" s="753">
        <f t="shared" si="192"/>
        <v>813.17797444307735</v>
      </c>
      <c r="U223" s="753">
        <f t="shared" si="184"/>
        <v>2031.2500000000045</v>
      </c>
      <c r="V223" s="753">
        <f t="shared" si="193"/>
        <v>1761.8856112933381</v>
      </c>
      <c r="W223" s="764">
        <v>1</v>
      </c>
      <c r="X223" s="753">
        <f t="shared" si="194"/>
        <v>1761.8856112933381</v>
      </c>
      <c r="Y223" s="753">
        <f t="shared" si="195"/>
        <v>2575.0635857364155</v>
      </c>
      <c r="Z223" s="753">
        <f t="shared" si="196"/>
        <v>3117.1822353651255</v>
      </c>
      <c r="AA223" s="753">
        <f t="shared" si="171"/>
        <v>119.83333333333333</v>
      </c>
      <c r="AB223" s="753">
        <f t="shared" si="172"/>
        <v>123</v>
      </c>
      <c r="AC223" s="753">
        <f t="shared" si="188"/>
        <v>126.83333333333333</v>
      </c>
      <c r="AD223" s="753">
        <f t="shared" si="174"/>
        <v>122</v>
      </c>
      <c r="AE223" s="753">
        <f t="shared" si="175"/>
        <v>-8.3333333333333329E-2</v>
      </c>
      <c r="AF223" s="753">
        <f t="shared" si="189"/>
        <v>1276.8431661199979</v>
      </c>
      <c r="AG223" s="753"/>
      <c r="AH223" s="753"/>
      <c r="AI223" s="753"/>
      <c r="AJ223" s="765"/>
      <c r="AK223" s="765"/>
    </row>
    <row r="224" spans="2:37">
      <c r="B224" s="41" t="s">
        <v>821</v>
      </c>
      <c r="C224" s="41">
        <v>2019</v>
      </c>
      <c r="D224" s="41">
        <v>119</v>
      </c>
      <c r="E224" s="41">
        <v>11</v>
      </c>
      <c r="F224" s="763">
        <v>0</v>
      </c>
      <c r="G224" s="756" t="s">
        <v>153</v>
      </c>
      <c r="H224" s="41">
        <v>7</v>
      </c>
      <c r="I224" s="41">
        <f t="shared" si="178"/>
        <v>126</v>
      </c>
      <c r="L224" s="753">
        <v>9842.94</v>
      </c>
      <c r="M224" s="753">
        <v>0</v>
      </c>
      <c r="N224" s="753">
        <f t="shared" si="190"/>
        <v>9842.94</v>
      </c>
      <c r="O224" s="753">
        <f t="shared" si="191"/>
        <v>117.17785714285715</v>
      </c>
      <c r="P224" s="753">
        <f t="shared" si="181"/>
        <v>1406.1342857142859</v>
      </c>
      <c r="Q224" s="753">
        <f t="shared" si="182"/>
        <v>0</v>
      </c>
      <c r="R224" s="753">
        <f t="shared" si="164"/>
        <v>1406.1342857142859</v>
      </c>
      <c r="S224" s="764">
        <f>+'WP-10 - Disposal'!$P$46</f>
        <v>0.86738983940594916</v>
      </c>
      <c r="T224" s="753">
        <f t="shared" si="192"/>
        <v>1219.6665922689135</v>
      </c>
      <c r="U224" s="753">
        <f t="shared" si="184"/>
        <v>3046.6242857142925</v>
      </c>
      <c r="V224" s="753">
        <f t="shared" si="193"/>
        <v>2642.6109499159847</v>
      </c>
      <c r="W224" s="764">
        <v>1</v>
      </c>
      <c r="X224" s="753">
        <f t="shared" si="194"/>
        <v>2642.6109499159847</v>
      </c>
      <c r="Y224" s="753">
        <f t="shared" si="195"/>
        <v>3862.2775421848983</v>
      </c>
      <c r="Z224" s="753">
        <f t="shared" si="196"/>
        <v>4675.3886036974945</v>
      </c>
      <c r="AA224" s="753">
        <f t="shared" si="171"/>
        <v>119.83333333333333</v>
      </c>
      <c r="AB224" s="753">
        <f t="shared" si="172"/>
        <v>123</v>
      </c>
      <c r="AC224" s="753">
        <f t="shared" si="188"/>
        <v>126.83333333333333</v>
      </c>
      <c r="AD224" s="753">
        <f t="shared" si="174"/>
        <v>122</v>
      </c>
      <c r="AE224" s="753">
        <f t="shared" si="175"/>
        <v>-8.3333333333333329E-2</v>
      </c>
      <c r="AF224" s="753">
        <f t="shared" si="189"/>
        <v>1915.1071502520645</v>
      </c>
      <c r="AG224" s="753"/>
      <c r="AH224" s="753"/>
      <c r="AI224" s="753"/>
      <c r="AJ224" s="765"/>
      <c r="AK224" s="765"/>
    </row>
    <row r="225" spans="2:37">
      <c r="B225" s="41" t="s">
        <v>827</v>
      </c>
      <c r="C225" s="41">
        <v>2020</v>
      </c>
      <c r="D225" s="41">
        <v>120</v>
      </c>
      <c r="E225" s="41">
        <v>2</v>
      </c>
      <c r="F225" s="763">
        <v>0</v>
      </c>
      <c r="G225" s="756" t="s">
        <v>153</v>
      </c>
      <c r="H225" s="41">
        <v>10</v>
      </c>
      <c r="I225" s="41">
        <f t="shared" si="178"/>
        <v>130</v>
      </c>
      <c r="L225" s="753">
        <v>8147.4</v>
      </c>
      <c r="M225" s="753">
        <v>0</v>
      </c>
      <c r="N225" s="753">
        <f t="shared" ref="N225:N230" si="197">L225-(+L225*F225)</f>
        <v>8147.4</v>
      </c>
      <c r="O225" s="753">
        <f t="shared" ref="O225:O230" si="198">(+N225/H225)/12</f>
        <v>67.894999999999996</v>
      </c>
      <c r="P225" s="753">
        <f t="shared" si="181"/>
        <v>814.74</v>
      </c>
      <c r="Q225" s="753">
        <f t="shared" si="182"/>
        <v>0</v>
      </c>
      <c r="R225" s="753">
        <f t="shared" si="164"/>
        <v>814.74</v>
      </c>
      <c r="S225" s="764">
        <f>+'WP-10 - Disposal'!$P$46</f>
        <v>0.86738983940594916</v>
      </c>
      <c r="T225" s="753">
        <f t="shared" ref="T225:T230" si="199">S225*SUM(P225:Q225)</f>
        <v>706.69719775760302</v>
      </c>
      <c r="U225" s="753">
        <f t="shared" si="184"/>
        <v>1561.5850000000037</v>
      </c>
      <c r="V225" s="753">
        <f t="shared" ref="V225:V230" si="200">U225*S225</f>
        <v>1354.5029623687424</v>
      </c>
      <c r="W225" s="764">
        <v>1</v>
      </c>
      <c r="X225" s="753">
        <f t="shared" ref="X225:X230" si="201">V225*W225</f>
        <v>1354.5029623687424</v>
      </c>
      <c r="Y225" s="753">
        <f t="shared" ref="Y225:Y230" si="202">IF(M225&gt;0,0,X225+T225*W225)*W225</f>
        <v>2061.2001601263455</v>
      </c>
      <c r="Z225" s="753">
        <f t="shared" si="196"/>
        <v>5005.771817449684</v>
      </c>
      <c r="AA225" s="753">
        <f t="shared" si="171"/>
        <v>120.08333333333333</v>
      </c>
      <c r="AB225" s="753">
        <f t="shared" si="172"/>
        <v>123</v>
      </c>
      <c r="AC225" s="753">
        <f t="shared" si="188"/>
        <v>130.08333333333334</v>
      </c>
      <c r="AD225" s="753">
        <f t="shared" si="174"/>
        <v>122</v>
      </c>
      <c r="AE225" s="753">
        <f t="shared" si="175"/>
        <v>-8.3333333333333329E-2</v>
      </c>
      <c r="AF225" s="753">
        <f t="shared" si="189"/>
        <v>1433.7766213027717</v>
      </c>
      <c r="AG225" s="753"/>
      <c r="AH225" s="753"/>
      <c r="AI225" s="753"/>
      <c r="AJ225" s="765"/>
      <c r="AK225" s="765"/>
    </row>
    <row r="226" spans="2:37">
      <c r="B226" s="41" t="s">
        <v>828</v>
      </c>
      <c r="C226" s="41">
        <v>2020</v>
      </c>
      <c r="D226" s="41">
        <v>120</v>
      </c>
      <c r="E226" s="41">
        <v>3</v>
      </c>
      <c r="F226" s="763">
        <v>0</v>
      </c>
      <c r="G226" s="756" t="s">
        <v>153</v>
      </c>
      <c r="H226" s="41">
        <v>7</v>
      </c>
      <c r="I226" s="41">
        <f t="shared" si="178"/>
        <v>127</v>
      </c>
      <c r="L226" s="753">
        <v>7444.39</v>
      </c>
      <c r="M226" s="753">
        <v>0</v>
      </c>
      <c r="N226" s="753">
        <f t="shared" si="197"/>
        <v>7444.39</v>
      </c>
      <c r="O226" s="753">
        <f t="shared" si="198"/>
        <v>88.623690476190475</v>
      </c>
      <c r="P226" s="753">
        <f t="shared" si="181"/>
        <v>1063.4842857142858</v>
      </c>
      <c r="Q226" s="753">
        <f t="shared" si="182"/>
        <v>0</v>
      </c>
      <c r="R226" s="753">
        <f t="shared" si="164"/>
        <v>1063.4842857142858</v>
      </c>
      <c r="S226" s="764">
        <f>+'WP-10 - Disposal'!$P$46</f>
        <v>0.86738983940594916</v>
      </c>
      <c r="T226" s="753">
        <f t="shared" si="199"/>
        <v>922.45546379646487</v>
      </c>
      <c r="U226" s="753">
        <f t="shared" si="184"/>
        <v>1949.7211904761855</v>
      </c>
      <c r="V226" s="753">
        <f t="shared" si="200"/>
        <v>1691.1683502935145</v>
      </c>
      <c r="W226" s="764">
        <v>1</v>
      </c>
      <c r="X226" s="753">
        <f t="shared" si="201"/>
        <v>1691.1683502935145</v>
      </c>
      <c r="Y226" s="753">
        <f t="shared" si="202"/>
        <v>2613.6238140899795</v>
      </c>
      <c r="Z226" s="753">
        <f t="shared" si="196"/>
        <v>3843.5644324852747</v>
      </c>
      <c r="AA226" s="753">
        <f t="shared" si="171"/>
        <v>120.16666666666667</v>
      </c>
      <c r="AB226" s="753">
        <f t="shared" si="172"/>
        <v>123</v>
      </c>
      <c r="AC226" s="753">
        <f t="shared" si="188"/>
        <v>127.16666666666667</v>
      </c>
      <c r="AD226" s="753">
        <f t="shared" si="174"/>
        <v>122</v>
      </c>
      <c r="AE226" s="753">
        <f t="shared" si="175"/>
        <v>-8.3333333333333329E-2</v>
      </c>
      <c r="AF226" s="753">
        <f t="shared" si="189"/>
        <v>1448.4294853229785</v>
      </c>
      <c r="AG226" s="753"/>
      <c r="AH226" s="753"/>
      <c r="AI226" s="753"/>
      <c r="AJ226" s="765"/>
      <c r="AK226" s="765"/>
    </row>
    <row r="227" spans="2:37">
      <c r="B227" s="41" t="s">
        <v>829</v>
      </c>
      <c r="C227" s="41">
        <v>2020</v>
      </c>
      <c r="D227" s="41">
        <v>120</v>
      </c>
      <c r="E227" s="41">
        <v>5</v>
      </c>
      <c r="F227" s="763">
        <v>0</v>
      </c>
      <c r="G227" s="756" t="s">
        <v>153</v>
      </c>
      <c r="H227" s="41">
        <v>7</v>
      </c>
      <c r="I227" s="41">
        <f t="shared" si="178"/>
        <v>127</v>
      </c>
      <c r="L227" s="753">
        <v>14026.74</v>
      </c>
      <c r="M227" s="753">
        <v>0</v>
      </c>
      <c r="N227" s="753">
        <f t="shared" si="197"/>
        <v>14026.74</v>
      </c>
      <c r="O227" s="753">
        <f t="shared" si="198"/>
        <v>166.98499999999999</v>
      </c>
      <c r="P227" s="753">
        <f t="shared" si="181"/>
        <v>2003.8199999999997</v>
      </c>
      <c r="Q227" s="753">
        <f t="shared" si="182"/>
        <v>0</v>
      </c>
      <c r="R227" s="753">
        <f t="shared" si="164"/>
        <v>2003.8199999999997</v>
      </c>
      <c r="S227" s="764">
        <f>+'WP-10 - Disposal'!$P$46</f>
        <v>0.86738983940594916</v>
      </c>
      <c r="T227" s="753">
        <f t="shared" si="199"/>
        <v>1738.0931079984289</v>
      </c>
      <c r="U227" s="753">
        <f t="shared" si="184"/>
        <v>3339.7000000000094</v>
      </c>
      <c r="V227" s="753">
        <f t="shared" si="200"/>
        <v>2896.8218466640565</v>
      </c>
      <c r="W227" s="764">
        <v>1</v>
      </c>
      <c r="X227" s="753">
        <f t="shared" si="201"/>
        <v>2896.8218466640565</v>
      </c>
      <c r="Y227" s="753">
        <f t="shared" si="202"/>
        <v>4634.9149546624849</v>
      </c>
      <c r="Z227" s="753">
        <f t="shared" si="196"/>
        <v>7531.7368013265186</v>
      </c>
      <c r="AA227" s="753">
        <f t="shared" si="171"/>
        <v>120.33333333333333</v>
      </c>
      <c r="AB227" s="753">
        <f t="shared" si="172"/>
        <v>123</v>
      </c>
      <c r="AC227" s="753">
        <f t="shared" si="188"/>
        <v>127.33333333333333</v>
      </c>
      <c r="AD227" s="753">
        <f t="shared" si="174"/>
        <v>122</v>
      </c>
      <c r="AE227" s="753">
        <f t="shared" si="175"/>
        <v>-8.3333333333333329E-2</v>
      </c>
      <c r="AF227" s="753">
        <f t="shared" si="189"/>
        <v>2729.1347980102109</v>
      </c>
      <c r="AG227" s="753"/>
      <c r="AH227" s="753"/>
      <c r="AI227" s="753"/>
      <c r="AJ227" s="765"/>
      <c r="AK227" s="765"/>
    </row>
    <row r="228" spans="2:37">
      <c r="B228" s="41" t="s">
        <v>830</v>
      </c>
      <c r="C228" s="41">
        <v>2020</v>
      </c>
      <c r="D228" s="41">
        <v>120</v>
      </c>
      <c r="E228" s="41">
        <v>8</v>
      </c>
      <c r="F228" s="763">
        <v>0</v>
      </c>
      <c r="G228" s="756" t="s">
        <v>153</v>
      </c>
      <c r="H228" s="41">
        <v>7</v>
      </c>
      <c r="I228" s="41">
        <f t="shared" si="178"/>
        <v>127</v>
      </c>
      <c r="L228" s="753">
        <v>12565.96</v>
      </c>
      <c r="M228" s="753">
        <v>0</v>
      </c>
      <c r="N228" s="753">
        <f t="shared" si="197"/>
        <v>12565.96</v>
      </c>
      <c r="O228" s="753">
        <f t="shared" si="198"/>
        <v>149.5947619047619</v>
      </c>
      <c r="P228" s="753">
        <f t="shared" si="181"/>
        <v>1795.1371428571429</v>
      </c>
      <c r="Q228" s="753">
        <f t="shared" si="182"/>
        <v>0</v>
      </c>
      <c r="R228" s="753">
        <f t="shared" si="164"/>
        <v>1795.1371428571429</v>
      </c>
      <c r="S228" s="764">
        <f>+'WP-10 - Disposal'!$P$46</f>
        <v>0.86738983940594916</v>
      </c>
      <c r="T228" s="753">
        <f t="shared" si="199"/>
        <v>1557.0837180545116</v>
      </c>
      <c r="U228" s="753">
        <f t="shared" si="184"/>
        <v>2543.110952380961</v>
      </c>
      <c r="V228" s="753">
        <f t="shared" si="200"/>
        <v>2205.868600577232</v>
      </c>
      <c r="W228" s="764">
        <v>1</v>
      </c>
      <c r="X228" s="753">
        <f t="shared" si="201"/>
        <v>2205.868600577232</v>
      </c>
      <c r="Y228" s="753">
        <f t="shared" si="202"/>
        <v>3762.9523186317438</v>
      </c>
      <c r="Z228" s="753">
        <f t="shared" si="196"/>
        <v>7136.6337077498356</v>
      </c>
      <c r="AA228" s="753">
        <f t="shared" si="171"/>
        <v>120.58333333333333</v>
      </c>
      <c r="AB228" s="753">
        <f t="shared" si="172"/>
        <v>123</v>
      </c>
      <c r="AC228" s="753">
        <f t="shared" si="188"/>
        <v>127.58333333333333</v>
      </c>
      <c r="AD228" s="753">
        <f t="shared" si="174"/>
        <v>122</v>
      </c>
      <c r="AE228" s="753">
        <f t="shared" si="175"/>
        <v>-8.3333333333333329E-2</v>
      </c>
      <c r="AF228" s="753">
        <f t="shared" si="189"/>
        <v>2444.9158326456745</v>
      </c>
      <c r="AG228" s="753"/>
      <c r="AH228" s="753"/>
      <c r="AI228" s="753"/>
      <c r="AJ228" s="765"/>
      <c r="AK228" s="765"/>
    </row>
    <row r="229" spans="2:37">
      <c r="B229" s="41" t="s">
        <v>831</v>
      </c>
      <c r="C229" s="41">
        <v>2020</v>
      </c>
      <c r="D229" s="41">
        <v>120</v>
      </c>
      <c r="E229" s="41">
        <v>12</v>
      </c>
      <c r="F229" s="763">
        <v>0</v>
      </c>
      <c r="G229" s="756" t="s">
        <v>153</v>
      </c>
      <c r="H229" s="41">
        <v>7</v>
      </c>
      <c r="I229" s="41">
        <f t="shared" si="178"/>
        <v>127</v>
      </c>
      <c r="L229" s="753">
        <v>19685.88</v>
      </c>
      <c r="M229" s="753">
        <v>0</v>
      </c>
      <c r="N229" s="753">
        <f t="shared" si="197"/>
        <v>19685.88</v>
      </c>
      <c r="O229" s="753">
        <f t="shared" si="198"/>
        <v>234.3557142857143</v>
      </c>
      <c r="P229" s="753">
        <f t="shared" si="181"/>
        <v>2812.2685714285717</v>
      </c>
      <c r="Q229" s="753">
        <f t="shared" si="182"/>
        <v>0</v>
      </c>
      <c r="R229" s="753">
        <f t="shared" si="164"/>
        <v>2812.2685714285717</v>
      </c>
      <c r="S229" s="764">
        <f>+'WP-10 - Disposal'!$P$46</f>
        <v>0.86738983940594916</v>
      </c>
      <c r="T229" s="753">
        <f t="shared" si="199"/>
        <v>2439.333184537827</v>
      </c>
      <c r="U229" s="753">
        <f t="shared" si="184"/>
        <v>3046.6242857142724</v>
      </c>
      <c r="V229" s="753">
        <f t="shared" si="200"/>
        <v>2642.6109499159675</v>
      </c>
      <c r="W229" s="764">
        <v>1</v>
      </c>
      <c r="X229" s="753">
        <f t="shared" si="201"/>
        <v>2642.6109499159675</v>
      </c>
      <c r="Y229" s="753">
        <f t="shared" si="202"/>
        <v>5081.9441344537945</v>
      </c>
      <c r="Z229" s="753">
        <f t="shared" si="196"/>
        <v>11993.38815731099</v>
      </c>
      <c r="AA229" s="753">
        <f t="shared" si="171"/>
        <v>120.91666666666667</v>
      </c>
      <c r="AB229" s="753">
        <f t="shared" si="172"/>
        <v>123</v>
      </c>
      <c r="AC229" s="753">
        <f t="shared" si="188"/>
        <v>127.91666666666667</v>
      </c>
      <c r="AD229" s="753">
        <f t="shared" si="174"/>
        <v>122</v>
      </c>
      <c r="AE229" s="753">
        <f t="shared" si="175"/>
        <v>-8.3333333333333329E-2</v>
      </c>
      <c r="AF229" s="753">
        <f t="shared" si="189"/>
        <v>3830.2143005041289</v>
      </c>
      <c r="AG229" s="753"/>
      <c r="AH229" s="753"/>
      <c r="AI229" s="753"/>
      <c r="AJ229" s="765"/>
      <c r="AK229" s="765"/>
    </row>
    <row r="230" spans="2:37">
      <c r="B230" s="41" t="s">
        <v>832</v>
      </c>
      <c r="C230" s="41">
        <v>2020</v>
      </c>
      <c r="D230" s="41">
        <v>120</v>
      </c>
      <c r="E230" s="41">
        <v>12</v>
      </c>
      <c r="F230" s="763">
        <v>0</v>
      </c>
      <c r="G230" s="756" t="s">
        <v>153</v>
      </c>
      <c r="H230" s="41">
        <v>10</v>
      </c>
      <c r="I230" s="41">
        <f t="shared" si="178"/>
        <v>130</v>
      </c>
      <c r="L230" s="753">
        <v>23526.17</v>
      </c>
      <c r="M230" s="753">
        <v>0</v>
      </c>
      <c r="N230" s="753">
        <f t="shared" si="197"/>
        <v>23526.17</v>
      </c>
      <c r="O230" s="753">
        <f t="shared" si="198"/>
        <v>196.05141666666665</v>
      </c>
      <c r="P230" s="753">
        <f t="shared" si="181"/>
        <v>2352.6169999999997</v>
      </c>
      <c r="Q230" s="753">
        <f t="shared" si="182"/>
        <v>0</v>
      </c>
      <c r="R230" s="753">
        <f t="shared" si="164"/>
        <v>2352.6169999999997</v>
      </c>
      <c r="S230" s="764">
        <f>+'WP-10 - Disposal'!$P$46</f>
        <v>0.86738983940594916</v>
      </c>
      <c r="T230" s="753">
        <f t="shared" si="199"/>
        <v>2040.6360818137057</v>
      </c>
      <c r="U230" s="753">
        <f t="shared" si="184"/>
        <v>2548.6684166666555</v>
      </c>
      <c r="V230" s="753">
        <f t="shared" si="200"/>
        <v>2210.689088631505</v>
      </c>
      <c r="W230" s="764">
        <v>1</v>
      </c>
      <c r="X230" s="753">
        <f t="shared" si="201"/>
        <v>2210.689088631505</v>
      </c>
      <c r="Y230" s="753">
        <f t="shared" si="202"/>
        <v>4251.3251704452105</v>
      </c>
      <c r="Z230" s="753">
        <f t="shared" si="196"/>
        <v>16155.035647691848</v>
      </c>
      <c r="AA230" s="753">
        <f t="shared" si="171"/>
        <v>120.91666666666667</v>
      </c>
      <c r="AB230" s="753">
        <f t="shared" si="172"/>
        <v>123</v>
      </c>
      <c r="AC230" s="753">
        <f t="shared" si="188"/>
        <v>130.91666666666666</v>
      </c>
      <c r="AD230" s="753">
        <f t="shared" si="174"/>
        <v>122</v>
      </c>
      <c r="AE230" s="753">
        <f t="shared" si="175"/>
        <v>-8.3333333333333329E-2</v>
      </c>
      <c r="AF230" s="753">
        <f t="shared" si="189"/>
        <v>4140.1272227697937</v>
      </c>
      <c r="AG230" s="753"/>
      <c r="AH230" s="753"/>
      <c r="AI230" s="753"/>
      <c r="AJ230" s="765"/>
      <c r="AK230" s="765"/>
    </row>
    <row r="231" spans="2:37">
      <c r="B231" s="41" t="s">
        <v>833</v>
      </c>
      <c r="C231" s="41">
        <v>2021</v>
      </c>
      <c r="D231" s="41">
        <v>121</v>
      </c>
      <c r="E231" s="41">
        <v>1</v>
      </c>
      <c r="F231" s="763">
        <v>0</v>
      </c>
      <c r="G231" s="756" t="s">
        <v>153</v>
      </c>
      <c r="H231" s="41">
        <v>7</v>
      </c>
      <c r="I231" s="41">
        <f t="shared" si="178"/>
        <v>128</v>
      </c>
      <c r="L231" s="753">
        <v>23526.17</v>
      </c>
      <c r="M231" s="753">
        <v>0</v>
      </c>
      <c r="N231" s="753">
        <f t="shared" ref="N231:N237" si="203">L231-(+L231*F231)</f>
        <v>23526.17</v>
      </c>
      <c r="O231" s="753">
        <f t="shared" ref="O231:O237" si="204">(+N231/H231)/12</f>
        <v>280.07345238095235</v>
      </c>
      <c r="P231" s="753">
        <f t="shared" si="181"/>
        <v>3360.8814285714279</v>
      </c>
      <c r="Q231" s="753">
        <f t="shared" si="182"/>
        <v>0</v>
      </c>
      <c r="R231" s="753">
        <f t="shared" si="164"/>
        <v>3360.8814285714279</v>
      </c>
      <c r="S231" s="764">
        <f>+'WP-10 - Disposal'!$P$46</f>
        <v>0.86738983940594916</v>
      </c>
      <c r="T231" s="753">
        <f t="shared" ref="T231:T237" si="205">S231*SUM(P231:Q231)</f>
        <v>2915.1944025910079</v>
      </c>
      <c r="U231" s="753">
        <f t="shared" si="184"/>
        <v>3360.8814285714279</v>
      </c>
      <c r="V231" s="753">
        <f t="shared" ref="V231:V237" si="206">U231*S231</f>
        <v>2915.1944025910079</v>
      </c>
      <c r="W231" s="764">
        <v>1</v>
      </c>
      <c r="X231" s="753">
        <f t="shared" ref="X231:X237" si="207">V231*W231</f>
        <v>2915.1944025910079</v>
      </c>
      <c r="Y231" s="753">
        <f t="shared" ref="Y231:Y237" si="208">IF(M231&gt;0,0,X231+T231*W231)*W231</f>
        <v>5830.3888051820159</v>
      </c>
      <c r="Z231" s="753">
        <f t="shared" si="196"/>
        <v>14575.972012955042</v>
      </c>
      <c r="AA231" s="753">
        <f t="shared" si="171"/>
        <v>121</v>
      </c>
      <c r="AB231" s="753">
        <f t="shared" si="172"/>
        <v>123</v>
      </c>
      <c r="AC231" s="753">
        <f t="shared" si="188"/>
        <v>128</v>
      </c>
      <c r="AD231" s="753">
        <f t="shared" si="174"/>
        <v>122</v>
      </c>
      <c r="AE231" s="753">
        <f t="shared" si="175"/>
        <v>-8.3333333333333329E-2</v>
      </c>
      <c r="AF231" s="753">
        <f t="shared" si="189"/>
        <v>4577.4063831584444</v>
      </c>
      <c r="AG231" s="753"/>
      <c r="AH231" s="753"/>
      <c r="AI231" s="753"/>
      <c r="AJ231" s="765"/>
      <c r="AK231" s="765"/>
    </row>
    <row r="232" spans="2:37">
      <c r="B232" s="41" t="s">
        <v>834</v>
      </c>
      <c r="C232" s="41">
        <v>2021</v>
      </c>
      <c r="D232" s="41">
        <v>121</v>
      </c>
      <c r="E232" s="41">
        <v>1</v>
      </c>
      <c r="F232" s="763">
        <v>0</v>
      </c>
      <c r="G232" s="756" t="s">
        <v>153</v>
      </c>
      <c r="H232" s="41">
        <v>7</v>
      </c>
      <c r="I232" s="41">
        <f t="shared" si="178"/>
        <v>128</v>
      </c>
      <c r="L232" s="753">
        <v>11255.77</v>
      </c>
      <c r="M232" s="753">
        <v>0</v>
      </c>
      <c r="N232" s="753">
        <f t="shared" si="203"/>
        <v>11255.77</v>
      </c>
      <c r="O232" s="753">
        <f t="shared" si="204"/>
        <v>133.99726190476193</v>
      </c>
      <c r="P232" s="753">
        <f t="shared" si="181"/>
        <v>1607.9671428571432</v>
      </c>
      <c r="Q232" s="753">
        <f t="shared" si="182"/>
        <v>0</v>
      </c>
      <c r="R232" s="753">
        <f t="shared" si="164"/>
        <v>1607.9671428571432</v>
      </c>
      <c r="S232" s="764">
        <f>+'WP-10 - Disposal'!$P$46</f>
        <v>0.86738983940594916</v>
      </c>
      <c r="T232" s="753">
        <f t="shared" si="205"/>
        <v>1394.7343618129005</v>
      </c>
      <c r="U232" s="753">
        <f t="shared" si="184"/>
        <v>1607.9671428571432</v>
      </c>
      <c r="V232" s="753">
        <f t="shared" si="206"/>
        <v>1394.7343618129005</v>
      </c>
      <c r="W232" s="764">
        <v>1</v>
      </c>
      <c r="X232" s="753">
        <f t="shared" si="207"/>
        <v>1394.7343618129005</v>
      </c>
      <c r="Y232" s="753">
        <f t="shared" si="208"/>
        <v>2789.468723625801</v>
      </c>
      <c r="Z232" s="753">
        <f t="shared" si="196"/>
        <v>6973.671809064499</v>
      </c>
      <c r="AA232" s="753">
        <f t="shared" si="171"/>
        <v>121</v>
      </c>
      <c r="AB232" s="753">
        <f t="shared" si="172"/>
        <v>123</v>
      </c>
      <c r="AC232" s="753">
        <f t="shared" si="188"/>
        <v>128</v>
      </c>
      <c r="AD232" s="753">
        <f t="shared" si="174"/>
        <v>122</v>
      </c>
      <c r="AE232" s="753">
        <f t="shared" si="175"/>
        <v>-8.3333333333333329E-2</v>
      </c>
      <c r="AF232" s="753">
        <f t="shared" si="189"/>
        <v>2189.9966482161508</v>
      </c>
      <c r="AG232" s="753"/>
      <c r="AH232" s="753"/>
      <c r="AI232" s="753"/>
      <c r="AJ232" s="765"/>
      <c r="AK232" s="765"/>
    </row>
    <row r="233" spans="2:37">
      <c r="B233" s="41" t="s">
        <v>835</v>
      </c>
      <c r="C233" s="41">
        <v>2021</v>
      </c>
      <c r="D233" s="41">
        <v>121</v>
      </c>
      <c r="E233" s="41">
        <v>3</v>
      </c>
      <c r="F233" s="763">
        <v>0</v>
      </c>
      <c r="G233" s="756" t="s">
        <v>153</v>
      </c>
      <c r="H233" s="41">
        <v>7</v>
      </c>
      <c r="I233" s="41">
        <f t="shared" ref="I233:I249" si="209">D233+H233</f>
        <v>128</v>
      </c>
      <c r="L233" s="753">
        <v>17979.55</v>
      </c>
      <c r="M233" s="753">
        <v>0</v>
      </c>
      <c r="N233" s="753">
        <f t="shared" si="203"/>
        <v>17979.55</v>
      </c>
      <c r="O233" s="753">
        <f t="shared" si="204"/>
        <v>214.04226190476189</v>
      </c>
      <c r="P233" s="753">
        <f t="shared" ref="P233:P243" si="210">IF(Q233&gt;0,0,IF(OR(AA233&gt;AB233,AC233&lt;AD233),0,IF(AND(AC233&gt;=AD233,AC233&lt;=AB233),O233*((AC233-AD233)*12),IF(AND(AD233&lt;=AA233,AB233&gt;=AA233),((AB233-AA233)*12)*O233,IF(AC233&gt;AB233,12*O233,0)))))</f>
        <v>2568.5071428571428</v>
      </c>
      <c r="Q233" s="753">
        <f t="shared" ref="Q233:Q243" si="211">IF(M233=0,0,IF(AND(AE233&gt;=AD233,AE233&lt;=AC233),((AE233-AD233)*12)*O233,0))</f>
        <v>0</v>
      </c>
      <c r="R233" s="753">
        <f>IF(Q233&gt;0,Q233,P233)</f>
        <v>2568.5071428571428</v>
      </c>
      <c r="S233" s="764">
        <f>+'WP-10 - Disposal'!$P$46</f>
        <v>0.86738983940594916</v>
      </c>
      <c r="T233" s="753">
        <f t="shared" si="205"/>
        <v>2227.8969981558903</v>
      </c>
      <c r="U233" s="753">
        <f t="shared" ref="U233:U243" si="212">IF(AA233&gt;AB233,0,IF(AC233&lt;AD233,L233,IF(AND(AC233&gt;=AD233,AC233&lt;=AB233),(L233-R233),IF(AND(AD233&lt;=AA233,AB233&gt;=AA233),0,IF(AC233&gt;AB233,((AD233-AA233)*12)*O233,0)))))</f>
        <v>2140.4226190476065</v>
      </c>
      <c r="V233" s="753">
        <f t="shared" si="206"/>
        <v>1856.5808317965646</v>
      </c>
      <c r="W233" s="764">
        <v>1</v>
      </c>
      <c r="X233" s="753">
        <f t="shared" si="207"/>
        <v>1856.5808317965646</v>
      </c>
      <c r="Y233" s="753">
        <f t="shared" si="208"/>
        <v>4084.4778299524551</v>
      </c>
      <c r="Z233" s="753">
        <f t="shared" si="196"/>
        <v>11510.801157138778</v>
      </c>
      <c r="AA233" s="753">
        <f t="shared" si="171"/>
        <v>121.16666666666667</v>
      </c>
      <c r="AB233" s="753">
        <f t="shared" ref="AB233:AB243" si="213">($B$10+1)-($B$7/12)</f>
        <v>123</v>
      </c>
      <c r="AC233" s="753">
        <f t="shared" si="188"/>
        <v>128.16666666666666</v>
      </c>
      <c r="AD233" s="753">
        <f t="shared" ref="AD233:AD243" si="214">$B$9+($B$8/12)</f>
        <v>122</v>
      </c>
      <c r="AE233" s="753">
        <f t="shared" ref="AE233:AE243" si="215">$J233+(($K233-1)/12)</f>
        <v>-8.3333333333333329E-2</v>
      </c>
      <c r="AF233" s="753">
        <f t="shared" ref="AF233:AF243" si="216">L233-((X233+Y233)/2)-Z233</f>
        <v>3498.219511986712</v>
      </c>
      <c r="AG233" s="753"/>
      <c r="AH233" s="753"/>
      <c r="AI233" s="753"/>
      <c r="AJ233" s="765"/>
      <c r="AK233" s="765"/>
    </row>
    <row r="234" spans="2:37">
      <c r="B234" s="41" t="s">
        <v>836</v>
      </c>
      <c r="C234" s="41">
        <v>2021</v>
      </c>
      <c r="D234" s="41">
        <v>121</v>
      </c>
      <c r="E234" s="41">
        <v>7</v>
      </c>
      <c r="F234" s="763">
        <v>0</v>
      </c>
      <c r="G234" s="756" t="s">
        <v>153</v>
      </c>
      <c r="H234" s="41">
        <v>7</v>
      </c>
      <c r="I234" s="41">
        <f t="shared" si="209"/>
        <v>128</v>
      </c>
      <c r="L234" s="753">
        <v>40933.620000000003</v>
      </c>
      <c r="M234" s="753">
        <v>0</v>
      </c>
      <c r="N234" s="753">
        <f t="shared" si="203"/>
        <v>40933.620000000003</v>
      </c>
      <c r="O234" s="753">
        <f t="shared" si="204"/>
        <v>487.30500000000006</v>
      </c>
      <c r="P234" s="753">
        <f t="shared" si="210"/>
        <v>5847.6600000000008</v>
      </c>
      <c r="Q234" s="753">
        <f t="shared" si="211"/>
        <v>0</v>
      </c>
      <c r="R234" s="753">
        <f>IF(Q234&gt;0,Q234,P234)</f>
        <v>5847.6600000000008</v>
      </c>
      <c r="S234" s="764">
        <f>+'WP-10 - Disposal'!$P$46</f>
        <v>0.86738983940594916</v>
      </c>
      <c r="T234" s="753">
        <f t="shared" si="205"/>
        <v>5072.2008683005934</v>
      </c>
      <c r="U234" s="753">
        <f t="shared" si="212"/>
        <v>2923.8300000000004</v>
      </c>
      <c r="V234" s="753">
        <f t="shared" si="206"/>
        <v>2536.1004341502967</v>
      </c>
      <c r="W234" s="764">
        <v>1</v>
      </c>
      <c r="X234" s="753">
        <f t="shared" si="207"/>
        <v>2536.1004341502967</v>
      </c>
      <c r="Y234" s="753">
        <f t="shared" si="208"/>
        <v>7608.30130245089</v>
      </c>
      <c r="Z234" s="753">
        <f t="shared" si="196"/>
        <v>27897.104775653257</v>
      </c>
      <c r="AA234" s="753">
        <f t="shared" si="171"/>
        <v>121.5</v>
      </c>
      <c r="AB234" s="753">
        <f t="shared" si="213"/>
        <v>123</v>
      </c>
      <c r="AC234" s="753">
        <f t="shared" si="188"/>
        <v>128.5</v>
      </c>
      <c r="AD234" s="753">
        <f t="shared" si="214"/>
        <v>122</v>
      </c>
      <c r="AE234" s="753">
        <f t="shared" si="215"/>
        <v>-8.3333333333333329E-2</v>
      </c>
      <c r="AF234" s="753">
        <f t="shared" si="216"/>
        <v>7964.314356046154</v>
      </c>
      <c r="AG234" s="753"/>
      <c r="AH234" s="753"/>
      <c r="AI234" s="753"/>
      <c r="AJ234" s="765"/>
      <c r="AK234" s="765"/>
    </row>
    <row r="235" spans="2:37">
      <c r="B235" s="41" t="s">
        <v>837</v>
      </c>
      <c r="C235" s="41">
        <v>2021</v>
      </c>
      <c r="D235" s="41">
        <v>121</v>
      </c>
      <c r="E235" s="41">
        <v>7</v>
      </c>
      <c r="F235" s="763">
        <v>0</v>
      </c>
      <c r="G235" s="756" t="s">
        <v>153</v>
      </c>
      <c r="H235" s="41">
        <v>7</v>
      </c>
      <c r="I235" s="41">
        <f t="shared" si="209"/>
        <v>128</v>
      </c>
      <c r="L235" s="753">
        <v>27969.24</v>
      </c>
      <c r="M235" s="753">
        <v>0</v>
      </c>
      <c r="N235" s="753">
        <f t="shared" si="203"/>
        <v>27969.24</v>
      </c>
      <c r="O235" s="753">
        <f t="shared" si="204"/>
        <v>332.96714285714285</v>
      </c>
      <c r="P235" s="753">
        <f t="shared" si="210"/>
        <v>3995.6057142857144</v>
      </c>
      <c r="Q235" s="753">
        <f t="shared" si="211"/>
        <v>0</v>
      </c>
      <c r="R235" s="753">
        <f>IF(Q235&gt;0,Q235,P235)</f>
        <v>3995.6057142857144</v>
      </c>
      <c r="S235" s="764">
        <f>+'WP-10 - Disposal'!$P$46</f>
        <v>0.86738983940594916</v>
      </c>
      <c r="T235" s="753">
        <f t="shared" si="205"/>
        <v>3465.7477988437786</v>
      </c>
      <c r="U235" s="753">
        <f t="shared" si="212"/>
        <v>1997.8028571428572</v>
      </c>
      <c r="V235" s="753">
        <f t="shared" si="206"/>
        <v>1732.8738994218893</v>
      </c>
      <c r="W235" s="764">
        <v>1</v>
      </c>
      <c r="X235" s="753">
        <f t="shared" si="207"/>
        <v>1732.8738994218893</v>
      </c>
      <c r="Y235" s="753">
        <f t="shared" si="208"/>
        <v>5198.6216982656679</v>
      </c>
      <c r="Z235" s="753">
        <f t="shared" si="196"/>
        <v>19061.612893640784</v>
      </c>
      <c r="AA235" s="753">
        <f t="shared" si="171"/>
        <v>121.5</v>
      </c>
      <c r="AB235" s="753">
        <f t="shared" si="213"/>
        <v>123</v>
      </c>
      <c r="AC235" s="753">
        <f t="shared" si="188"/>
        <v>128.5</v>
      </c>
      <c r="AD235" s="753">
        <f t="shared" si="214"/>
        <v>122</v>
      </c>
      <c r="AE235" s="753">
        <f t="shared" si="215"/>
        <v>-8.3333333333333329E-2</v>
      </c>
      <c r="AF235" s="753">
        <f t="shared" si="216"/>
        <v>5441.879307515439</v>
      </c>
      <c r="AG235" s="753"/>
      <c r="AH235" s="753"/>
      <c r="AI235" s="753"/>
      <c r="AJ235" s="765"/>
      <c r="AK235" s="765"/>
    </row>
    <row r="236" spans="2:37">
      <c r="B236" s="41" t="s">
        <v>838</v>
      </c>
      <c r="C236" s="41">
        <v>2021</v>
      </c>
      <c r="D236" s="41">
        <v>121</v>
      </c>
      <c r="E236" s="41">
        <v>10</v>
      </c>
      <c r="F236" s="763">
        <v>0</v>
      </c>
      <c r="G236" s="756" t="s">
        <v>153</v>
      </c>
      <c r="H236" s="41">
        <v>7</v>
      </c>
      <c r="I236" s="41">
        <f t="shared" si="209"/>
        <v>128</v>
      </c>
      <c r="L236" s="753">
        <v>41502.51</v>
      </c>
      <c r="M236" s="753">
        <v>0</v>
      </c>
      <c r="N236" s="753">
        <f t="shared" si="203"/>
        <v>41502.51</v>
      </c>
      <c r="O236" s="753">
        <f t="shared" si="204"/>
        <v>494.07750000000004</v>
      </c>
      <c r="P236" s="753">
        <f t="shared" si="210"/>
        <v>5928.93</v>
      </c>
      <c r="Q236" s="753">
        <f t="shared" si="211"/>
        <v>0</v>
      </c>
      <c r="R236" s="753">
        <f>IF(Q236&gt;0,Q236,P236)</f>
        <v>5928.93</v>
      </c>
      <c r="S236" s="764">
        <f>+'WP-10 - Disposal'!$P$46</f>
        <v>0.86738983940594916</v>
      </c>
      <c r="T236" s="753">
        <f t="shared" si="205"/>
        <v>5142.6936405491142</v>
      </c>
      <c r="U236" s="753">
        <f t="shared" si="212"/>
        <v>1482.2325000000001</v>
      </c>
      <c r="V236" s="753">
        <f t="shared" si="206"/>
        <v>1285.6734101372786</v>
      </c>
      <c r="W236" s="764">
        <v>1</v>
      </c>
      <c r="X236" s="753">
        <f t="shared" si="207"/>
        <v>1285.6734101372786</v>
      </c>
      <c r="Y236" s="753">
        <f t="shared" si="208"/>
        <v>6428.3670506863928</v>
      </c>
      <c r="Z236" s="753">
        <f t="shared" si="196"/>
        <v>29570.488433157407</v>
      </c>
      <c r="AA236" s="753">
        <f t="shared" si="171"/>
        <v>121.75</v>
      </c>
      <c r="AB236" s="753">
        <f t="shared" si="213"/>
        <v>123</v>
      </c>
      <c r="AC236" s="753">
        <f t="shared" si="188"/>
        <v>128.75</v>
      </c>
      <c r="AD236" s="753">
        <f t="shared" si="214"/>
        <v>122</v>
      </c>
      <c r="AE236" s="753">
        <f t="shared" si="215"/>
        <v>-8.3333333333333329E-2</v>
      </c>
      <c r="AF236" s="753">
        <f t="shared" si="216"/>
        <v>8075.0013364307597</v>
      </c>
      <c r="AG236" s="753"/>
      <c r="AH236" s="753"/>
      <c r="AI236" s="753"/>
      <c r="AJ236" s="765"/>
      <c r="AK236" s="765"/>
    </row>
    <row r="237" spans="2:37">
      <c r="B237" s="41" t="s">
        <v>839</v>
      </c>
      <c r="C237" s="41">
        <v>2021</v>
      </c>
      <c r="D237" s="41">
        <v>121</v>
      </c>
      <c r="E237" s="41">
        <v>11</v>
      </c>
      <c r="F237" s="763">
        <v>0</v>
      </c>
      <c r="G237" s="756" t="s">
        <v>153</v>
      </c>
      <c r="H237" s="41">
        <v>7</v>
      </c>
      <c r="I237" s="41">
        <f t="shared" si="209"/>
        <v>128</v>
      </c>
      <c r="L237" s="753">
        <v>18330</v>
      </c>
      <c r="M237" s="753">
        <v>0</v>
      </c>
      <c r="N237" s="753">
        <f t="shared" si="203"/>
        <v>18330</v>
      </c>
      <c r="O237" s="753">
        <f t="shared" si="204"/>
        <v>218.21428571428569</v>
      </c>
      <c r="P237" s="753">
        <f t="shared" si="210"/>
        <v>2618.5714285714284</v>
      </c>
      <c r="Q237" s="753">
        <f t="shared" si="211"/>
        <v>0</v>
      </c>
      <c r="R237" s="753">
        <f>IF(Q237&gt;0,Q237,P237)</f>
        <v>2618.5714285714284</v>
      </c>
      <c r="S237" s="764">
        <f>+'WP-10 - Disposal'!$P$46</f>
        <v>0.86738983940594916</v>
      </c>
      <c r="T237" s="753">
        <f t="shared" si="205"/>
        <v>2271.3222509015782</v>
      </c>
      <c r="U237" s="753">
        <f t="shared" si="212"/>
        <v>436.42857142858378</v>
      </c>
      <c r="V237" s="753">
        <f t="shared" si="206"/>
        <v>378.55370848360712</v>
      </c>
      <c r="W237" s="764">
        <v>1</v>
      </c>
      <c r="X237" s="753">
        <f t="shared" si="207"/>
        <v>378.55370848360712</v>
      </c>
      <c r="Y237" s="753">
        <f t="shared" si="208"/>
        <v>2649.8759593851855</v>
      </c>
      <c r="Z237" s="753">
        <f t="shared" si="196"/>
        <v>13249.379796925863</v>
      </c>
      <c r="AA237" s="753">
        <f t="shared" si="171"/>
        <v>121.83333333333333</v>
      </c>
      <c r="AB237" s="753">
        <f t="shared" si="213"/>
        <v>123</v>
      </c>
      <c r="AC237" s="753">
        <f t="shared" si="188"/>
        <v>128.83333333333334</v>
      </c>
      <c r="AD237" s="753">
        <f t="shared" si="214"/>
        <v>122</v>
      </c>
      <c r="AE237" s="753">
        <f t="shared" si="215"/>
        <v>-8.3333333333333329E-2</v>
      </c>
      <c r="AF237" s="753">
        <f t="shared" si="216"/>
        <v>3566.4053691397421</v>
      </c>
      <c r="AG237" s="753"/>
      <c r="AH237" s="753"/>
      <c r="AI237" s="753"/>
      <c r="AJ237" s="765"/>
      <c r="AK237" s="765"/>
    </row>
    <row r="238" spans="2:37">
      <c r="B238" s="41" t="s">
        <v>840</v>
      </c>
      <c r="C238" s="41">
        <v>2022</v>
      </c>
      <c r="D238" s="41">
        <v>122</v>
      </c>
      <c r="E238" s="41">
        <v>1</v>
      </c>
      <c r="F238" s="763">
        <v>0</v>
      </c>
      <c r="G238" s="756" t="s">
        <v>153</v>
      </c>
      <c r="H238" s="41">
        <v>7</v>
      </c>
      <c r="I238" s="41">
        <f t="shared" si="209"/>
        <v>129</v>
      </c>
      <c r="L238" s="753">
        <v>22632.400000000001</v>
      </c>
      <c r="M238" s="753">
        <v>0</v>
      </c>
      <c r="N238" s="753">
        <f t="shared" ref="N238:N246" si="217">L238-(+L238*F238)</f>
        <v>22632.400000000001</v>
      </c>
      <c r="O238" s="753">
        <f t="shared" ref="O238:O246" si="218">(+N238/H238)/12</f>
        <v>269.43333333333334</v>
      </c>
      <c r="P238" s="753">
        <f t="shared" si="210"/>
        <v>3233.2</v>
      </c>
      <c r="Q238" s="753">
        <f t="shared" si="211"/>
        <v>0</v>
      </c>
      <c r="R238" s="753">
        <f t="shared" ref="R238:R243" si="219">IF(Q238&gt;0,Q238,P238)</f>
        <v>3233.2</v>
      </c>
      <c r="S238" s="764">
        <f>+'WP-10 - Disposal'!$P$46</f>
        <v>0.86738983940594916</v>
      </c>
      <c r="T238" s="753">
        <f t="shared" ref="T238:T243" si="220">S238*SUM(P238:Q238)</f>
        <v>2804.4448287673144</v>
      </c>
      <c r="U238" s="753">
        <f t="shared" si="212"/>
        <v>0</v>
      </c>
      <c r="V238" s="753">
        <f t="shared" ref="V238:V243" si="221">U238*S238</f>
        <v>0</v>
      </c>
      <c r="W238" s="764">
        <v>1</v>
      </c>
      <c r="X238" s="753">
        <f t="shared" ref="X238:X243" si="222">V238*W238</f>
        <v>0</v>
      </c>
      <c r="Y238" s="753">
        <f t="shared" ref="Y238:Y243" si="223">IF(M238&gt;0,0,X238+T238*W238)*W238</f>
        <v>2804.4448287673144</v>
      </c>
      <c r="Z238" s="753">
        <f t="shared" si="196"/>
        <v>16826.668972603889</v>
      </c>
      <c r="AA238" s="753">
        <f t="shared" si="171"/>
        <v>122</v>
      </c>
      <c r="AB238" s="753">
        <f t="shared" si="213"/>
        <v>123</v>
      </c>
      <c r="AC238" s="753">
        <f t="shared" si="188"/>
        <v>129</v>
      </c>
      <c r="AD238" s="753">
        <f t="shared" si="214"/>
        <v>122</v>
      </c>
      <c r="AE238" s="753">
        <f t="shared" si="215"/>
        <v>-8.3333333333333329E-2</v>
      </c>
      <c r="AF238" s="753">
        <f t="shared" si="216"/>
        <v>4403.5086130124546</v>
      </c>
      <c r="AG238" s="753"/>
      <c r="AH238" s="753"/>
      <c r="AI238" s="753"/>
      <c r="AJ238" s="765"/>
      <c r="AK238" s="765"/>
    </row>
    <row r="239" spans="2:37">
      <c r="B239" s="41" t="s">
        <v>841</v>
      </c>
      <c r="C239" s="41">
        <v>2022</v>
      </c>
      <c r="D239" s="41">
        <v>122</v>
      </c>
      <c r="E239" s="41">
        <v>4</v>
      </c>
      <c r="F239" s="763">
        <v>0</v>
      </c>
      <c r="G239" s="756" t="s">
        <v>153</v>
      </c>
      <c r="H239" s="41">
        <v>7</v>
      </c>
      <c r="I239" s="41">
        <f t="shared" si="209"/>
        <v>129</v>
      </c>
      <c r="L239" s="753">
        <v>23880</v>
      </c>
      <c r="M239" s="753">
        <v>0</v>
      </c>
      <c r="N239" s="753">
        <f t="shared" si="217"/>
        <v>23880</v>
      </c>
      <c r="O239" s="753">
        <f t="shared" si="218"/>
        <v>284.28571428571428</v>
      </c>
      <c r="P239" s="753">
        <f t="shared" si="210"/>
        <v>2558.5714285714284</v>
      </c>
      <c r="Q239" s="753">
        <f t="shared" si="211"/>
        <v>0</v>
      </c>
      <c r="R239" s="753">
        <f t="shared" si="219"/>
        <v>2558.5714285714284</v>
      </c>
      <c r="S239" s="764">
        <f>+'WP-10 - Disposal'!$P$46</f>
        <v>0.86738983940594916</v>
      </c>
      <c r="T239" s="753">
        <f t="shared" si="220"/>
        <v>2219.2788605372211</v>
      </c>
      <c r="U239" s="753">
        <f t="shared" si="212"/>
        <v>0</v>
      </c>
      <c r="V239" s="753">
        <f t="shared" si="221"/>
        <v>0</v>
      </c>
      <c r="W239" s="764">
        <v>1</v>
      </c>
      <c r="X239" s="753">
        <f t="shared" si="222"/>
        <v>0</v>
      </c>
      <c r="Y239" s="753">
        <f t="shared" si="223"/>
        <v>2219.2788605372211</v>
      </c>
      <c r="Z239" s="753">
        <f t="shared" si="196"/>
        <v>18493.990504476842</v>
      </c>
      <c r="AA239" s="753">
        <f t="shared" si="171"/>
        <v>122.25</v>
      </c>
      <c r="AB239" s="753">
        <f t="shared" si="213"/>
        <v>123</v>
      </c>
      <c r="AC239" s="753">
        <f t="shared" si="188"/>
        <v>129.25</v>
      </c>
      <c r="AD239" s="753">
        <f t="shared" si="214"/>
        <v>122</v>
      </c>
      <c r="AE239" s="753">
        <f t="shared" si="215"/>
        <v>-8.3333333333333329E-2</v>
      </c>
      <c r="AF239" s="753">
        <f t="shared" si="216"/>
        <v>4276.3700652545485</v>
      </c>
      <c r="AG239" s="753"/>
      <c r="AH239" s="753"/>
      <c r="AI239" s="753"/>
      <c r="AJ239" s="765"/>
      <c r="AK239" s="765"/>
    </row>
    <row r="240" spans="2:37">
      <c r="B240" s="41" t="s">
        <v>842</v>
      </c>
      <c r="C240" s="41">
        <v>2022</v>
      </c>
      <c r="D240" s="41">
        <v>122</v>
      </c>
      <c r="E240" s="41">
        <v>7</v>
      </c>
      <c r="F240" s="763">
        <v>0</v>
      </c>
      <c r="G240" s="756" t="s">
        <v>153</v>
      </c>
      <c r="H240" s="41">
        <v>7</v>
      </c>
      <c r="I240" s="41">
        <f t="shared" si="209"/>
        <v>129</v>
      </c>
      <c r="L240" s="753">
        <v>42102</v>
      </c>
      <c r="M240" s="753">
        <v>0</v>
      </c>
      <c r="N240" s="753">
        <f t="shared" si="217"/>
        <v>42102</v>
      </c>
      <c r="O240" s="753">
        <f t="shared" si="218"/>
        <v>501.21428571428572</v>
      </c>
      <c r="P240" s="753">
        <f t="shared" si="210"/>
        <v>3007.2857142857142</v>
      </c>
      <c r="Q240" s="753">
        <f t="shared" si="211"/>
        <v>0</v>
      </c>
      <c r="R240" s="753">
        <f t="shared" si="219"/>
        <v>3007.2857142857142</v>
      </c>
      <c r="S240" s="764">
        <f>+'WP-10 - Disposal'!$P$46</f>
        <v>0.86738983940594916</v>
      </c>
      <c r="T240" s="753">
        <f t="shared" si="220"/>
        <v>2608.4890727620909</v>
      </c>
      <c r="U240" s="753">
        <f t="shared" si="212"/>
        <v>0</v>
      </c>
      <c r="V240" s="753">
        <f t="shared" si="221"/>
        <v>0</v>
      </c>
      <c r="W240" s="764">
        <v>1</v>
      </c>
      <c r="X240" s="753">
        <f t="shared" si="222"/>
        <v>0</v>
      </c>
      <c r="Y240" s="753">
        <f t="shared" si="223"/>
        <v>2608.4890727620909</v>
      </c>
      <c r="Z240" s="753">
        <f t="shared" si="196"/>
        <v>33910.357945907184</v>
      </c>
      <c r="AA240" s="753">
        <f t="shared" si="171"/>
        <v>122.5</v>
      </c>
      <c r="AB240" s="753">
        <f t="shared" si="213"/>
        <v>123</v>
      </c>
      <c r="AC240" s="753">
        <f t="shared" si="188"/>
        <v>129.5</v>
      </c>
      <c r="AD240" s="753">
        <f t="shared" si="214"/>
        <v>122</v>
      </c>
      <c r="AE240" s="753">
        <f t="shared" si="215"/>
        <v>-8.3333333333333329E-2</v>
      </c>
      <c r="AF240" s="753">
        <f t="shared" si="216"/>
        <v>6887.3975177117682</v>
      </c>
      <c r="AG240" s="753"/>
      <c r="AH240" s="753"/>
      <c r="AI240" s="753"/>
      <c r="AJ240" s="765"/>
      <c r="AK240" s="765"/>
    </row>
    <row r="241" spans="2:37">
      <c r="B241" s="41" t="s">
        <v>843</v>
      </c>
      <c r="C241" s="41">
        <v>2022</v>
      </c>
      <c r="D241" s="41">
        <v>122</v>
      </c>
      <c r="E241" s="41">
        <v>7</v>
      </c>
      <c r="F241" s="763">
        <v>0</v>
      </c>
      <c r="G241" s="756" t="s">
        <v>153</v>
      </c>
      <c r="H241" s="41">
        <v>7</v>
      </c>
      <c r="I241" s="41">
        <f t="shared" si="209"/>
        <v>129</v>
      </c>
      <c r="L241" s="753">
        <v>35767.21</v>
      </c>
      <c r="M241" s="753">
        <v>0</v>
      </c>
      <c r="N241" s="753">
        <f t="shared" si="217"/>
        <v>35767.21</v>
      </c>
      <c r="O241" s="753">
        <f t="shared" si="218"/>
        <v>425.80011904761903</v>
      </c>
      <c r="P241" s="753">
        <f t="shared" si="210"/>
        <v>2554.8007142857141</v>
      </c>
      <c r="Q241" s="753">
        <f t="shared" si="211"/>
        <v>0</v>
      </c>
      <c r="R241" s="753">
        <f t="shared" si="219"/>
        <v>2554.8007142857141</v>
      </c>
      <c r="S241" s="764">
        <f>+'WP-10 - Disposal'!$P$46</f>
        <v>0.86738983940594916</v>
      </c>
      <c r="T241" s="753">
        <f t="shared" si="220"/>
        <v>2216.0081812784897</v>
      </c>
      <c r="U241" s="753">
        <f t="shared" si="212"/>
        <v>0</v>
      </c>
      <c r="V241" s="753">
        <f t="shared" si="221"/>
        <v>0</v>
      </c>
      <c r="W241" s="764">
        <v>1</v>
      </c>
      <c r="X241" s="753">
        <f t="shared" si="222"/>
        <v>0</v>
      </c>
      <c r="Y241" s="753">
        <f t="shared" si="223"/>
        <v>2216.0081812784897</v>
      </c>
      <c r="Z241" s="753">
        <f t="shared" si="196"/>
        <v>28808.10635662037</v>
      </c>
      <c r="AA241" s="753">
        <f t="shared" si="171"/>
        <v>122.5</v>
      </c>
      <c r="AB241" s="753">
        <f t="shared" si="213"/>
        <v>123</v>
      </c>
      <c r="AC241" s="753">
        <f t="shared" si="188"/>
        <v>129.5</v>
      </c>
      <c r="AD241" s="753">
        <f t="shared" si="214"/>
        <v>122</v>
      </c>
      <c r="AE241" s="753">
        <f t="shared" si="215"/>
        <v>-8.3333333333333329E-2</v>
      </c>
      <c r="AF241" s="753">
        <f t="shared" si="216"/>
        <v>5851.0995527403829</v>
      </c>
      <c r="AG241" s="753"/>
      <c r="AH241" s="753"/>
      <c r="AI241" s="753"/>
      <c r="AJ241" s="765"/>
      <c r="AK241" s="765"/>
    </row>
    <row r="242" spans="2:37">
      <c r="B242" s="41" t="s">
        <v>844</v>
      </c>
      <c r="C242" s="41">
        <v>2022</v>
      </c>
      <c r="D242" s="41">
        <v>122</v>
      </c>
      <c r="E242" s="41">
        <v>10</v>
      </c>
      <c r="F242" s="763">
        <v>0</v>
      </c>
      <c r="G242" s="756" t="s">
        <v>153</v>
      </c>
      <c r="H242" s="41">
        <v>7</v>
      </c>
      <c r="I242" s="41">
        <f t="shared" si="209"/>
        <v>129</v>
      </c>
      <c r="L242" s="753">
        <v>19656</v>
      </c>
      <c r="M242" s="753">
        <v>0</v>
      </c>
      <c r="N242" s="753">
        <f t="shared" si="217"/>
        <v>19656</v>
      </c>
      <c r="O242" s="753">
        <f t="shared" si="218"/>
        <v>234</v>
      </c>
      <c r="P242" s="753">
        <f t="shared" si="210"/>
        <v>702</v>
      </c>
      <c r="Q242" s="753">
        <f t="shared" si="211"/>
        <v>0</v>
      </c>
      <c r="R242" s="753">
        <f t="shared" si="219"/>
        <v>702</v>
      </c>
      <c r="S242" s="764">
        <f>+'WP-10 - Disposal'!$P$46</f>
        <v>0.86738983940594916</v>
      </c>
      <c r="T242" s="753">
        <f t="shared" si="220"/>
        <v>608.90766726297636</v>
      </c>
      <c r="U242" s="753">
        <f t="shared" si="212"/>
        <v>0</v>
      </c>
      <c r="V242" s="753">
        <f t="shared" si="221"/>
        <v>0</v>
      </c>
      <c r="W242" s="764">
        <v>1</v>
      </c>
      <c r="X242" s="753">
        <f t="shared" si="222"/>
        <v>0</v>
      </c>
      <c r="Y242" s="753">
        <f t="shared" si="223"/>
        <v>608.90766726297636</v>
      </c>
      <c r="Z242" s="753">
        <f t="shared" si="196"/>
        <v>16440.507016100357</v>
      </c>
      <c r="AA242" s="753">
        <f t="shared" si="171"/>
        <v>122.75</v>
      </c>
      <c r="AB242" s="753">
        <f t="shared" si="213"/>
        <v>123</v>
      </c>
      <c r="AC242" s="753">
        <f t="shared" si="188"/>
        <v>129.75</v>
      </c>
      <c r="AD242" s="753">
        <f t="shared" si="214"/>
        <v>122</v>
      </c>
      <c r="AE242" s="753">
        <f t="shared" si="215"/>
        <v>-8.3333333333333329E-2</v>
      </c>
      <c r="AF242" s="753">
        <f t="shared" si="216"/>
        <v>2911.0391502681559</v>
      </c>
      <c r="AG242" s="753"/>
      <c r="AH242" s="753"/>
      <c r="AI242" s="753"/>
      <c r="AJ242" s="765"/>
      <c r="AK242" s="765"/>
    </row>
    <row r="243" spans="2:37">
      <c r="B243" s="41" t="s">
        <v>845</v>
      </c>
      <c r="C243" s="41">
        <v>2022</v>
      </c>
      <c r="D243" s="41">
        <v>122</v>
      </c>
      <c r="E243" s="41">
        <v>12</v>
      </c>
      <c r="F243" s="763">
        <v>0</v>
      </c>
      <c r="G243" s="756" t="s">
        <v>153</v>
      </c>
      <c r="H243" s="41">
        <v>7</v>
      </c>
      <c r="I243" s="41">
        <f t="shared" si="209"/>
        <v>129</v>
      </c>
      <c r="L243" s="753">
        <v>34806</v>
      </c>
      <c r="M243" s="753">
        <v>0</v>
      </c>
      <c r="N243" s="753">
        <f t="shared" si="217"/>
        <v>34806</v>
      </c>
      <c r="O243" s="753">
        <f t="shared" si="218"/>
        <v>414.35714285714289</v>
      </c>
      <c r="P243" s="753">
        <f t="shared" si="210"/>
        <v>414.35714285711936</v>
      </c>
      <c r="Q243" s="753">
        <f t="shared" si="211"/>
        <v>0</v>
      </c>
      <c r="R243" s="753">
        <f t="shared" si="219"/>
        <v>414.35714285711936</v>
      </c>
      <c r="S243" s="764">
        <f>+'WP-10 - Disposal'!$P$46</f>
        <v>0.86738983940594916</v>
      </c>
      <c r="T243" s="753">
        <f t="shared" si="220"/>
        <v>359.40917559954471</v>
      </c>
      <c r="U243" s="753">
        <f t="shared" si="212"/>
        <v>0</v>
      </c>
      <c r="V243" s="753">
        <f t="shared" si="221"/>
        <v>0</v>
      </c>
      <c r="W243" s="764">
        <v>1</v>
      </c>
      <c r="X243" s="753">
        <f t="shared" si="222"/>
        <v>0</v>
      </c>
      <c r="Y243" s="753">
        <f t="shared" si="223"/>
        <v>359.40917559954471</v>
      </c>
      <c r="Z243" s="753">
        <f t="shared" si="196"/>
        <v>29830.961574763922</v>
      </c>
      <c r="AA243" s="753">
        <f t="shared" si="171"/>
        <v>122.91666666666667</v>
      </c>
      <c r="AB243" s="753">
        <f t="shared" si="213"/>
        <v>123</v>
      </c>
      <c r="AC243" s="753">
        <f t="shared" si="188"/>
        <v>129.91666666666666</v>
      </c>
      <c r="AD243" s="753">
        <f t="shared" si="214"/>
        <v>122</v>
      </c>
      <c r="AE243" s="753">
        <f t="shared" si="215"/>
        <v>-8.3333333333333329E-2</v>
      </c>
      <c r="AF243" s="753">
        <f t="shared" si="216"/>
        <v>4795.3338374363047</v>
      </c>
      <c r="AG243" s="753"/>
      <c r="AH243" s="753"/>
      <c r="AI243" s="753"/>
      <c r="AJ243" s="765"/>
      <c r="AK243" s="765"/>
    </row>
    <row r="244" spans="2:37" s="757" customFormat="1">
      <c r="B244" s="757" t="s">
        <v>887</v>
      </c>
      <c r="C244" s="757">
        <v>2023</v>
      </c>
      <c r="D244" s="757">
        <v>123</v>
      </c>
      <c r="E244" s="757">
        <v>6</v>
      </c>
      <c r="F244" s="769">
        <v>0</v>
      </c>
      <c r="G244" s="770" t="s">
        <v>153</v>
      </c>
      <c r="H244" s="757">
        <v>7</v>
      </c>
      <c r="I244" s="757">
        <f t="shared" si="209"/>
        <v>130</v>
      </c>
      <c r="L244" s="755">
        <v>8952.2999999999993</v>
      </c>
      <c r="M244" s="755"/>
      <c r="N244" s="755">
        <f t="shared" si="217"/>
        <v>8952.2999999999993</v>
      </c>
      <c r="O244" s="755">
        <f t="shared" si="218"/>
        <v>106.57499999999999</v>
      </c>
      <c r="P244" s="755"/>
      <c r="Q244" s="755"/>
      <c r="R244" s="755"/>
      <c r="S244" s="771"/>
      <c r="T244" s="755"/>
      <c r="U244" s="755"/>
      <c r="V244" s="755"/>
      <c r="W244" s="771"/>
      <c r="X244" s="755"/>
      <c r="Y244" s="755"/>
      <c r="Z244" s="755"/>
      <c r="AA244" s="755">
        <f t="shared" si="171"/>
        <v>123.41666666666667</v>
      </c>
      <c r="AB244" s="755"/>
      <c r="AC244" s="755">
        <f t="shared" si="188"/>
        <v>130.41666666666666</v>
      </c>
      <c r="AD244" s="755"/>
      <c r="AE244" s="755"/>
      <c r="AF244" s="755"/>
      <c r="AG244" s="755"/>
      <c r="AH244" s="755"/>
      <c r="AI244" s="755"/>
      <c r="AJ244" s="776"/>
      <c r="AK244" s="776"/>
    </row>
    <row r="245" spans="2:37" s="757" customFormat="1">
      <c r="B245" s="757" t="s">
        <v>888</v>
      </c>
      <c r="C245" s="757">
        <v>2023</v>
      </c>
      <c r="D245" s="757">
        <v>123</v>
      </c>
      <c r="E245" s="757">
        <v>6</v>
      </c>
      <c r="F245" s="769">
        <v>0</v>
      </c>
      <c r="G245" s="770" t="s">
        <v>153</v>
      </c>
      <c r="H245" s="757">
        <v>7</v>
      </c>
      <c r="I245" s="757">
        <f t="shared" si="209"/>
        <v>130</v>
      </c>
      <c r="L245" s="755">
        <v>29436.75</v>
      </c>
      <c r="M245" s="755"/>
      <c r="N245" s="755">
        <f t="shared" si="217"/>
        <v>29436.75</v>
      </c>
      <c r="O245" s="755">
        <f t="shared" si="218"/>
        <v>350.4375</v>
      </c>
      <c r="P245" s="755"/>
      <c r="Q245" s="755"/>
      <c r="R245" s="755"/>
      <c r="S245" s="771"/>
      <c r="T245" s="755"/>
      <c r="U245" s="755"/>
      <c r="V245" s="755"/>
      <c r="W245" s="771"/>
      <c r="X245" s="755"/>
      <c r="Y245" s="755"/>
      <c r="Z245" s="755"/>
      <c r="AA245" s="755">
        <f t="shared" si="171"/>
        <v>123.41666666666667</v>
      </c>
      <c r="AB245" s="755"/>
      <c r="AC245" s="755">
        <f t="shared" si="188"/>
        <v>130.41666666666666</v>
      </c>
      <c r="AD245" s="755"/>
      <c r="AE245" s="755"/>
      <c r="AF245" s="755"/>
      <c r="AG245" s="755"/>
      <c r="AH245" s="755"/>
      <c r="AI245" s="755"/>
      <c r="AJ245" s="776"/>
      <c r="AK245" s="776"/>
    </row>
    <row r="246" spans="2:37" s="757" customFormat="1">
      <c r="B246" s="757" t="s">
        <v>889</v>
      </c>
      <c r="C246" s="757">
        <v>2023</v>
      </c>
      <c r="D246" s="757">
        <v>123</v>
      </c>
      <c r="E246" s="757">
        <v>6</v>
      </c>
      <c r="F246" s="769">
        <v>0</v>
      </c>
      <c r="G246" s="770" t="s">
        <v>153</v>
      </c>
      <c r="H246" s="757">
        <v>7</v>
      </c>
      <c r="I246" s="757">
        <f t="shared" si="209"/>
        <v>130</v>
      </c>
      <c r="L246" s="755">
        <v>34550.15</v>
      </c>
      <c r="M246" s="755"/>
      <c r="N246" s="755">
        <f t="shared" si="217"/>
        <v>34550.15</v>
      </c>
      <c r="O246" s="755">
        <f t="shared" si="218"/>
        <v>411.31130952380954</v>
      </c>
      <c r="P246" s="755"/>
      <c r="Q246" s="755"/>
      <c r="R246" s="755"/>
      <c r="S246" s="771"/>
      <c r="T246" s="755"/>
      <c r="U246" s="755"/>
      <c r="V246" s="755"/>
      <c r="W246" s="771"/>
      <c r="X246" s="755"/>
      <c r="Y246" s="755"/>
      <c r="Z246" s="755"/>
      <c r="AA246" s="755">
        <f t="shared" si="171"/>
        <v>123.41666666666667</v>
      </c>
      <c r="AB246" s="755"/>
      <c r="AC246" s="755">
        <f t="shared" si="188"/>
        <v>130.41666666666666</v>
      </c>
      <c r="AD246" s="755"/>
      <c r="AE246" s="755"/>
      <c r="AF246" s="755"/>
      <c r="AG246" s="755"/>
      <c r="AH246" s="755"/>
      <c r="AI246" s="755"/>
      <c r="AJ246" s="776"/>
      <c r="AK246" s="776"/>
    </row>
    <row r="247" spans="2:37" s="757" customFormat="1">
      <c r="B247" s="757" t="s">
        <v>963</v>
      </c>
      <c r="C247" s="757">
        <v>2023</v>
      </c>
      <c r="D247" s="757">
        <v>123</v>
      </c>
      <c r="E247" s="757">
        <v>7</v>
      </c>
      <c r="F247" s="769">
        <v>0</v>
      </c>
      <c r="G247" s="770" t="s">
        <v>153</v>
      </c>
      <c r="H247" s="757">
        <v>7</v>
      </c>
      <c r="I247" s="757">
        <f t="shared" si="209"/>
        <v>130</v>
      </c>
      <c r="L247" s="755">
        <f>23544+(4332.1/2)</f>
        <v>25710.05</v>
      </c>
      <c r="M247" s="755"/>
      <c r="N247" s="755">
        <f>L247-(+L247*F247)</f>
        <v>25710.05</v>
      </c>
      <c r="O247" s="755">
        <f>(+N247/H247)/12</f>
        <v>306.07202380952378</v>
      </c>
      <c r="P247" s="755"/>
      <c r="Q247" s="755"/>
      <c r="R247" s="755"/>
      <c r="S247" s="771"/>
      <c r="T247" s="755"/>
      <c r="U247" s="755"/>
      <c r="V247" s="755"/>
      <c r="W247" s="771"/>
      <c r="X247" s="755"/>
      <c r="Y247" s="755"/>
      <c r="Z247" s="755"/>
      <c r="AA247" s="755">
        <f t="shared" si="171"/>
        <v>123.5</v>
      </c>
      <c r="AB247" s="755"/>
      <c r="AC247" s="755">
        <f t="shared" si="188"/>
        <v>130.5</v>
      </c>
      <c r="AD247" s="755"/>
      <c r="AE247" s="755"/>
      <c r="AF247" s="755"/>
      <c r="AG247" s="755"/>
      <c r="AH247" s="755"/>
      <c r="AI247" s="755"/>
      <c r="AJ247" s="776"/>
      <c r="AK247" s="776"/>
    </row>
    <row r="248" spans="2:37" s="757" customFormat="1">
      <c r="B248" s="757" t="s">
        <v>964</v>
      </c>
      <c r="C248" s="757">
        <v>2023</v>
      </c>
      <c r="D248" s="757">
        <v>123</v>
      </c>
      <c r="E248" s="757">
        <v>7</v>
      </c>
      <c r="F248" s="769">
        <v>0</v>
      </c>
      <c r="G248" s="770" t="s">
        <v>153</v>
      </c>
      <c r="H248" s="757">
        <v>7</v>
      </c>
      <c r="I248" s="757">
        <f t="shared" si="209"/>
        <v>130</v>
      </c>
      <c r="L248" s="755">
        <v>8701.76</v>
      </c>
      <c r="M248" s="755"/>
      <c r="N248" s="755">
        <f>L248-(+L248*F248)</f>
        <v>8701.76</v>
      </c>
      <c r="O248" s="755">
        <f>(+N248/H248)/12</f>
        <v>103.59238095238095</v>
      </c>
      <c r="P248" s="755"/>
      <c r="Q248" s="755"/>
      <c r="R248" s="755"/>
      <c r="S248" s="771"/>
      <c r="T248" s="755"/>
      <c r="U248" s="755"/>
      <c r="V248" s="755"/>
      <c r="W248" s="771"/>
      <c r="X248" s="755"/>
      <c r="Y248" s="755"/>
      <c r="Z248" s="755"/>
      <c r="AA248" s="755">
        <f t="shared" si="171"/>
        <v>123.5</v>
      </c>
      <c r="AB248" s="755"/>
      <c r="AC248" s="755">
        <f t="shared" si="188"/>
        <v>130.5</v>
      </c>
      <c r="AD248" s="755"/>
      <c r="AE248" s="755"/>
      <c r="AF248" s="755"/>
      <c r="AG248" s="755"/>
      <c r="AH248" s="755"/>
      <c r="AI248" s="755"/>
      <c r="AJ248" s="776"/>
      <c r="AK248" s="776"/>
    </row>
    <row r="249" spans="2:37" s="757" customFormat="1">
      <c r="B249" s="757" t="s">
        <v>965</v>
      </c>
      <c r="C249" s="757">
        <v>2023</v>
      </c>
      <c r="D249" s="757">
        <v>123</v>
      </c>
      <c r="E249" s="757">
        <v>7</v>
      </c>
      <c r="F249" s="769">
        <v>0</v>
      </c>
      <c r="G249" s="770" t="s">
        <v>153</v>
      </c>
      <c r="H249" s="757">
        <v>7</v>
      </c>
      <c r="I249" s="757">
        <f t="shared" si="209"/>
        <v>130</v>
      </c>
      <c r="L249" s="755">
        <v>2405.13</v>
      </c>
      <c r="M249" s="755"/>
      <c r="N249" s="755">
        <f>L249-(+L249*F249)</f>
        <v>2405.13</v>
      </c>
      <c r="O249" s="755">
        <f>(+N249/H249)/12</f>
        <v>28.632500000000004</v>
      </c>
      <c r="P249" s="755"/>
      <c r="Q249" s="755"/>
      <c r="R249" s="755"/>
      <c r="S249" s="771"/>
      <c r="T249" s="755"/>
      <c r="U249" s="755"/>
      <c r="V249" s="755"/>
      <c r="W249" s="771"/>
      <c r="X249" s="755"/>
      <c r="Y249" s="755"/>
      <c r="Z249" s="755"/>
      <c r="AA249" s="755">
        <f t="shared" si="171"/>
        <v>123.5</v>
      </c>
      <c r="AB249" s="755"/>
      <c r="AC249" s="755">
        <f t="shared" si="188"/>
        <v>130.5</v>
      </c>
      <c r="AD249" s="755"/>
      <c r="AE249" s="755"/>
      <c r="AF249" s="755"/>
      <c r="AG249" s="755"/>
      <c r="AH249" s="755"/>
      <c r="AI249" s="755"/>
      <c r="AJ249" s="776"/>
      <c r="AK249" s="776"/>
    </row>
    <row r="250" spans="2:37">
      <c r="F250" s="763"/>
      <c r="G250" s="756"/>
      <c r="L250" s="753"/>
      <c r="M250" s="753"/>
      <c r="N250" s="753"/>
      <c r="O250" s="753"/>
      <c r="P250" s="753"/>
      <c r="Q250" s="753"/>
      <c r="R250" s="753"/>
      <c r="S250" s="764"/>
      <c r="T250" s="753"/>
      <c r="U250" s="753"/>
      <c r="V250" s="753"/>
      <c r="W250" s="764"/>
      <c r="X250" s="753"/>
      <c r="Y250" s="753"/>
      <c r="Z250" s="753"/>
      <c r="AA250" s="753"/>
      <c r="AB250" s="753"/>
      <c r="AC250" s="753"/>
      <c r="AD250" s="753"/>
      <c r="AE250" s="753"/>
      <c r="AF250" s="753"/>
      <c r="AG250" s="753"/>
      <c r="AH250" s="753"/>
      <c r="AI250" s="753"/>
      <c r="AJ250" s="765"/>
      <c r="AK250" s="765"/>
    </row>
    <row r="251" spans="2:37">
      <c r="B251" s="221" t="s">
        <v>765</v>
      </c>
      <c r="L251" s="223">
        <f>SUM(L169:L243)</f>
        <v>1057019.69</v>
      </c>
      <c r="M251" s="753"/>
      <c r="N251" s="223">
        <f>SUM(N169:N243)</f>
        <v>1057019.69</v>
      </c>
      <c r="O251" s="223">
        <f>SUM(O169:O243)</f>
        <v>10793.502579365078</v>
      </c>
      <c r="P251" s="223">
        <f>SUM(P169:P243)</f>
        <v>100867.5850515873</v>
      </c>
      <c r="Q251" s="223">
        <f>SUM(Q169:Q243)</f>
        <v>0</v>
      </c>
      <c r="R251" s="223">
        <f>SUM(R169:R243)</f>
        <v>100867.5850515873</v>
      </c>
      <c r="S251" s="753"/>
      <c r="T251" s="223">
        <f>SUM(T169:T243)</f>
        <v>87491.518399162218</v>
      </c>
      <c r="U251" s="223">
        <f>SUM(U169:U243)</f>
        <v>390340.61448412715</v>
      </c>
      <c r="V251" s="223">
        <f>SUM(V169:V243)</f>
        <v>338577.48291100637</v>
      </c>
      <c r="W251" s="753"/>
      <c r="X251" s="223">
        <f>SUM(X169:X243)</f>
        <v>338577.48291100637</v>
      </c>
      <c r="Y251" s="223">
        <f>SUM(Y169:Y243)</f>
        <v>426069.00131016847</v>
      </c>
      <c r="Z251" s="223">
        <f>SUM(Z169:Z243)</f>
        <v>490779.13784785743</v>
      </c>
      <c r="AA251" s="753"/>
      <c r="AB251" s="753"/>
      <c r="AC251" s="753"/>
      <c r="AD251" s="753"/>
      <c r="AE251" s="753"/>
      <c r="AF251" s="772">
        <f>SUM(AF169:AF243)</f>
        <v>183917.31004155494</v>
      </c>
      <c r="AG251" s="753"/>
      <c r="AH251" s="753"/>
      <c r="AI251" s="753"/>
    </row>
    <row r="252" spans="2:37">
      <c r="L252" s="753"/>
      <c r="M252" s="753"/>
      <c r="N252" s="753"/>
      <c r="O252" s="753"/>
      <c r="P252" s="753"/>
      <c r="Q252" s="753"/>
      <c r="R252" s="753"/>
      <c r="S252" s="765"/>
      <c r="T252" s="753"/>
      <c r="U252" s="753"/>
      <c r="V252" s="753"/>
      <c r="W252" s="765"/>
      <c r="X252" s="753"/>
      <c r="Y252" s="753"/>
      <c r="Z252" s="753"/>
      <c r="AA252" s="753"/>
      <c r="AB252" s="753"/>
      <c r="AC252" s="753"/>
      <c r="AD252" s="753"/>
      <c r="AE252" s="753"/>
      <c r="AF252" s="753"/>
      <c r="AG252" s="753"/>
      <c r="AH252" s="753"/>
      <c r="AI252" s="753"/>
      <c r="AJ252" s="765"/>
      <c r="AK252" s="765"/>
    </row>
    <row r="253" spans="2:37">
      <c r="B253" s="55" t="s">
        <v>378</v>
      </c>
      <c r="L253" s="753"/>
      <c r="M253" s="753"/>
      <c r="N253" s="753"/>
      <c r="O253" s="753"/>
      <c r="P253" s="753"/>
      <c r="Q253" s="753"/>
      <c r="R253" s="753"/>
      <c r="T253" s="753"/>
      <c r="U253" s="753"/>
      <c r="V253" s="753"/>
      <c r="X253" s="753"/>
      <c r="Y253" s="753"/>
      <c r="Z253" s="753"/>
      <c r="AA253" s="753"/>
      <c r="AB253" s="753"/>
      <c r="AC253" s="753"/>
      <c r="AD253" s="753"/>
      <c r="AE253" s="753"/>
      <c r="AF253" s="753"/>
      <c r="AG253" s="753"/>
      <c r="AH253" s="753"/>
      <c r="AI253" s="753"/>
    </row>
    <row r="254" spans="2:37">
      <c r="B254" s="41" t="s">
        <v>495</v>
      </c>
      <c r="C254" s="41">
        <v>1993</v>
      </c>
      <c r="D254" s="41">
        <v>93</v>
      </c>
      <c r="E254" s="41">
        <v>10</v>
      </c>
      <c r="F254" s="141">
        <v>0</v>
      </c>
      <c r="G254" s="756" t="s">
        <v>153</v>
      </c>
      <c r="H254" s="41">
        <v>7</v>
      </c>
      <c r="I254" s="41">
        <f t="shared" ref="I254:I302" si="224">D254+H254</f>
        <v>100</v>
      </c>
      <c r="L254" s="753">
        <v>24574.02</v>
      </c>
      <c r="M254" s="753">
        <v>0</v>
      </c>
      <c r="N254" s="753">
        <f>L254-(+L254*F254)</f>
        <v>24574.02</v>
      </c>
      <c r="O254" s="753">
        <f>N254/H254/12</f>
        <v>292.54785714285714</v>
      </c>
      <c r="P254" s="753">
        <f t="shared" ref="P254:P301" si="225">IF(Q254&gt;0,0,IF(OR(AA254&gt;AB254,AC254&lt;AD254),0,IF(AND(AC254&gt;=AD254,AC254&lt;=AB254),O254*((AC254-AD254)*12),IF(AND(AD254&lt;=AA254,AB254&gt;=AA254),((AB254-AA254)*12)*O254,IF(AC254&gt;AB254,12*O254,0)))))</f>
        <v>0</v>
      </c>
      <c r="Q254" s="753">
        <f t="shared" ref="Q254:Q301" si="226">IF(M254=0,0,IF(AND(AE254&gt;=AD254,AE254&lt;=AC254),((AE254-AD254)*12)*O254,0))</f>
        <v>0</v>
      </c>
      <c r="R254" s="753">
        <f>IF(Q254&gt;0,Q254,P254)</f>
        <v>0</v>
      </c>
      <c r="S254" s="764">
        <f>+'WP-10 - Disposal'!$P$46</f>
        <v>0.86738983940594916</v>
      </c>
      <c r="T254" s="753">
        <f>S254*SUM(P254:Q254)</f>
        <v>0</v>
      </c>
      <c r="U254" s="753">
        <f t="shared" ref="U254:U301" si="227">IF(AA254&gt;AB254,0,IF(AC254&lt;AD254,L254,IF(AND(AC254&gt;=AD254,AC254&lt;=AB254),(L254-R254),IF(AND(AD254&lt;=AA254,AB254&gt;=AA254),0,IF(AC254&gt;AB254,((AD254-AA254)*12)*O254,0)))))</f>
        <v>24574.02</v>
      </c>
      <c r="V254" s="753">
        <f>U254*S254</f>
        <v>21315.255261358583</v>
      </c>
      <c r="W254" s="764">
        <v>1</v>
      </c>
      <c r="X254" s="753">
        <f>V254*W254</f>
        <v>21315.255261358583</v>
      </c>
      <c r="Y254" s="753">
        <f>IF(M254&gt;0,0,X254+T254*W254)*W254</f>
        <v>21315.255261358583</v>
      </c>
      <c r="Z254" s="753">
        <f t="shared" ref="Z254:Z301" si="228">IF(M254&gt;0,(L254-X254)/2,IF(AA254&gt;=AD254,(((L254*S254)*W254)-Y254),(+(((L254*S254)*W254)-Y254))))</f>
        <v>0</v>
      </c>
      <c r="AA254" s="753">
        <f>$D254+(($E254-1)/12)</f>
        <v>93.75</v>
      </c>
      <c r="AB254" s="753">
        <f>($B$10+1)-($B$7/12)</f>
        <v>123</v>
      </c>
      <c r="AC254" s="753">
        <f t="shared" ref="AC254:AC302" si="229">$I254+(($E254-1)/12)</f>
        <v>100.75</v>
      </c>
      <c r="AD254" s="753">
        <f>$B$9+($B$8/12)</f>
        <v>122</v>
      </c>
      <c r="AE254" s="753">
        <f>$J254+(($K254-1)/12)</f>
        <v>-8.3333333333333329E-2</v>
      </c>
      <c r="AF254" s="753">
        <f t="shared" ref="AF254:AF301" si="230">L254-((X254+Y254)/2)-Z254</f>
        <v>3258.7647386414174</v>
      </c>
      <c r="AG254" s="753"/>
      <c r="AH254" s="753"/>
      <c r="AI254" s="753"/>
    </row>
    <row r="255" spans="2:37">
      <c r="B255" s="41" t="s">
        <v>379</v>
      </c>
      <c r="C255" s="41">
        <v>1995</v>
      </c>
      <c r="D255" s="41">
        <v>95</v>
      </c>
      <c r="E255" s="41">
        <v>5</v>
      </c>
      <c r="F255" s="141">
        <v>0</v>
      </c>
      <c r="G255" s="756" t="s">
        <v>153</v>
      </c>
      <c r="H255" s="41">
        <v>10</v>
      </c>
      <c r="I255" s="41">
        <f t="shared" si="224"/>
        <v>105</v>
      </c>
      <c r="L255" s="753">
        <v>6577.6</v>
      </c>
      <c r="M255" s="753">
        <v>0</v>
      </c>
      <c r="N255" s="753">
        <f>L255-(+L255*F255)</f>
        <v>6577.6</v>
      </c>
      <c r="O255" s="753">
        <f>N255/H255/12</f>
        <v>54.813333333333333</v>
      </c>
      <c r="P255" s="753">
        <f t="shared" si="225"/>
        <v>0</v>
      </c>
      <c r="Q255" s="753">
        <f t="shared" si="226"/>
        <v>0</v>
      </c>
      <c r="R255" s="753">
        <f>IF(Q255&gt;0,Q255,P255)</f>
        <v>0</v>
      </c>
      <c r="S255" s="764">
        <f>+'WP-10 - Disposal'!$P$46</f>
        <v>0.86738983940594916</v>
      </c>
      <c r="T255" s="753">
        <f>S255*SUM(P255:Q255)</f>
        <v>0</v>
      </c>
      <c r="U255" s="753">
        <f t="shared" si="227"/>
        <v>6577.6</v>
      </c>
      <c r="V255" s="753">
        <f>U255*S255</f>
        <v>5705.3434076765716</v>
      </c>
      <c r="W255" s="764">
        <v>1</v>
      </c>
      <c r="X255" s="753">
        <f>V255*W255</f>
        <v>5705.3434076765716</v>
      </c>
      <c r="Y255" s="753">
        <f>IF(M255&gt;0,0,X255+T255*W255)*W255</f>
        <v>5705.3434076765716</v>
      </c>
      <c r="Z255" s="753">
        <f t="shared" si="228"/>
        <v>0</v>
      </c>
      <c r="AA255" s="753">
        <f>$D255+(($E255-1)/12)</f>
        <v>95.333333333333329</v>
      </c>
      <c r="AB255" s="753">
        <f>($B$10+1)-($B$7/12)</f>
        <v>123</v>
      </c>
      <c r="AC255" s="753">
        <f t="shared" si="229"/>
        <v>105.33333333333333</v>
      </c>
      <c r="AD255" s="753">
        <f>$B$9+($B$8/12)</f>
        <v>122</v>
      </c>
      <c r="AE255" s="753">
        <f>$J255+(($K255-1)/12)</f>
        <v>-8.3333333333333329E-2</v>
      </c>
      <c r="AF255" s="753">
        <f t="shared" si="230"/>
        <v>872.25659232342878</v>
      </c>
      <c r="AG255" s="753"/>
      <c r="AH255" s="753"/>
      <c r="AI255" s="753"/>
    </row>
    <row r="256" spans="2:37">
      <c r="B256" s="41" t="s">
        <v>380</v>
      </c>
      <c r="C256" s="41">
        <v>2001</v>
      </c>
      <c r="D256" s="41">
        <v>101</v>
      </c>
      <c r="E256" s="41">
        <v>1</v>
      </c>
      <c r="F256" s="141">
        <v>0</v>
      </c>
      <c r="G256" s="756" t="s">
        <v>153</v>
      </c>
      <c r="H256" s="41">
        <v>7</v>
      </c>
      <c r="I256" s="41">
        <f t="shared" si="224"/>
        <v>108</v>
      </c>
      <c r="L256" s="753">
        <v>12999.42</v>
      </c>
      <c r="M256" s="753">
        <v>0</v>
      </c>
      <c r="N256" s="753">
        <f>L256-(+L256*F256)</f>
        <v>12999.42</v>
      </c>
      <c r="O256" s="753">
        <f>N256/H256/12</f>
        <v>154.755</v>
      </c>
      <c r="P256" s="753">
        <f t="shared" si="225"/>
        <v>0</v>
      </c>
      <c r="Q256" s="753">
        <f t="shared" si="226"/>
        <v>0</v>
      </c>
      <c r="R256" s="753">
        <f>IF(Q256&gt;0,Q256,P256)</f>
        <v>0</v>
      </c>
      <c r="S256" s="764">
        <f>+'WP-10 - Disposal'!$P$46</f>
        <v>0.86738983940594916</v>
      </c>
      <c r="T256" s="753">
        <f>S256*SUM(P256:Q256)</f>
        <v>0</v>
      </c>
      <c r="U256" s="753">
        <f t="shared" si="227"/>
        <v>12999.42</v>
      </c>
      <c r="V256" s="753">
        <f>U256*S256</f>
        <v>11275.564826170483</v>
      </c>
      <c r="W256" s="764">
        <v>1</v>
      </c>
      <c r="X256" s="753">
        <f>V256*W256</f>
        <v>11275.564826170483</v>
      </c>
      <c r="Y256" s="753">
        <f>IF(M256&gt;0,0,X256+T256*W256)*W256</f>
        <v>11275.564826170483</v>
      </c>
      <c r="Z256" s="753">
        <f t="shared" si="228"/>
        <v>0</v>
      </c>
      <c r="AA256" s="753">
        <f>$D256+(($E256-1)/12)</f>
        <v>101</v>
      </c>
      <c r="AB256" s="753">
        <f>($B$10+1)-($B$7/12)</f>
        <v>123</v>
      </c>
      <c r="AC256" s="753">
        <f t="shared" si="229"/>
        <v>108</v>
      </c>
      <c r="AD256" s="753">
        <f>$B$9+($B$8/12)</f>
        <v>122</v>
      </c>
      <c r="AE256" s="753">
        <f>$J256+(($K256-1)/12)</f>
        <v>-8.3333333333333329E-2</v>
      </c>
      <c r="AF256" s="753">
        <f t="shared" si="230"/>
        <v>1723.8551738295173</v>
      </c>
      <c r="AG256" s="753"/>
      <c r="AH256" s="753"/>
      <c r="AI256" s="753"/>
    </row>
    <row r="257" spans="2:35">
      <c r="B257" s="41" t="s">
        <v>351</v>
      </c>
      <c r="C257" s="41">
        <v>2002</v>
      </c>
      <c r="D257" s="41">
        <v>102</v>
      </c>
      <c r="E257" s="41">
        <v>3</v>
      </c>
      <c r="F257" s="763">
        <v>0</v>
      </c>
      <c r="G257" s="756" t="s">
        <v>153</v>
      </c>
      <c r="H257" s="41">
        <v>7</v>
      </c>
      <c r="I257" s="41">
        <f t="shared" si="224"/>
        <v>109</v>
      </c>
      <c r="L257" s="753">
        <v>5085.3100000000004</v>
      </c>
      <c r="M257" s="753">
        <v>0</v>
      </c>
      <c r="N257" s="753">
        <f>L257-(+L257*F257)</f>
        <v>5085.3100000000004</v>
      </c>
      <c r="O257" s="753">
        <f>N257/H257/12</f>
        <v>60.539404761904763</v>
      </c>
      <c r="P257" s="753">
        <f t="shared" si="225"/>
        <v>0</v>
      </c>
      <c r="Q257" s="753">
        <f t="shared" si="226"/>
        <v>0</v>
      </c>
      <c r="R257" s="753">
        <f t="shared" ref="R257:R301" si="231">IF(Q257&gt;0,Q257,P257)</f>
        <v>0</v>
      </c>
      <c r="S257" s="764">
        <f>+'WP-10 - Disposal'!$P$46</f>
        <v>0.86738983940594916</v>
      </c>
      <c r="T257" s="753">
        <f t="shared" ref="T257:T301" si="232">S257*SUM(P257:Q257)</f>
        <v>0</v>
      </c>
      <c r="U257" s="753">
        <f t="shared" si="227"/>
        <v>5085.3100000000004</v>
      </c>
      <c r="V257" s="753">
        <f t="shared" ref="V257:V301" si="233">U257*S257</f>
        <v>4410.9462242294676</v>
      </c>
      <c r="W257" s="764">
        <v>1</v>
      </c>
      <c r="X257" s="753">
        <f t="shared" ref="X257:X301" si="234">V257*W257</f>
        <v>4410.9462242294676</v>
      </c>
      <c r="Y257" s="753">
        <f t="shared" ref="Y257:Y301" si="235">IF(M257&gt;0,0,X257+T257*W257)*W257</f>
        <v>4410.9462242294676</v>
      </c>
      <c r="Z257" s="753">
        <f t="shared" si="228"/>
        <v>0</v>
      </c>
      <c r="AA257" s="753">
        <f t="shared" ref="AA257:AA302" si="236">$D257+(($E257-1)/12)</f>
        <v>102.16666666666667</v>
      </c>
      <c r="AB257" s="753">
        <f t="shared" ref="AB257:AB301" si="237">($B$10+1)-($B$7/12)</f>
        <v>123</v>
      </c>
      <c r="AC257" s="753">
        <f t="shared" si="229"/>
        <v>109.16666666666667</v>
      </c>
      <c r="AD257" s="753">
        <f t="shared" ref="AD257:AD301" si="238">$B$9+($B$8/12)</f>
        <v>122</v>
      </c>
      <c r="AE257" s="753">
        <f t="shared" ref="AE257:AE301" si="239">$J257+(($K257-1)/12)</f>
        <v>-8.3333333333333329E-2</v>
      </c>
      <c r="AF257" s="753">
        <f t="shared" si="230"/>
        <v>674.36377577053281</v>
      </c>
      <c r="AG257" s="753"/>
      <c r="AH257" s="753"/>
      <c r="AI257" s="753"/>
    </row>
    <row r="258" spans="2:35">
      <c r="B258" s="41" t="s">
        <v>352</v>
      </c>
      <c r="C258" s="41">
        <v>2007</v>
      </c>
      <c r="D258" s="41">
        <v>107</v>
      </c>
      <c r="E258" s="41">
        <v>2</v>
      </c>
      <c r="F258" s="763">
        <v>0</v>
      </c>
      <c r="G258" s="756" t="s">
        <v>153</v>
      </c>
      <c r="H258" s="41">
        <v>10</v>
      </c>
      <c r="I258" s="41">
        <f t="shared" si="224"/>
        <v>117</v>
      </c>
      <c r="L258" s="753">
        <v>3594</v>
      </c>
      <c r="M258" s="753">
        <v>0</v>
      </c>
      <c r="N258" s="753">
        <f t="shared" ref="N258:N301" si="240">L258-(+L258*F258)</f>
        <v>3594</v>
      </c>
      <c r="O258" s="753">
        <f t="shared" ref="O258:O301" si="241">N258/H258/12</f>
        <v>29.95</v>
      </c>
      <c r="P258" s="753">
        <f t="shared" si="225"/>
        <v>0</v>
      </c>
      <c r="Q258" s="753">
        <f t="shared" si="226"/>
        <v>0</v>
      </c>
      <c r="R258" s="753">
        <f t="shared" si="231"/>
        <v>0</v>
      </c>
      <c r="S258" s="764">
        <f>+'WP-10 - Disposal'!$P$46</f>
        <v>0.86738983940594916</v>
      </c>
      <c r="T258" s="753">
        <f t="shared" si="232"/>
        <v>0</v>
      </c>
      <c r="U258" s="753">
        <f t="shared" si="227"/>
        <v>3594</v>
      </c>
      <c r="V258" s="753">
        <f t="shared" si="233"/>
        <v>3117.3990828249812</v>
      </c>
      <c r="W258" s="764">
        <v>1</v>
      </c>
      <c r="X258" s="753">
        <f t="shared" si="234"/>
        <v>3117.3990828249812</v>
      </c>
      <c r="Y258" s="753">
        <f t="shared" si="235"/>
        <v>3117.3990828249812</v>
      </c>
      <c r="Z258" s="753">
        <f t="shared" si="228"/>
        <v>0</v>
      </c>
      <c r="AA258" s="753">
        <f t="shared" si="236"/>
        <v>107.08333333333333</v>
      </c>
      <c r="AB258" s="753">
        <f t="shared" si="237"/>
        <v>123</v>
      </c>
      <c r="AC258" s="753">
        <f t="shared" si="229"/>
        <v>117.08333333333333</v>
      </c>
      <c r="AD258" s="753">
        <f t="shared" si="238"/>
        <v>122</v>
      </c>
      <c r="AE258" s="753">
        <f t="shared" si="239"/>
        <v>-8.3333333333333329E-2</v>
      </c>
      <c r="AF258" s="753">
        <f t="shared" si="230"/>
        <v>476.60091717501882</v>
      </c>
      <c r="AG258" s="753"/>
      <c r="AH258" s="753"/>
      <c r="AI258" s="753"/>
    </row>
    <row r="259" spans="2:35">
      <c r="B259" s="41" t="s">
        <v>353</v>
      </c>
      <c r="C259" s="41">
        <v>2007</v>
      </c>
      <c r="D259" s="41">
        <v>107</v>
      </c>
      <c r="E259" s="41">
        <v>4</v>
      </c>
      <c r="F259" s="763">
        <v>0</v>
      </c>
      <c r="G259" s="756" t="s">
        <v>153</v>
      </c>
      <c r="H259" s="41">
        <v>10</v>
      </c>
      <c r="I259" s="41">
        <f t="shared" si="224"/>
        <v>117</v>
      </c>
      <c r="L259" s="753">
        <v>2396</v>
      </c>
      <c r="M259" s="753">
        <v>0</v>
      </c>
      <c r="N259" s="753">
        <f t="shared" si="240"/>
        <v>2396</v>
      </c>
      <c r="O259" s="753">
        <f t="shared" si="241"/>
        <v>19.966666666666665</v>
      </c>
      <c r="P259" s="753">
        <f t="shared" si="225"/>
        <v>0</v>
      </c>
      <c r="Q259" s="753">
        <f t="shared" si="226"/>
        <v>0</v>
      </c>
      <c r="R259" s="753">
        <f t="shared" si="231"/>
        <v>0</v>
      </c>
      <c r="S259" s="764">
        <f>+'WP-10 - Disposal'!$P$46</f>
        <v>0.86738983940594916</v>
      </c>
      <c r="T259" s="753">
        <f t="shared" si="232"/>
        <v>0</v>
      </c>
      <c r="U259" s="753">
        <f t="shared" si="227"/>
        <v>2396</v>
      </c>
      <c r="V259" s="753">
        <f t="shared" si="233"/>
        <v>2078.266055216654</v>
      </c>
      <c r="W259" s="764">
        <v>1</v>
      </c>
      <c r="X259" s="753">
        <f t="shared" si="234"/>
        <v>2078.266055216654</v>
      </c>
      <c r="Y259" s="753">
        <f t="shared" si="235"/>
        <v>2078.266055216654</v>
      </c>
      <c r="Z259" s="753">
        <f t="shared" si="228"/>
        <v>0</v>
      </c>
      <c r="AA259" s="753">
        <f t="shared" si="236"/>
        <v>107.25</v>
      </c>
      <c r="AB259" s="753">
        <f t="shared" si="237"/>
        <v>123</v>
      </c>
      <c r="AC259" s="753">
        <f t="shared" si="229"/>
        <v>117.25</v>
      </c>
      <c r="AD259" s="753">
        <f t="shared" si="238"/>
        <v>122</v>
      </c>
      <c r="AE259" s="753">
        <f t="shared" si="239"/>
        <v>-8.3333333333333329E-2</v>
      </c>
      <c r="AF259" s="753">
        <f t="shared" si="230"/>
        <v>317.73394478334603</v>
      </c>
      <c r="AG259" s="753"/>
      <c r="AH259" s="753"/>
      <c r="AI259" s="753"/>
    </row>
    <row r="260" spans="2:35">
      <c r="B260" s="41" t="s">
        <v>354</v>
      </c>
      <c r="C260" s="41">
        <v>2007</v>
      </c>
      <c r="D260" s="41">
        <v>107</v>
      </c>
      <c r="E260" s="41">
        <v>7</v>
      </c>
      <c r="F260" s="763">
        <v>0</v>
      </c>
      <c r="G260" s="756" t="s">
        <v>153</v>
      </c>
      <c r="H260" s="41">
        <v>10</v>
      </c>
      <c r="I260" s="41">
        <f t="shared" si="224"/>
        <v>117</v>
      </c>
      <c r="L260" s="753">
        <v>14118</v>
      </c>
      <c r="M260" s="753">
        <v>0</v>
      </c>
      <c r="N260" s="753">
        <f t="shared" si="240"/>
        <v>14118</v>
      </c>
      <c r="O260" s="753">
        <f t="shared" si="241"/>
        <v>117.64999999999999</v>
      </c>
      <c r="P260" s="753">
        <f t="shared" si="225"/>
        <v>0</v>
      </c>
      <c r="Q260" s="753">
        <f t="shared" si="226"/>
        <v>0</v>
      </c>
      <c r="R260" s="753">
        <f t="shared" si="231"/>
        <v>0</v>
      </c>
      <c r="S260" s="764">
        <f>+'WP-10 - Disposal'!$P$46</f>
        <v>0.86738983940594916</v>
      </c>
      <c r="T260" s="753">
        <f t="shared" si="232"/>
        <v>0</v>
      </c>
      <c r="U260" s="753">
        <f t="shared" si="227"/>
        <v>14118</v>
      </c>
      <c r="V260" s="753">
        <f t="shared" si="233"/>
        <v>12245.80975273319</v>
      </c>
      <c r="W260" s="764">
        <v>1</v>
      </c>
      <c r="X260" s="753">
        <f t="shared" si="234"/>
        <v>12245.80975273319</v>
      </c>
      <c r="Y260" s="753">
        <f t="shared" si="235"/>
        <v>12245.80975273319</v>
      </c>
      <c r="Z260" s="753">
        <f t="shared" si="228"/>
        <v>0</v>
      </c>
      <c r="AA260" s="753">
        <f t="shared" si="236"/>
        <v>107.5</v>
      </c>
      <c r="AB260" s="753">
        <f t="shared" si="237"/>
        <v>123</v>
      </c>
      <c r="AC260" s="753">
        <f t="shared" si="229"/>
        <v>117.5</v>
      </c>
      <c r="AD260" s="753">
        <f t="shared" si="238"/>
        <v>122</v>
      </c>
      <c r="AE260" s="753">
        <f t="shared" si="239"/>
        <v>-8.3333333333333329E-2</v>
      </c>
      <c r="AF260" s="753">
        <f t="shared" si="230"/>
        <v>1872.1902472668098</v>
      </c>
      <c r="AG260" s="753"/>
      <c r="AH260" s="753"/>
      <c r="AI260" s="753"/>
    </row>
    <row r="261" spans="2:35">
      <c r="B261" s="41" t="s">
        <v>355</v>
      </c>
      <c r="C261" s="41">
        <v>2007</v>
      </c>
      <c r="D261" s="41">
        <v>107</v>
      </c>
      <c r="E261" s="41">
        <v>7</v>
      </c>
      <c r="F261" s="763">
        <v>0</v>
      </c>
      <c r="G261" s="756" t="s">
        <v>153</v>
      </c>
      <c r="H261" s="41">
        <v>10</v>
      </c>
      <c r="I261" s="41">
        <f t="shared" si="224"/>
        <v>117</v>
      </c>
      <c r="L261" s="753">
        <v>70895.520000000004</v>
      </c>
      <c r="M261" s="753">
        <v>0</v>
      </c>
      <c r="N261" s="753">
        <f t="shared" si="240"/>
        <v>70895.520000000004</v>
      </c>
      <c r="O261" s="753">
        <f t="shared" si="241"/>
        <v>590.79600000000005</v>
      </c>
      <c r="P261" s="753">
        <f t="shared" si="225"/>
        <v>0</v>
      </c>
      <c r="Q261" s="753">
        <f t="shared" si="226"/>
        <v>0</v>
      </c>
      <c r="R261" s="753">
        <f t="shared" si="231"/>
        <v>0</v>
      </c>
      <c r="S261" s="764">
        <f>+'WP-10 - Disposal'!$P$46</f>
        <v>0.86738983940594916</v>
      </c>
      <c r="T261" s="753">
        <f t="shared" si="232"/>
        <v>0</v>
      </c>
      <c r="U261" s="753">
        <f t="shared" si="227"/>
        <v>70895.520000000004</v>
      </c>
      <c r="V261" s="753">
        <f t="shared" si="233"/>
        <v>61494.053707401261</v>
      </c>
      <c r="W261" s="764">
        <v>1</v>
      </c>
      <c r="X261" s="753">
        <f t="shared" si="234"/>
        <v>61494.053707401261</v>
      </c>
      <c r="Y261" s="753">
        <f t="shared" si="235"/>
        <v>61494.053707401261</v>
      </c>
      <c r="Z261" s="753">
        <f t="shared" si="228"/>
        <v>0</v>
      </c>
      <c r="AA261" s="753">
        <f t="shared" si="236"/>
        <v>107.5</v>
      </c>
      <c r="AB261" s="753">
        <f t="shared" si="237"/>
        <v>123</v>
      </c>
      <c r="AC261" s="753">
        <f t="shared" si="229"/>
        <v>117.5</v>
      </c>
      <c r="AD261" s="753">
        <f t="shared" si="238"/>
        <v>122</v>
      </c>
      <c r="AE261" s="753">
        <f t="shared" si="239"/>
        <v>-8.3333333333333329E-2</v>
      </c>
      <c r="AF261" s="753">
        <f t="shared" si="230"/>
        <v>9401.4662925987432</v>
      </c>
      <c r="AG261" s="753"/>
      <c r="AH261" s="753"/>
      <c r="AI261" s="753"/>
    </row>
    <row r="262" spans="2:35">
      <c r="B262" s="41" t="s">
        <v>356</v>
      </c>
      <c r="C262" s="41">
        <v>2008</v>
      </c>
      <c r="D262" s="41">
        <v>108</v>
      </c>
      <c r="E262" s="41">
        <v>3</v>
      </c>
      <c r="F262" s="763">
        <v>0</v>
      </c>
      <c r="G262" s="756" t="s">
        <v>153</v>
      </c>
      <c r="H262" s="41">
        <v>10</v>
      </c>
      <c r="I262" s="41">
        <f t="shared" si="224"/>
        <v>118</v>
      </c>
      <c r="L262" s="753">
        <v>144564.64000000001</v>
      </c>
      <c r="M262" s="753">
        <v>0</v>
      </c>
      <c r="N262" s="753">
        <f t="shared" si="240"/>
        <v>144564.64000000001</v>
      </c>
      <c r="O262" s="753">
        <f t="shared" si="241"/>
        <v>1204.7053333333336</v>
      </c>
      <c r="P262" s="753">
        <f t="shared" si="225"/>
        <v>0</v>
      </c>
      <c r="Q262" s="753">
        <f t="shared" si="226"/>
        <v>0</v>
      </c>
      <c r="R262" s="753">
        <f t="shared" si="231"/>
        <v>0</v>
      </c>
      <c r="S262" s="764">
        <f>+'WP-10 - Disposal'!$P$46</f>
        <v>0.86738983940594916</v>
      </c>
      <c r="T262" s="753">
        <f t="shared" si="232"/>
        <v>0</v>
      </c>
      <c r="U262" s="753">
        <f t="shared" si="227"/>
        <v>144564.64000000001</v>
      </c>
      <c r="V262" s="753">
        <f t="shared" si="233"/>
        <v>125393.89987337886</v>
      </c>
      <c r="W262" s="764">
        <v>1</v>
      </c>
      <c r="X262" s="753">
        <f t="shared" si="234"/>
        <v>125393.89987337886</v>
      </c>
      <c r="Y262" s="753">
        <f t="shared" si="235"/>
        <v>125393.89987337886</v>
      </c>
      <c r="Z262" s="753">
        <f t="shared" si="228"/>
        <v>0</v>
      </c>
      <c r="AA262" s="753">
        <f t="shared" si="236"/>
        <v>108.16666666666667</v>
      </c>
      <c r="AB262" s="753">
        <f t="shared" si="237"/>
        <v>123</v>
      </c>
      <c r="AC262" s="753">
        <f t="shared" si="229"/>
        <v>118.16666666666667</v>
      </c>
      <c r="AD262" s="753">
        <f t="shared" si="238"/>
        <v>122</v>
      </c>
      <c r="AE262" s="753">
        <f t="shared" si="239"/>
        <v>-8.3333333333333329E-2</v>
      </c>
      <c r="AF262" s="753">
        <f t="shared" si="230"/>
        <v>19170.740126621153</v>
      </c>
      <c r="AG262" s="753"/>
      <c r="AH262" s="753"/>
      <c r="AI262" s="753"/>
    </row>
    <row r="263" spans="2:35">
      <c r="B263" s="41" t="s">
        <v>357</v>
      </c>
      <c r="C263" s="41">
        <v>2008</v>
      </c>
      <c r="D263" s="41">
        <v>108</v>
      </c>
      <c r="E263" s="41">
        <v>5</v>
      </c>
      <c r="F263" s="763">
        <v>0</v>
      </c>
      <c r="G263" s="756" t="s">
        <v>153</v>
      </c>
      <c r="H263" s="41">
        <v>10</v>
      </c>
      <c r="I263" s="41">
        <f t="shared" si="224"/>
        <v>118</v>
      </c>
      <c r="L263" s="753">
        <v>13709.12</v>
      </c>
      <c r="M263" s="753">
        <v>0</v>
      </c>
      <c r="N263" s="753">
        <f t="shared" si="240"/>
        <v>13709.12</v>
      </c>
      <c r="O263" s="753">
        <f t="shared" si="241"/>
        <v>114.24266666666666</v>
      </c>
      <c r="P263" s="753">
        <f t="shared" si="225"/>
        <v>0</v>
      </c>
      <c r="Q263" s="753">
        <f t="shared" si="226"/>
        <v>0</v>
      </c>
      <c r="R263" s="753">
        <f t="shared" si="231"/>
        <v>0</v>
      </c>
      <c r="S263" s="764">
        <f>+'WP-10 - Disposal'!$P$46</f>
        <v>0.86738983940594916</v>
      </c>
      <c r="T263" s="753">
        <f t="shared" si="232"/>
        <v>0</v>
      </c>
      <c r="U263" s="753">
        <f t="shared" si="227"/>
        <v>13709.12</v>
      </c>
      <c r="V263" s="753">
        <f t="shared" si="233"/>
        <v>11891.151395196886</v>
      </c>
      <c r="W263" s="764">
        <v>1</v>
      </c>
      <c r="X263" s="753">
        <f t="shared" si="234"/>
        <v>11891.151395196886</v>
      </c>
      <c r="Y263" s="753">
        <f t="shared" si="235"/>
        <v>11891.151395196886</v>
      </c>
      <c r="Z263" s="753">
        <f t="shared" si="228"/>
        <v>0</v>
      </c>
      <c r="AA263" s="753">
        <f t="shared" si="236"/>
        <v>108.33333333333333</v>
      </c>
      <c r="AB263" s="753">
        <f t="shared" si="237"/>
        <v>123</v>
      </c>
      <c r="AC263" s="753">
        <f t="shared" si="229"/>
        <v>118.33333333333333</v>
      </c>
      <c r="AD263" s="753">
        <f t="shared" si="238"/>
        <v>122</v>
      </c>
      <c r="AE263" s="753">
        <f t="shared" si="239"/>
        <v>-8.3333333333333329E-2</v>
      </c>
      <c r="AF263" s="753">
        <f t="shared" si="230"/>
        <v>1817.9686048031144</v>
      </c>
      <c r="AG263" s="753"/>
      <c r="AH263" s="753"/>
      <c r="AI263" s="753"/>
    </row>
    <row r="264" spans="2:35">
      <c r="B264" s="41" t="s">
        <v>358</v>
      </c>
      <c r="C264" s="41">
        <v>2008</v>
      </c>
      <c r="D264" s="41">
        <v>108</v>
      </c>
      <c r="E264" s="41">
        <v>8</v>
      </c>
      <c r="F264" s="763">
        <v>0</v>
      </c>
      <c r="G264" s="756" t="s">
        <v>153</v>
      </c>
      <c r="H264" s="41">
        <v>10</v>
      </c>
      <c r="I264" s="41">
        <f t="shared" si="224"/>
        <v>118</v>
      </c>
      <c r="L264" s="753">
        <v>24174.84</v>
      </c>
      <c r="M264" s="753">
        <v>0</v>
      </c>
      <c r="N264" s="753">
        <f t="shared" si="240"/>
        <v>24174.84</v>
      </c>
      <c r="O264" s="753">
        <f t="shared" si="241"/>
        <v>201.45699999999999</v>
      </c>
      <c r="P264" s="753">
        <f t="shared" si="225"/>
        <v>0</v>
      </c>
      <c r="Q264" s="753">
        <f t="shared" si="226"/>
        <v>0</v>
      </c>
      <c r="R264" s="753">
        <f t="shared" si="231"/>
        <v>0</v>
      </c>
      <c r="S264" s="764">
        <f>+'WP-10 - Disposal'!$P$46</f>
        <v>0.86738983940594916</v>
      </c>
      <c r="T264" s="753">
        <f t="shared" si="232"/>
        <v>0</v>
      </c>
      <c r="U264" s="753">
        <f t="shared" si="227"/>
        <v>24174.84</v>
      </c>
      <c r="V264" s="753">
        <f t="shared" si="233"/>
        <v>20969.010585264517</v>
      </c>
      <c r="W264" s="764">
        <v>1</v>
      </c>
      <c r="X264" s="753">
        <f t="shared" si="234"/>
        <v>20969.010585264517</v>
      </c>
      <c r="Y264" s="753">
        <f t="shared" si="235"/>
        <v>20969.010585264517</v>
      </c>
      <c r="Z264" s="753">
        <f t="shared" si="228"/>
        <v>0</v>
      </c>
      <c r="AA264" s="753">
        <f t="shared" si="236"/>
        <v>108.58333333333333</v>
      </c>
      <c r="AB264" s="753">
        <f t="shared" si="237"/>
        <v>123</v>
      </c>
      <c r="AC264" s="753">
        <f t="shared" si="229"/>
        <v>118.58333333333333</v>
      </c>
      <c r="AD264" s="753">
        <f t="shared" si="238"/>
        <v>122</v>
      </c>
      <c r="AE264" s="753">
        <f t="shared" si="239"/>
        <v>-8.3333333333333329E-2</v>
      </c>
      <c r="AF264" s="753">
        <f t="shared" si="230"/>
        <v>3205.8294147354827</v>
      </c>
      <c r="AG264" s="753"/>
      <c r="AH264" s="753"/>
      <c r="AI264" s="753"/>
    </row>
    <row r="265" spans="2:35">
      <c r="B265" s="41" t="s">
        <v>359</v>
      </c>
      <c r="C265" s="41">
        <v>2008</v>
      </c>
      <c r="D265" s="41">
        <v>108</v>
      </c>
      <c r="E265" s="41">
        <v>10</v>
      </c>
      <c r="F265" s="763">
        <v>0</v>
      </c>
      <c r="G265" s="756" t="s">
        <v>153</v>
      </c>
      <c r="H265" s="41">
        <v>10</v>
      </c>
      <c r="I265" s="41">
        <f t="shared" si="224"/>
        <v>118</v>
      </c>
      <c r="L265" s="753">
        <v>14616.26</v>
      </c>
      <c r="M265" s="753">
        <v>0</v>
      </c>
      <c r="N265" s="753">
        <f t="shared" si="240"/>
        <v>14616.26</v>
      </c>
      <c r="O265" s="753">
        <f t="shared" si="241"/>
        <v>121.80216666666666</v>
      </c>
      <c r="P265" s="753">
        <f t="shared" si="225"/>
        <v>0</v>
      </c>
      <c r="Q265" s="753">
        <f t="shared" si="226"/>
        <v>0</v>
      </c>
      <c r="R265" s="753">
        <f t="shared" si="231"/>
        <v>0</v>
      </c>
      <c r="S265" s="764">
        <f>+'WP-10 - Disposal'!$P$46</f>
        <v>0.86738983940594916</v>
      </c>
      <c r="T265" s="753">
        <f t="shared" si="232"/>
        <v>0</v>
      </c>
      <c r="U265" s="753">
        <f t="shared" si="227"/>
        <v>14616.26</v>
      </c>
      <c r="V265" s="753">
        <f t="shared" si="233"/>
        <v>12677.995414115599</v>
      </c>
      <c r="W265" s="764">
        <v>1</v>
      </c>
      <c r="X265" s="753">
        <f t="shared" si="234"/>
        <v>12677.995414115599</v>
      </c>
      <c r="Y265" s="753">
        <f t="shared" si="235"/>
        <v>12677.995414115599</v>
      </c>
      <c r="Z265" s="753">
        <f t="shared" si="228"/>
        <v>0</v>
      </c>
      <c r="AA265" s="753">
        <f t="shared" si="236"/>
        <v>108.75</v>
      </c>
      <c r="AB265" s="753">
        <f t="shared" si="237"/>
        <v>123</v>
      </c>
      <c r="AC265" s="753">
        <f t="shared" si="229"/>
        <v>118.75</v>
      </c>
      <c r="AD265" s="753">
        <f t="shared" si="238"/>
        <v>122</v>
      </c>
      <c r="AE265" s="753">
        <f t="shared" si="239"/>
        <v>-8.3333333333333329E-2</v>
      </c>
      <c r="AF265" s="753">
        <f t="shared" si="230"/>
        <v>1938.2645858844007</v>
      </c>
      <c r="AG265" s="753"/>
      <c r="AH265" s="753"/>
      <c r="AI265" s="753"/>
    </row>
    <row r="266" spans="2:35">
      <c r="B266" s="41" t="s">
        <v>360</v>
      </c>
      <c r="C266" s="41">
        <v>2008</v>
      </c>
      <c r="D266" s="41">
        <v>108</v>
      </c>
      <c r="E266" s="41">
        <v>10</v>
      </c>
      <c r="F266" s="763">
        <v>0</v>
      </c>
      <c r="G266" s="756" t="s">
        <v>153</v>
      </c>
      <c r="H266" s="41">
        <v>10</v>
      </c>
      <c r="I266" s="41">
        <f t="shared" si="224"/>
        <v>118</v>
      </c>
      <c r="L266" s="753">
        <v>13352.5</v>
      </c>
      <c r="M266" s="753">
        <v>0</v>
      </c>
      <c r="N266" s="753">
        <f t="shared" si="240"/>
        <v>13352.5</v>
      </c>
      <c r="O266" s="753">
        <f t="shared" si="241"/>
        <v>111.27083333333333</v>
      </c>
      <c r="P266" s="753">
        <f t="shared" si="225"/>
        <v>0</v>
      </c>
      <c r="Q266" s="753">
        <f t="shared" si="226"/>
        <v>0</v>
      </c>
      <c r="R266" s="753">
        <f t="shared" si="231"/>
        <v>0</v>
      </c>
      <c r="S266" s="764">
        <f>+'WP-10 - Disposal'!$P$46</f>
        <v>0.86738983940594916</v>
      </c>
      <c r="T266" s="753">
        <f t="shared" si="232"/>
        <v>0</v>
      </c>
      <c r="U266" s="753">
        <f t="shared" si="227"/>
        <v>13352.5</v>
      </c>
      <c r="V266" s="753">
        <f t="shared" si="233"/>
        <v>11581.822830667936</v>
      </c>
      <c r="W266" s="764">
        <v>1</v>
      </c>
      <c r="X266" s="753">
        <f t="shared" si="234"/>
        <v>11581.822830667936</v>
      </c>
      <c r="Y266" s="753">
        <f t="shared" si="235"/>
        <v>11581.822830667936</v>
      </c>
      <c r="Z266" s="753">
        <f t="shared" si="228"/>
        <v>0</v>
      </c>
      <c r="AA266" s="753">
        <f t="shared" si="236"/>
        <v>108.75</v>
      </c>
      <c r="AB266" s="753">
        <f t="shared" si="237"/>
        <v>123</v>
      </c>
      <c r="AC266" s="753">
        <f t="shared" si="229"/>
        <v>118.75</v>
      </c>
      <c r="AD266" s="753">
        <f t="shared" si="238"/>
        <v>122</v>
      </c>
      <c r="AE266" s="753">
        <f t="shared" si="239"/>
        <v>-8.3333333333333329E-2</v>
      </c>
      <c r="AF266" s="753">
        <f t="shared" si="230"/>
        <v>1770.6771693320643</v>
      </c>
      <c r="AG266" s="753"/>
      <c r="AH266" s="753"/>
      <c r="AI266" s="753"/>
    </row>
    <row r="267" spans="2:35">
      <c r="B267" s="41" t="s">
        <v>361</v>
      </c>
      <c r="C267" s="41">
        <v>2009</v>
      </c>
      <c r="D267" s="41">
        <v>109</v>
      </c>
      <c r="E267" s="41">
        <v>6</v>
      </c>
      <c r="F267" s="763">
        <v>0</v>
      </c>
      <c r="G267" s="756" t="s">
        <v>153</v>
      </c>
      <c r="H267" s="41">
        <v>10</v>
      </c>
      <c r="I267" s="41">
        <f t="shared" si="224"/>
        <v>119</v>
      </c>
      <c r="L267" s="753">
        <v>7027.51</v>
      </c>
      <c r="M267" s="753">
        <v>0</v>
      </c>
      <c r="N267" s="753">
        <f t="shared" si="240"/>
        <v>7027.51</v>
      </c>
      <c r="O267" s="753">
        <f t="shared" si="241"/>
        <v>58.562583333333329</v>
      </c>
      <c r="P267" s="753">
        <f t="shared" si="225"/>
        <v>0</v>
      </c>
      <c r="Q267" s="753">
        <f t="shared" si="226"/>
        <v>0</v>
      </c>
      <c r="R267" s="753">
        <f t="shared" si="231"/>
        <v>0</v>
      </c>
      <c r="S267" s="764">
        <f>+'WP-10 - Disposal'!$P$46</f>
        <v>0.86738983940594916</v>
      </c>
      <c r="T267" s="753">
        <f t="shared" si="232"/>
        <v>0</v>
      </c>
      <c r="U267" s="753">
        <f t="shared" si="227"/>
        <v>7027.51</v>
      </c>
      <c r="V267" s="753">
        <f t="shared" si="233"/>
        <v>6095.5907703237017</v>
      </c>
      <c r="W267" s="764">
        <v>1</v>
      </c>
      <c r="X267" s="753">
        <f t="shared" si="234"/>
        <v>6095.5907703237017</v>
      </c>
      <c r="Y267" s="753">
        <f t="shared" si="235"/>
        <v>6095.5907703237017</v>
      </c>
      <c r="Z267" s="753">
        <f t="shared" si="228"/>
        <v>0</v>
      </c>
      <c r="AA267" s="753">
        <f t="shared" si="236"/>
        <v>109.41666666666667</v>
      </c>
      <c r="AB267" s="753">
        <f t="shared" si="237"/>
        <v>123</v>
      </c>
      <c r="AC267" s="753">
        <f t="shared" si="229"/>
        <v>119.41666666666667</v>
      </c>
      <c r="AD267" s="753">
        <f t="shared" si="238"/>
        <v>122</v>
      </c>
      <c r="AE267" s="753">
        <f t="shared" si="239"/>
        <v>-8.3333333333333329E-2</v>
      </c>
      <c r="AF267" s="753">
        <f t="shared" si="230"/>
        <v>931.91922967629853</v>
      </c>
      <c r="AG267" s="753"/>
      <c r="AH267" s="753"/>
      <c r="AI267" s="753"/>
    </row>
    <row r="268" spans="2:35">
      <c r="B268" s="41" t="s">
        <v>362</v>
      </c>
      <c r="C268" s="41">
        <v>2009</v>
      </c>
      <c r="D268" s="41">
        <v>109</v>
      </c>
      <c r="E268" s="41">
        <v>6</v>
      </c>
      <c r="F268" s="763">
        <v>0</v>
      </c>
      <c r="G268" s="756" t="s">
        <v>153</v>
      </c>
      <c r="H268" s="41">
        <v>10</v>
      </c>
      <c r="I268" s="41">
        <f t="shared" si="224"/>
        <v>119</v>
      </c>
      <c r="L268" s="753">
        <v>6348</v>
      </c>
      <c r="M268" s="753">
        <v>0</v>
      </c>
      <c r="N268" s="753">
        <f t="shared" si="240"/>
        <v>6348</v>
      </c>
      <c r="O268" s="753">
        <f t="shared" si="241"/>
        <v>52.9</v>
      </c>
      <c r="P268" s="753">
        <f t="shared" si="225"/>
        <v>0</v>
      </c>
      <c r="Q268" s="753">
        <f t="shared" si="226"/>
        <v>0</v>
      </c>
      <c r="R268" s="753">
        <f t="shared" si="231"/>
        <v>0</v>
      </c>
      <c r="S268" s="764">
        <f>+'WP-10 - Disposal'!$P$46</f>
        <v>0.86738983940594916</v>
      </c>
      <c r="T268" s="753">
        <f t="shared" si="232"/>
        <v>0</v>
      </c>
      <c r="U268" s="753">
        <f t="shared" si="227"/>
        <v>6348</v>
      </c>
      <c r="V268" s="753">
        <f t="shared" si="233"/>
        <v>5506.1907005489657</v>
      </c>
      <c r="W268" s="764">
        <v>1</v>
      </c>
      <c r="X268" s="753">
        <f t="shared" si="234"/>
        <v>5506.1907005489657</v>
      </c>
      <c r="Y268" s="753">
        <f t="shared" si="235"/>
        <v>5506.1907005489657</v>
      </c>
      <c r="Z268" s="753">
        <f t="shared" si="228"/>
        <v>0</v>
      </c>
      <c r="AA268" s="753">
        <f t="shared" si="236"/>
        <v>109.41666666666667</v>
      </c>
      <c r="AB268" s="753">
        <f t="shared" si="237"/>
        <v>123</v>
      </c>
      <c r="AC268" s="753">
        <f t="shared" si="229"/>
        <v>119.41666666666667</v>
      </c>
      <c r="AD268" s="753">
        <f t="shared" si="238"/>
        <v>122</v>
      </c>
      <c r="AE268" s="753">
        <f t="shared" si="239"/>
        <v>-8.3333333333333329E-2</v>
      </c>
      <c r="AF268" s="753">
        <f t="shared" si="230"/>
        <v>841.80929945103435</v>
      </c>
      <c r="AG268" s="753"/>
      <c r="AH268" s="753"/>
      <c r="AI268" s="753"/>
    </row>
    <row r="269" spans="2:35">
      <c r="B269" s="41" t="s">
        <v>363</v>
      </c>
      <c r="C269" s="41">
        <v>2009</v>
      </c>
      <c r="D269" s="41">
        <v>109</v>
      </c>
      <c r="E269" s="41">
        <v>6</v>
      </c>
      <c r="F269" s="763">
        <v>0</v>
      </c>
      <c r="G269" s="756" t="s">
        <v>153</v>
      </c>
      <c r="H269" s="41">
        <v>10</v>
      </c>
      <c r="I269" s="41">
        <f t="shared" si="224"/>
        <v>119</v>
      </c>
      <c r="L269" s="753">
        <v>25448.7</v>
      </c>
      <c r="M269" s="753">
        <v>0</v>
      </c>
      <c r="N269" s="753">
        <f t="shared" si="240"/>
        <v>25448.7</v>
      </c>
      <c r="O269" s="753">
        <f t="shared" si="241"/>
        <v>212.07249999999999</v>
      </c>
      <c r="P269" s="753">
        <f t="shared" si="225"/>
        <v>0</v>
      </c>
      <c r="Q269" s="753">
        <f t="shared" si="226"/>
        <v>0</v>
      </c>
      <c r="R269" s="753">
        <f t="shared" si="231"/>
        <v>0</v>
      </c>
      <c r="S269" s="764">
        <f>+'WP-10 - Disposal'!$P$46</f>
        <v>0.86738983940594916</v>
      </c>
      <c r="T269" s="753">
        <f t="shared" si="232"/>
        <v>0</v>
      </c>
      <c r="U269" s="753">
        <f t="shared" si="227"/>
        <v>25448.7</v>
      </c>
      <c r="V269" s="753">
        <f t="shared" si="233"/>
        <v>22073.943806090178</v>
      </c>
      <c r="W269" s="764">
        <v>1</v>
      </c>
      <c r="X269" s="753">
        <f t="shared" si="234"/>
        <v>22073.943806090178</v>
      </c>
      <c r="Y269" s="753">
        <f t="shared" si="235"/>
        <v>22073.943806090178</v>
      </c>
      <c r="Z269" s="753">
        <f t="shared" si="228"/>
        <v>0</v>
      </c>
      <c r="AA269" s="753">
        <f t="shared" si="236"/>
        <v>109.41666666666667</v>
      </c>
      <c r="AB269" s="753">
        <f t="shared" si="237"/>
        <v>123</v>
      </c>
      <c r="AC269" s="753">
        <f t="shared" si="229"/>
        <v>119.41666666666667</v>
      </c>
      <c r="AD269" s="753">
        <f t="shared" si="238"/>
        <v>122</v>
      </c>
      <c r="AE269" s="753">
        <f t="shared" si="239"/>
        <v>-8.3333333333333329E-2</v>
      </c>
      <c r="AF269" s="753">
        <f t="shared" si="230"/>
        <v>3374.7561939098232</v>
      </c>
      <c r="AG269" s="753"/>
      <c r="AH269" s="753"/>
      <c r="AI269" s="753"/>
    </row>
    <row r="270" spans="2:35">
      <c r="B270" s="41" t="s">
        <v>364</v>
      </c>
      <c r="C270" s="41">
        <v>2010</v>
      </c>
      <c r="D270" s="41">
        <v>110</v>
      </c>
      <c r="E270" s="41">
        <v>7</v>
      </c>
      <c r="F270" s="763">
        <v>0</v>
      </c>
      <c r="G270" s="756" t="s">
        <v>153</v>
      </c>
      <c r="H270" s="41">
        <v>10</v>
      </c>
      <c r="I270" s="41">
        <f t="shared" si="224"/>
        <v>120</v>
      </c>
      <c r="L270" s="753">
        <v>33652.89</v>
      </c>
      <c r="M270" s="753">
        <v>0</v>
      </c>
      <c r="N270" s="753">
        <f t="shared" si="240"/>
        <v>33652.89</v>
      </c>
      <c r="O270" s="753">
        <f t="shared" si="241"/>
        <v>280.44074999999998</v>
      </c>
      <c r="P270" s="753">
        <f t="shared" si="225"/>
        <v>0</v>
      </c>
      <c r="Q270" s="753">
        <f t="shared" si="226"/>
        <v>0</v>
      </c>
      <c r="R270" s="753">
        <f t="shared" si="231"/>
        <v>0</v>
      </c>
      <c r="S270" s="764">
        <f>+'WP-10 - Disposal'!$P$46</f>
        <v>0.86738983940594916</v>
      </c>
      <c r="T270" s="753">
        <f t="shared" si="232"/>
        <v>0</v>
      </c>
      <c r="U270" s="753">
        <f t="shared" si="227"/>
        <v>33652.89</v>
      </c>
      <c r="V270" s="753">
        <f t="shared" si="233"/>
        <v>29190.174852646072</v>
      </c>
      <c r="W270" s="764">
        <v>1</v>
      </c>
      <c r="X270" s="753">
        <f t="shared" si="234"/>
        <v>29190.174852646072</v>
      </c>
      <c r="Y270" s="753">
        <f t="shared" si="235"/>
        <v>29190.174852646072</v>
      </c>
      <c r="Z270" s="753">
        <f t="shared" si="228"/>
        <v>0</v>
      </c>
      <c r="AA270" s="753">
        <f t="shared" si="236"/>
        <v>110.5</v>
      </c>
      <c r="AB270" s="753">
        <f t="shared" si="237"/>
        <v>123</v>
      </c>
      <c r="AC270" s="753">
        <f t="shared" si="229"/>
        <v>120.5</v>
      </c>
      <c r="AD270" s="753">
        <f t="shared" si="238"/>
        <v>122</v>
      </c>
      <c r="AE270" s="753">
        <f t="shared" si="239"/>
        <v>-8.3333333333333329E-2</v>
      </c>
      <c r="AF270" s="753">
        <f t="shared" si="230"/>
        <v>4462.715147353927</v>
      </c>
      <c r="AG270" s="753"/>
      <c r="AH270" s="753"/>
      <c r="AI270" s="753"/>
    </row>
    <row r="271" spans="2:35">
      <c r="B271" s="41" t="s">
        <v>365</v>
      </c>
      <c r="C271" s="41">
        <v>2011</v>
      </c>
      <c r="D271" s="41">
        <v>111</v>
      </c>
      <c r="E271" s="41">
        <v>1</v>
      </c>
      <c r="F271" s="763">
        <v>0</v>
      </c>
      <c r="G271" s="756" t="s">
        <v>153</v>
      </c>
      <c r="H271" s="41">
        <v>10</v>
      </c>
      <c r="I271" s="41">
        <f t="shared" si="224"/>
        <v>121</v>
      </c>
      <c r="L271" s="753">
        <v>9804.44</v>
      </c>
      <c r="M271" s="753">
        <v>0</v>
      </c>
      <c r="N271" s="753">
        <f t="shared" si="240"/>
        <v>9804.44</v>
      </c>
      <c r="O271" s="753">
        <f t="shared" si="241"/>
        <v>81.703666666666678</v>
      </c>
      <c r="P271" s="753">
        <f t="shared" si="225"/>
        <v>0</v>
      </c>
      <c r="Q271" s="753">
        <f t="shared" si="226"/>
        <v>0</v>
      </c>
      <c r="R271" s="753">
        <f t="shared" si="231"/>
        <v>0</v>
      </c>
      <c r="S271" s="764">
        <f>+'WP-10 - Disposal'!$P$46</f>
        <v>0.86738983940594916</v>
      </c>
      <c r="T271" s="753">
        <f t="shared" si="232"/>
        <v>0</v>
      </c>
      <c r="U271" s="753">
        <f t="shared" si="227"/>
        <v>9804.44</v>
      </c>
      <c r="V271" s="753">
        <f t="shared" si="233"/>
        <v>8504.2716370652652</v>
      </c>
      <c r="W271" s="764">
        <v>1</v>
      </c>
      <c r="X271" s="753">
        <f t="shared" si="234"/>
        <v>8504.2716370652652</v>
      </c>
      <c r="Y271" s="753">
        <f t="shared" si="235"/>
        <v>8504.2716370652652</v>
      </c>
      <c r="Z271" s="753">
        <f t="shared" si="228"/>
        <v>0</v>
      </c>
      <c r="AA271" s="753">
        <f t="shared" si="236"/>
        <v>111</v>
      </c>
      <c r="AB271" s="753">
        <f t="shared" si="237"/>
        <v>123</v>
      </c>
      <c r="AC271" s="753">
        <f t="shared" si="229"/>
        <v>121</v>
      </c>
      <c r="AD271" s="753">
        <f t="shared" si="238"/>
        <v>122</v>
      </c>
      <c r="AE271" s="753">
        <f t="shared" si="239"/>
        <v>-8.3333333333333329E-2</v>
      </c>
      <c r="AF271" s="753">
        <f t="shared" si="230"/>
        <v>1300.1683629347353</v>
      </c>
      <c r="AG271" s="753"/>
      <c r="AH271" s="753"/>
      <c r="AI271" s="753"/>
    </row>
    <row r="272" spans="2:35">
      <c r="B272" s="41" t="s">
        <v>366</v>
      </c>
      <c r="C272" s="41">
        <v>2012</v>
      </c>
      <c r="D272" s="41">
        <v>112</v>
      </c>
      <c r="E272" s="41">
        <v>2</v>
      </c>
      <c r="F272" s="763">
        <v>0</v>
      </c>
      <c r="G272" s="756" t="s">
        <v>153</v>
      </c>
      <c r="H272" s="41">
        <v>10</v>
      </c>
      <c r="I272" s="41">
        <f t="shared" si="224"/>
        <v>122</v>
      </c>
      <c r="L272" s="753">
        <v>26221.64</v>
      </c>
      <c r="M272" s="753">
        <v>0</v>
      </c>
      <c r="N272" s="753">
        <f t="shared" si="240"/>
        <v>26221.64</v>
      </c>
      <c r="O272" s="753">
        <f t="shared" si="241"/>
        <v>218.51366666666664</v>
      </c>
      <c r="P272" s="753">
        <f t="shared" si="225"/>
        <v>218.51366666665422</v>
      </c>
      <c r="Q272" s="753">
        <f t="shared" si="226"/>
        <v>0</v>
      </c>
      <c r="R272" s="753">
        <f t="shared" si="231"/>
        <v>218.51366666665422</v>
      </c>
      <c r="S272" s="764">
        <f>+'WP-10 - Disposal'!$P$46</f>
        <v>0.86738983940594916</v>
      </c>
      <c r="T272" s="753">
        <f t="shared" si="232"/>
        <v>189.53653423799432</v>
      </c>
      <c r="U272" s="753">
        <f t="shared" si="227"/>
        <v>26003.126333333345</v>
      </c>
      <c r="V272" s="753">
        <f t="shared" si="233"/>
        <v>22554.847574322619</v>
      </c>
      <c r="W272" s="764">
        <v>1</v>
      </c>
      <c r="X272" s="753">
        <f t="shared" si="234"/>
        <v>22554.847574322619</v>
      </c>
      <c r="Y272" s="753">
        <f t="shared" si="235"/>
        <v>22744.384108560615</v>
      </c>
      <c r="Z272" s="753">
        <f t="shared" si="228"/>
        <v>-3.637978807091713E-12</v>
      </c>
      <c r="AA272" s="753">
        <f t="shared" si="236"/>
        <v>112.08333333333333</v>
      </c>
      <c r="AB272" s="753">
        <f t="shared" si="237"/>
        <v>123</v>
      </c>
      <c r="AC272" s="753">
        <f t="shared" si="229"/>
        <v>122.08333333333333</v>
      </c>
      <c r="AD272" s="753">
        <f t="shared" si="238"/>
        <v>122</v>
      </c>
      <c r="AE272" s="753">
        <f t="shared" si="239"/>
        <v>-8.3333333333333329E-2</v>
      </c>
      <c r="AF272" s="753">
        <f t="shared" si="230"/>
        <v>3572.0241585583863</v>
      </c>
      <c r="AG272" s="753"/>
      <c r="AH272" s="753"/>
      <c r="AI272" s="753"/>
    </row>
    <row r="273" spans="2:35">
      <c r="B273" s="41" t="s">
        <v>367</v>
      </c>
      <c r="C273" s="41">
        <v>2012</v>
      </c>
      <c r="D273" s="41">
        <v>112</v>
      </c>
      <c r="E273" s="41">
        <v>9</v>
      </c>
      <c r="F273" s="763">
        <v>0</v>
      </c>
      <c r="G273" s="756" t="s">
        <v>153</v>
      </c>
      <c r="H273" s="41">
        <v>10</v>
      </c>
      <c r="I273" s="41">
        <f t="shared" si="224"/>
        <v>122</v>
      </c>
      <c r="L273" s="753">
        <v>1883.4</v>
      </c>
      <c r="M273" s="753">
        <v>0</v>
      </c>
      <c r="N273" s="753">
        <f t="shared" si="240"/>
        <v>1883.4</v>
      </c>
      <c r="O273" s="753">
        <f t="shared" si="241"/>
        <v>15.695</v>
      </c>
      <c r="P273" s="753">
        <f t="shared" si="225"/>
        <v>125.5600000000009</v>
      </c>
      <c r="Q273" s="753">
        <f t="shared" si="226"/>
        <v>0</v>
      </c>
      <c r="R273" s="753">
        <f t="shared" si="231"/>
        <v>125.5600000000009</v>
      </c>
      <c r="S273" s="764">
        <f>+'WP-10 - Disposal'!$P$46</f>
        <v>0.86738983940594916</v>
      </c>
      <c r="T273" s="753">
        <f t="shared" si="232"/>
        <v>108.90946823581176</v>
      </c>
      <c r="U273" s="753">
        <f t="shared" si="227"/>
        <v>1757.8399999999992</v>
      </c>
      <c r="V273" s="753">
        <f t="shared" si="233"/>
        <v>1524.7325553013529</v>
      </c>
      <c r="W273" s="764">
        <v>1</v>
      </c>
      <c r="X273" s="753">
        <f t="shared" si="234"/>
        <v>1524.7325553013529</v>
      </c>
      <c r="Y273" s="753">
        <f t="shared" si="235"/>
        <v>1633.6420235371647</v>
      </c>
      <c r="Z273" s="753">
        <f t="shared" si="228"/>
        <v>0</v>
      </c>
      <c r="AA273" s="753">
        <f t="shared" si="236"/>
        <v>112.66666666666667</v>
      </c>
      <c r="AB273" s="753">
        <f t="shared" si="237"/>
        <v>123</v>
      </c>
      <c r="AC273" s="753">
        <f t="shared" si="229"/>
        <v>122.66666666666667</v>
      </c>
      <c r="AD273" s="753">
        <f t="shared" si="238"/>
        <v>122</v>
      </c>
      <c r="AE273" s="753">
        <f t="shared" si="239"/>
        <v>-8.3333333333333329E-2</v>
      </c>
      <c r="AF273" s="753">
        <f t="shared" si="230"/>
        <v>304.21271058074126</v>
      </c>
      <c r="AG273" s="753"/>
      <c r="AH273" s="753"/>
      <c r="AI273" s="753"/>
    </row>
    <row r="274" spans="2:35">
      <c r="B274" s="41" t="s">
        <v>368</v>
      </c>
      <c r="C274" s="41">
        <v>2012</v>
      </c>
      <c r="D274" s="41">
        <v>112</v>
      </c>
      <c r="E274" s="41">
        <v>12</v>
      </c>
      <c r="F274" s="763">
        <v>0</v>
      </c>
      <c r="G274" s="756" t="s">
        <v>153</v>
      </c>
      <c r="H274" s="41">
        <v>10</v>
      </c>
      <c r="I274" s="41">
        <f t="shared" si="224"/>
        <v>122</v>
      </c>
      <c r="L274" s="753">
        <v>10184.6</v>
      </c>
      <c r="M274" s="753">
        <v>0</v>
      </c>
      <c r="N274" s="753">
        <f t="shared" si="240"/>
        <v>10184.6</v>
      </c>
      <c r="O274" s="753">
        <f t="shared" si="241"/>
        <v>84.87166666666667</v>
      </c>
      <c r="P274" s="753">
        <f t="shared" si="225"/>
        <v>933.58833333333814</v>
      </c>
      <c r="Q274" s="753">
        <f t="shared" si="226"/>
        <v>0</v>
      </c>
      <c r="R274" s="753">
        <f t="shared" si="231"/>
        <v>933.58833333333814</v>
      </c>
      <c r="S274" s="764">
        <f>+'WP-10 - Disposal'!$P$46</f>
        <v>0.86738983940594916</v>
      </c>
      <c r="T274" s="753">
        <f t="shared" si="232"/>
        <v>809.78503452127188</v>
      </c>
      <c r="U274" s="753">
        <f t="shared" si="227"/>
        <v>9251.0116666666618</v>
      </c>
      <c r="V274" s="753">
        <f t="shared" si="233"/>
        <v>8024.233523892558</v>
      </c>
      <c r="W274" s="764">
        <v>1</v>
      </c>
      <c r="X274" s="753">
        <f t="shared" si="234"/>
        <v>8024.233523892558</v>
      </c>
      <c r="Y274" s="753">
        <f t="shared" si="235"/>
        <v>8834.0185584138308</v>
      </c>
      <c r="Z274" s="753">
        <f t="shared" si="228"/>
        <v>0</v>
      </c>
      <c r="AA274" s="753">
        <f t="shared" si="236"/>
        <v>112.91666666666667</v>
      </c>
      <c r="AB274" s="753">
        <f t="shared" si="237"/>
        <v>123</v>
      </c>
      <c r="AC274" s="753">
        <f t="shared" si="229"/>
        <v>122.91666666666667</v>
      </c>
      <c r="AD274" s="753">
        <f t="shared" si="238"/>
        <v>122</v>
      </c>
      <c r="AE274" s="753">
        <f t="shared" si="239"/>
        <v>-8.3333333333333329E-2</v>
      </c>
      <c r="AF274" s="753">
        <f t="shared" si="230"/>
        <v>1755.4739588468055</v>
      </c>
      <c r="AG274" s="753"/>
      <c r="AH274" s="753"/>
      <c r="AI274" s="753"/>
    </row>
    <row r="275" spans="2:35">
      <c r="B275" s="41" t="s">
        <v>369</v>
      </c>
      <c r="C275" s="41">
        <v>2013</v>
      </c>
      <c r="D275" s="41">
        <v>113</v>
      </c>
      <c r="E275" s="41">
        <v>5</v>
      </c>
      <c r="F275" s="763">
        <v>0</v>
      </c>
      <c r="G275" s="756" t="s">
        <v>153</v>
      </c>
      <c r="H275" s="41">
        <v>10</v>
      </c>
      <c r="I275" s="41">
        <f t="shared" si="224"/>
        <v>123</v>
      </c>
      <c r="L275" s="753">
        <v>6747</v>
      </c>
      <c r="M275" s="753">
        <v>0</v>
      </c>
      <c r="N275" s="753">
        <f t="shared" si="240"/>
        <v>6747</v>
      </c>
      <c r="O275" s="753">
        <f t="shared" si="241"/>
        <v>56.225000000000001</v>
      </c>
      <c r="P275" s="753">
        <f t="shared" si="225"/>
        <v>674.7</v>
      </c>
      <c r="Q275" s="753">
        <f t="shared" si="226"/>
        <v>0</v>
      </c>
      <c r="R275" s="753">
        <f t="shared" si="231"/>
        <v>674.7</v>
      </c>
      <c r="S275" s="764">
        <f>+'WP-10 - Disposal'!$P$46</f>
        <v>0.86738983940594916</v>
      </c>
      <c r="T275" s="753">
        <f t="shared" si="232"/>
        <v>585.22792464719396</v>
      </c>
      <c r="U275" s="753">
        <f t="shared" si="227"/>
        <v>5847.4000000000033</v>
      </c>
      <c r="V275" s="753">
        <f t="shared" si="233"/>
        <v>5071.9753469423504</v>
      </c>
      <c r="W275" s="764">
        <v>1</v>
      </c>
      <c r="X275" s="753">
        <f t="shared" si="234"/>
        <v>5071.9753469423504</v>
      </c>
      <c r="Y275" s="753">
        <f t="shared" si="235"/>
        <v>5657.2032715895439</v>
      </c>
      <c r="Z275" s="753">
        <f t="shared" si="228"/>
        <v>195.0759748823948</v>
      </c>
      <c r="AA275" s="753">
        <f t="shared" si="236"/>
        <v>113.33333333333333</v>
      </c>
      <c r="AB275" s="753">
        <f t="shared" si="237"/>
        <v>123</v>
      </c>
      <c r="AC275" s="753">
        <f t="shared" si="229"/>
        <v>123.33333333333333</v>
      </c>
      <c r="AD275" s="753">
        <f t="shared" si="238"/>
        <v>122</v>
      </c>
      <c r="AE275" s="753">
        <f t="shared" si="239"/>
        <v>-8.3333333333333329E-2</v>
      </c>
      <c r="AF275" s="753">
        <f t="shared" si="230"/>
        <v>1187.3347158516581</v>
      </c>
      <c r="AG275" s="753"/>
      <c r="AH275" s="753"/>
      <c r="AI275" s="753"/>
    </row>
    <row r="276" spans="2:35">
      <c r="B276" s="41" t="s">
        <v>370</v>
      </c>
      <c r="C276" s="41">
        <v>2013</v>
      </c>
      <c r="D276" s="41">
        <v>113</v>
      </c>
      <c r="E276" s="41">
        <v>5</v>
      </c>
      <c r="F276" s="763">
        <v>0</v>
      </c>
      <c r="G276" s="756" t="s">
        <v>153</v>
      </c>
      <c r="H276" s="41">
        <v>10</v>
      </c>
      <c r="I276" s="41">
        <f t="shared" si="224"/>
        <v>123</v>
      </c>
      <c r="L276" s="753">
        <v>29893.01</v>
      </c>
      <c r="M276" s="753">
        <v>0</v>
      </c>
      <c r="N276" s="753">
        <f t="shared" si="240"/>
        <v>29893.01</v>
      </c>
      <c r="O276" s="753">
        <f t="shared" si="241"/>
        <v>249.10841666666667</v>
      </c>
      <c r="P276" s="753">
        <f t="shared" si="225"/>
        <v>2989.3009999999999</v>
      </c>
      <c r="Q276" s="753">
        <f t="shared" si="226"/>
        <v>0</v>
      </c>
      <c r="R276" s="753">
        <f t="shared" si="231"/>
        <v>2989.3009999999999</v>
      </c>
      <c r="S276" s="764">
        <f>+'WP-10 - Disposal'!$P$46</f>
        <v>0.86738983940594916</v>
      </c>
      <c r="T276" s="753">
        <f t="shared" si="232"/>
        <v>2592.8893143260429</v>
      </c>
      <c r="U276" s="753">
        <f t="shared" si="227"/>
        <v>25907.275333333349</v>
      </c>
      <c r="V276" s="753">
        <f t="shared" si="233"/>
        <v>22471.707390825723</v>
      </c>
      <c r="W276" s="764">
        <v>1</v>
      </c>
      <c r="X276" s="753">
        <f t="shared" si="234"/>
        <v>22471.707390825723</v>
      </c>
      <c r="Y276" s="753">
        <f t="shared" si="235"/>
        <v>25064.596705151765</v>
      </c>
      <c r="Z276" s="753">
        <f t="shared" si="228"/>
        <v>864.29643810866401</v>
      </c>
      <c r="AA276" s="753">
        <f t="shared" si="236"/>
        <v>113.33333333333333</v>
      </c>
      <c r="AB276" s="753">
        <f t="shared" si="237"/>
        <v>123</v>
      </c>
      <c r="AC276" s="753">
        <f t="shared" si="229"/>
        <v>123.33333333333333</v>
      </c>
      <c r="AD276" s="753">
        <f t="shared" si="238"/>
        <v>122</v>
      </c>
      <c r="AE276" s="753">
        <f t="shared" si="239"/>
        <v>-8.3333333333333329E-2</v>
      </c>
      <c r="AF276" s="753">
        <f t="shared" si="230"/>
        <v>5260.5615139025904</v>
      </c>
      <c r="AG276" s="753"/>
      <c r="AH276" s="753"/>
      <c r="AI276" s="753"/>
    </row>
    <row r="277" spans="2:35">
      <c r="B277" s="41" t="s">
        <v>371</v>
      </c>
      <c r="C277" s="41">
        <v>2013</v>
      </c>
      <c r="D277" s="41">
        <v>113</v>
      </c>
      <c r="E277" s="41">
        <v>12</v>
      </c>
      <c r="F277" s="763">
        <v>0</v>
      </c>
      <c r="G277" s="756" t="s">
        <v>153</v>
      </c>
      <c r="H277" s="41">
        <v>10</v>
      </c>
      <c r="I277" s="41">
        <f t="shared" si="224"/>
        <v>123</v>
      </c>
      <c r="L277" s="753">
        <v>21162</v>
      </c>
      <c r="M277" s="753">
        <v>0</v>
      </c>
      <c r="N277" s="753">
        <f t="shared" si="240"/>
        <v>21162</v>
      </c>
      <c r="O277" s="753">
        <f t="shared" si="241"/>
        <v>176.35</v>
      </c>
      <c r="P277" s="753">
        <f t="shared" si="225"/>
        <v>2116.1999999999998</v>
      </c>
      <c r="Q277" s="753">
        <f t="shared" si="226"/>
        <v>0</v>
      </c>
      <c r="R277" s="753">
        <f t="shared" si="231"/>
        <v>2116.1999999999998</v>
      </c>
      <c r="S277" s="764">
        <f>+'WP-10 - Disposal'!$P$46</f>
        <v>0.86738983940594916</v>
      </c>
      <c r="T277" s="753">
        <f t="shared" si="232"/>
        <v>1835.5703781508694</v>
      </c>
      <c r="U277" s="753">
        <f t="shared" si="227"/>
        <v>17105.94999999999</v>
      </c>
      <c r="V277" s="753">
        <f t="shared" si="233"/>
        <v>14837.527223386187</v>
      </c>
      <c r="W277" s="764">
        <v>1</v>
      </c>
      <c r="X277" s="753">
        <f t="shared" si="234"/>
        <v>14837.527223386187</v>
      </c>
      <c r="Y277" s="753">
        <f t="shared" si="235"/>
        <v>16673.097601537058</v>
      </c>
      <c r="Z277" s="753">
        <f t="shared" si="228"/>
        <v>1682.6061799716372</v>
      </c>
      <c r="AA277" s="753">
        <f t="shared" si="236"/>
        <v>113.91666666666667</v>
      </c>
      <c r="AB277" s="753">
        <f t="shared" si="237"/>
        <v>123</v>
      </c>
      <c r="AC277" s="753">
        <f t="shared" si="229"/>
        <v>123.91666666666667</v>
      </c>
      <c r="AD277" s="753">
        <f t="shared" si="238"/>
        <v>122</v>
      </c>
      <c r="AE277" s="753">
        <f t="shared" si="239"/>
        <v>-8.3333333333333329E-2</v>
      </c>
      <c r="AF277" s="753">
        <f t="shared" si="230"/>
        <v>3724.0814075667404</v>
      </c>
      <c r="AG277" s="753"/>
      <c r="AH277" s="753"/>
      <c r="AI277" s="753"/>
    </row>
    <row r="278" spans="2:35">
      <c r="B278" s="41" t="s">
        <v>372</v>
      </c>
      <c r="C278" s="41">
        <v>2013</v>
      </c>
      <c r="D278" s="41">
        <v>113</v>
      </c>
      <c r="E278" s="41">
        <v>12</v>
      </c>
      <c r="F278" s="763">
        <v>0</v>
      </c>
      <c r="G278" s="756" t="s">
        <v>153</v>
      </c>
      <c r="H278" s="41">
        <v>10</v>
      </c>
      <c r="I278" s="41">
        <f t="shared" si="224"/>
        <v>123</v>
      </c>
      <c r="L278" s="753">
        <v>20407.41</v>
      </c>
      <c r="M278" s="753">
        <v>0</v>
      </c>
      <c r="N278" s="753">
        <f t="shared" si="240"/>
        <v>20407.41</v>
      </c>
      <c r="O278" s="753">
        <f t="shared" si="241"/>
        <v>170.06174999999999</v>
      </c>
      <c r="P278" s="753">
        <f t="shared" si="225"/>
        <v>2040.741</v>
      </c>
      <c r="Q278" s="753">
        <f t="shared" si="226"/>
        <v>0</v>
      </c>
      <c r="R278" s="753">
        <f t="shared" si="231"/>
        <v>2040.741</v>
      </c>
      <c r="S278" s="764">
        <f>+'WP-10 - Disposal'!$P$46</f>
        <v>0.86738983940594916</v>
      </c>
      <c r="T278" s="753">
        <f t="shared" si="232"/>
        <v>1770.1180082591361</v>
      </c>
      <c r="U278" s="753">
        <f t="shared" si="227"/>
        <v>16495.98974999999</v>
      </c>
      <c r="V278" s="753">
        <f t="shared" si="233"/>
        <v>14308.453900094675</v>
      </c>
      <c r="W278" s="764">
        <v>1</v>
      </c>
      <c r="X278" s="753">
        <f t="shared" si="234"/>
        <v>14308.453900094675</v>
      </c>
      <c r="Y278" s="753">
        <f t="shared" si="235"/>
        <v>16078.571908353812</v>
      </c>
      <c r="Z278" s="753">
        <f t="shared" si="228"/>
        <v>1622.6081742375482</v>
      </c>
      <c r="AA278" s="753">
        <f t="shared" si="236"/>
        <v>113.91666666666667</v>
      </c>
      <c r="AB278" s="753">
        <f t="shared" si="237"/>
        <v>123</v>
      </c>
      <c r="AC278" s="753">
        <f t="shared" si="229"/>
        <v>123.91666666666667</v>
      </c>
      <c r="AD278" s="753">
        <f t="shared" si="238"/>
        <v>122</v>
      </c>
      <c r="AE278" s="753">
        <f t="shared" si="239"/>
        <v>-8.3333333333333329E-2</v>
      </c>
      <c r="AF278" s="753">
        <f t="shared" si="230"/>
        <v>3591.2889215382074</v>
      </c>
      <c r="AG278" s="753"/>
      <c r="AH278" s="753"/>
      <c r="AI278" s="753"/>
    </row>
    <row r="279" spans="2:35">
      <c r="B279" s="41" t="s">
        <v>373</v>
      </c>
      <c r="C279" s="41">
        <v>2014</v>
      </c>
      <c r="D279" s="41">
        <v>114</v>
      </c>
      <c r="E279" s="41">
        <v>10</v>
      </c>
      <c r="F279" s="763">
        <v>0</v>
      </c>
      <c r="G279" s="756" t="s">
        <v>153</v>
      </c>
      <c r="H279" s="41">
        <v>10</v>
      </c>
      <c r="I279" s="41">
        <f t="shared" si="224"/>
        <v>124</v>
      </c>
      <c r="L279" s="753">
        <v>12703.32</v>
      </c>
      <c r="M279" s="753">
        <v>0</v>
      </c>
      <c r="N279" s="753">
        <f t="shared" si="240"/>
        <v>12703.32</v>
      </c>
      <c r="O279" s="753">
        <f t="shared" si="241"/>
        <v>105.86099999999999</v>
      </c>
      <c r="P279" s="753">
        <f t="shared" si="225"/>
        <v>1270.3319999999999</v>
      </c>
      <c r="Q279" s="753">
        <f t="shared" si="226"/>
        <v>0</v>
      </c>
      <c r="R279" s="753">
        <f t="shared" si="231"/>
        <v>1270.3319999999999</v>
      </c>
      <c r="S279" s="764">
        <f>+'WP-10 - Disposal'!$P$46</f>
        <v>0.86738983940594916</v>
      </c>
      <c r="T279" s="753">
        <f t="shared" si="232"/>
        <v>1101.8730694722381</v>
      </c>
      <c r="U279" s="753">
        <f t="shared" si="227"/>
        <v>9209.9069999999992</v>
      </c>
      <c r="V279" s="753">
        <f t="shared" si="233"/>
        <v>7988.5797536737264</v>
      </c>
      <c r="W279" s="764">
        <v>1</v>
      </c>
      <c r="X279" s="753">
        <f t="shared" si="234"/>
        <v>7988.5797536737264</v>
      </c>
      <c r="Y279" s="753">
        <f t="shared" si="235"/>
        <v>9090.4528231459644</v>
      </c>
      <c r="Z279" s="753">
        <f t="shared" si="228"/>
        <v>1928.277871576418</v>
      </c>
      <c r="AA279" s="753">
        <f t="shared" si="236"/>
        <v>114.75</v>
      </c>
      <c r="AB279" s="753">
        <f t="shared" si="237"/>
        <v>123</v>
      </c>
      <c r="AC279" s="753">
        <f t="shared" si="229"/>
        <v>124.75</v>
      </c>
      <c r="AD279" s="753">
        <f t="shared" si="238"/>
        <v>122</v>
      </c>
      <c r="AE279" s="753">
        <f t="shared" si="239"/>
        <v>-8.3333333333333329E-2</v>
      </c>
      <c r="AF279" s="753">
        <f t="shared" si="230"/>
        <v>2235.5258400137354</v>
      </c>
      <c r="AG279" s="753"/>
      <c r="AH279" s="753"/>
      <c r="AI279" s="753"/>
    </row>
    <row r="280" spans="2:35">
      <c r="B280" s="41" t="s">
        <v>374</v>
      </c>
      <c r="C280" s="41">
        <v>2014</v>
      </c>
      <c r="D280" s="41">
        <v>114</v>
      </c>
      <c r="E280" s="41">
        <v>10</v>
      </c>
      <c r="F280" s="763">
        <v>0</v>
      </c>
      <c r="G280" s="756" t="s">
        <v>153</v>
      </c>
      <c r="H280" s="41">
        <v>10</v>
      </c>
      <c r="I280" s="41">
        <f t="shared" si="224"/>
        <v>124</v>
      </c>
      <c r="L280" s="753">
        <v>23479.200000000001</v>
      </c>
      <c r="M280" s="753">
        <v>0</v>
      </c>
      <c r="N280" s="753">
        <f t="shared" si="240"/>
        <v>23479.200000000001</v>
      </c>
      <c r="O280" s="753">
        <f t="shared" si="241"/>
        <v>195.66</v>
      </c>
      <c r="P280" s="753">
        <f t="shared" si="225"/>
        <v>2347.92</v>
      </c>
      <c r="Q280" s="753">
        <f t="shared" si="226"/>
        <v>0</v>
      </c>
      <c r="R280" s="753">
        <f t="shared" si="231"/>
        <v>2347.92</v>
      </c>
      <c r="S280" s="764">
        <f>+'WP-10 - Disposal'!$P$46</f>
        <v>0.86738983940594916</v>
      </c>
      <c r="T280" s="753">
        <f t="shared" si="232"/>
        <v>2036.5619517380162</v>
      </c>
      <c r="U280" s="753">
        <f t="shared" si="227"/>
        <v>17022.419999999998</v>
      </c>
      <c r="V280" s="753">
        <f t="shared" si="233"/>
        <v>14765.074150100616</v>
      </c>
      <c r="W280" s="764">
        <v>1</v>
      </c>
      <c r="X280" s="753">
        <f t="shared" si="234"/>
        <v>14765.074150100616</v>
      </c>
      <c r="Y280" s="753">
        <f t="shared" si="235"/>
        <v>16801.636101838631</v>
      </c>
      <c r="Z280" s="753">
        <f t="shared" si="228"/>
        <v>3563.9834155415301</v>
      </c>
      <c r="AA280" s="753">
        <f t="shared" si="236"/>
        <v>114.75</v>
      </c>
      <c r="AB280" s="753">
        <f t="shared" si="237"/>
        <v>123</v>
      </c>
      <c r="AC280" s="753">
        <f t="shared" si="229"/>
        <v>124.75</v>
      </c>
      <c r="AD280" s="753">
        <f t="shared" si="238"/>
        <v>122</v>
      </c>
      <c r="AE280" s="753">
        <f t="shared" si="239"/>
        <v>-8.3333333333333329E-2</v>
      </c>
      <c r="AF280" s="753">
        <f t="shared" si="230"/>
        <v>4131.8614584888473</v>
      </c>
      <c r="AG280" s="753"/>
      <c r="AH280" s="753"/>
      <c r="AI280" s="753"/>
    </row>
    <row r="281" spans="2:35">
      <c r="B281" s="41" t="s">
        <v>375</v>
      </c>
      <c r="C281" s="41">
        <v>2015</v>
      </c>
      <c r="D281" s="41">
        <v>115</v>
      </c>
      <c r="E281" s="41">
        <v>3</v>
      </c>
      <c r="F281" s="763">
        <v>0</v>
      </c>
      <c r="G281" s="756" t="s">
        <v>153</v>
      </c>
      <c r="H281" s="41">
        <v>10</v>
      </c>
      <c r="I281" s="41">
        <f t="shared" si="224"/>
        <v>125</v>
      </c>
      <c r="L281" s="753">
        <v>23093.38</v>
      </c>
      <c r="M281" s="753">
        <v>0</v>
      </c>
      <c r="N281" s="753">
        <f t="shared" si="240"/>
        <v>23093.38</v>
      </c>
      <c r="O281" s="753">
        <f t="shared" si="241"/>
        <v>192.44483333333335</v>
      </c>
      <c r="P281" s="753">
        <f t="shared" si="225"/>
        <v>2309.3380000000002</v>
      </c>
      <c r="Q281" s="753">
        <f t="shared" si="226"/>
        <v>0</v>
      </c>
      <c r="R281" s="753">
        <f t="shared" si="231"/>
        <v>2309.3380000000002</v>
      </c>
      <c r="S281" s="764">
        <f>+'WP-10 - Disposal'!$P$46</f>
        <v>0.86738983940594916</v>
      </c>
      <c r="T281" s="753">
        <f t="shared" si="232"/>
        <v>2003.096316954056</v>
      </c>
      <c r="U281" s="753">
        <f t="shared" si="227"/>
        <v>15780.476333333323</v>
      </c>
      <c r="V281" s="753">
        <f t="shared" si="233"/>
        <v>13687.824832519373</v>
      </c>
      <c r="W281" s="764">
        <v>1</v>
      </c>
      <c r="X281" s="753">
        <f t="shared" si="234"/>
        <v>13687.824832519373</v>
      </c>
      <c r="Y281" s="753">
        <f t="shared" si="235"/>
        <v>15690.921149473428</v>
      </c>
      <c r="Z281" s="753">
        <f t="shared" si="228"/>
        <v>4340.0420200671306</v>
      </c>
      <c r="AA281" s="753">
        <f t="shared" si="236"/>
        <v>115.16666666666667</v>
      </c>
      <c r="AB281" s="753">
        <f t="shared" si="237"/>
        <v>123</v>
      </c>
      <c r="AC281" s="753">
        <f t="shared" si="229"/>
        <v>125.16666666666667</v>
      </c>
      <c r="AD281" s="753">
        <f t="shared" si="238"/>
        <v>122</v>
      </c>
      <c r="AE281" s="753">
        <f t="shared" si="239"/>
        <v>-8.3333333333333329E-2</v>
      </c>
      <c r="AF281" s="753">
        <f t="shared" si="230"/>
        <v>4063.96498893647</v>
      </c>
      <c r="AG281" s="753"/>
      <c r="AH281" s="753"/>
      <c r="AI281" s="753"/>
    </row>
    <row r="282" spans="2:35">
      <c r="B282" s="41" t="s">
        <v>376</v>
      </c>
      <c r="C282" s="41">
        <v>2015</v>
      </c>
      <c r="D282" s="41">
        <v>115</v>
      </c>
      <c r="E282" s="41">
        <v>3</v>
      </c>
      <c r="F282" s="763">
        <v>0</v>
      </c>
      <c r="G282" s="756" t="s">
        <v>153</v>
      </c>
      <c r="H282" s="41">
        <v>10</v>
      </c>
      <c r="I282" s="41">
        <f t="shared" si="224"/>
        <v>125</v>
      </c>
      <c r="L282" s="753">
        <v>11663.04</v>
      </c>
      <c r="M282" s="753">
        <v>0</v>
      </c>
      <c r="N282" s="753">
        <f t="shared" si="240"/>
        <v>11663.04</v>
      </c>
      <c r="O282" s="753">
        <f t="shared" si="241"/>
        <v>97.192000000000007</v>
      </c>
      <c r="P282" s="753">
        <f t="shared" si="225"/>
        <v>1166.3040000000001</v>
      </c>
      <c r="Q282" s="753">
        <f t="shared" si="226"/>
        <v>0</v>
      </c>
      <c r="R282" s="753">
        <f t="shared" si="231"/>
        <v>1166.3040000000001</v>
      </c>
      <c r="S282" s="764">
        <f>+'WP-10 - Disposal'!$P$46</f>
        <v>0.86738983940594916</v>
      </c>
      <c r="T282" s="753">
        <f t="shared" si="232"/>
        <v>1011.6402392585162</v>
      </c>
      <c r="U282" s="753">
        <f t="shared" si="227"/>
        <v>7969.7439999999951</v>
      </c>
      <c r="V282" s="753">
        <f t="shared" si="233"/>
        <v>6912.874968266523</v>
      </c>
      <c r="W282" s="764">
        <v>1</v>
      </c>
      <c r="X282" s="753">
        <f t="shared" si="234"/>
        <v>6912.874968266523</v>
      </c>
      <c r="Y282" s="753">
        <f t="shared" si="235"/>
        <v>7924.5152075250389</v>
      </c>
      <c r="Z282" s="753">
        <f t="shared" si="228"/>
        <v>2191.8871850601226</v>
      </c>
      <c r="AA282" s="753">
        <f t="shared" si="236"/>
        <v>115.16666666666667</v>
      </c>
      <c r="AB282" s="753">
        <f t="shared" si="237"/>
        <v>123</v>
      </c>
      <c r="AC282" s="753">
        <f t="shared" si="229"/>
        <v>125.16666666666667</v>
      </c>
      <c r="AD282" s="753">
        <f t="shared" si="238"/>
        <v>122</v>
      </c>
      <c r="AE282" s="753">
        <f t="shared" si="239"/>
        <v>-8.3333333333333329E-2</v>
      </c>
      <c r="AF282" s="753">
        <f t="shared" si="230"/>
        <v>2052.4577270440968</v>
      </c>
      <c r="AG282" s="753"/>
      <c r="AH282" s="753"/>
      <c r="AI282" s="753"/>
    </row>
    <row r="283" spans="2:35">
      <c r="B283" s="41" t="s">
        <v>377</v>
      </c>
      <c r="C283" s="41">
        <v>2015</v>
      </c>
      <c r="D283" s="41">
        <v>115</v>
      </c>
      <c r="E283" s="41">
        <v>10</v>
      </c>
      <c r="F283" s="763">
        <v>0</v>
      </c>
      <c r="G283" s="756" t="s">
        <v>153</v>
      </c>
      <c r="H283" s="41">
        <v>10</v>
      </c>
      <c r="I283" s="41">
        <f t="shared" si="224"/>
        <v>125</v>
      </c>
      <c r="L283" s="753">
        <v>41735.96</v>
      </c>
      <c r="M283" s="753">
        <v>0</v>
      </c>
      <c r="N283" s="753">
        <f t="shared" si="240"/>
        <v>41735.96</v>
      </c>
      <c r="O283" s="753">
        <f t="shared" si="241"/>
        <v>347.79966666666661</v>
      </c>
      <c r="P283" s="753">
        <f t="shared" si="225"/>
        <v>4173.5959999999995</v>
      </c>
      <c r="Q283" s="753">
        <f t="shared" si="226"/>
        <v>0</v>
      </c>
      <c r="R283" s="753">
        <f t="shared" si="231"/>
        <v>4173.5959999999995</v>
      </c>
      <c r="S283" s="764">
        <f>+'WP-10 - Disposal'!$P$46</f>
        <v>0.86738983940594916</v>
      </c>
      <c r="T283" s="753">
        <f t="shared" si="232"/>
        <v>3620.1347641853113</v>
      </c>
      <c r="U283" s="753">
        <f t="shared" si="227"/>
        <v>26084.974999999995</v>
      </c>
      <c r="V283" s="753">
        <f t="shared" si="233"/>
        <v>22625.842276158193</v>
      </c>
      <c r="W283" s="764">
        <v>1</v>
      </c>
      <c r="X283" s="753">
        <f t="shared" si="234"/>
        <v>22625.842276158193</v>
      </c>
      <c r="Y283" s="753">
        <f t="shared" si="235"/>
        <v>26245.977040343503</v>
      </c>
      <c r="Z283" s="753">
        <f t="shared" si="228"/>
        <v>9955.3706015096104</v>
      </c>
      <c r="AA283" s="753">
        <f t="shared" si="236"/>
        <v>115.75</v>
      </c>
      <c r="AB283" s="753">
        <f t="shared" si="237"/>
        <v>123</v>
      </c>
      <c r="AC283" s="753">
        <f t="shared" si="229"/>
        <v>125.75</v>
      </c>
      <c r="AD283" s="753">
        <f t="shared" si="238"/>
        <v>122</v>
      </c>
      <c r="AE283" s="753">
        <f t="shared" si="239"/>
        <v>-8.3333333333333329E-2</v>
      </c>
      <c r="AF283" s="753">
        <f t="shared" si="230"/>
        <v>7344.6797402395387</v>
      </c>
      <c r="AG283" s="753"/>
      <c r="AH283" s="753"/>
      <c r="AI283" s="753"/>
    </row>
    <row r="284" spans="2:35">
      <c r="B284" s="41" t="s">
        <v>707</v>
      </c>
      <c r="C284" s="41">
        <v>2016</v>
      </c>
      <c r="D284" s="41">
        <v>116</v>
      </c>
      <c r="E284" s="41">
        <v>6</v>
      </c>
      <c r="F284" s="763">
        <v>0</v>
      </c>
      <c r="G284" s="756" t="s">
        <v>153</v>
      </c>
      <c r="H284" s="41">
        <v>10</v>
      </c>
      <c r="I284" s="41">
        <f t="shared" si="224"/>
        <v>126</v>
      </c>
      <c r="L284" s="753">
        <v>33952.11</v>
      </c>
      <c r="M284" s="753">
        <v>0</v>
      </c>
      <c r="N284" s="753">
        <f t="shared" si="240"/>
        <v>33952.11</v>
      </c>
      <c r="O284" s="753">
        <f t="shared" si="241"/>
        <v>282.93425000000002</v>
      </c>
      <c r="P284" s="753">
        <f t="shared" si="225"/>
        <v>3395.2110000000002</v>
      </c>
      <c r="Q284" s="753">
        <f t="shared" si="226"/>
        <v>0</v>
      </c>
      <c r="R284" s="753">
        <f t="shared" si="231"/>
        <v>3395.2110000000002</v>
      </c>
      <c r="S284" s="764">
        <f>+'WP-10 - Disposal'!$P$46</f>
        <v>0.86738983940594916</v>
      </c>
      <c r="T284" s="753">
        <f t="shared" si="232"/>
        <v>2944.971524039312</v>
      </c>
      <c r="U284" s="753">
        <f t="shared" si="227"/>
        <v>18956.594749999986</v>
      </c>
      <c r="V284" s="753">
        <f t="shared" si="233"/>
        <v>16442.757675886147</v>
      </c>
      <c r="W284" s="764">
        <v>1</v>
      </c>
      <c r="X284" s="753">
        <f t="shared" si="234"/>
        <v>16442.757675886147</v>
      </c>
      <c r="Y284" s="753">
        <f t="shared" si="235"/>
        <v>19387.729199925459</v>
      </c>
      <c r="Z284" s="753">
        <f t="shared" si="228"/>
        <v>10061.986040467662</v>
      </c>
      <c r="AA284" s="753">
        <f t="shared" si="236"/>
        <v>116.41666666666667</v>
      </c>
      <c r="AB284" s="753">
        <f t="shared" si="237"/>
        <v>123</v>
      </c>
      <c r="AC284" s="753">
        <f t="shared" si="229"/>
        <v>126.41666666666667</v>
      </c>
      <c r="AD284" s="753">
        <f t="shared" si="238"/>
        <v>122</v>
      </c>
      <c r="AE284" s="753">
        <f t="shared" si="239"/>
        <v>-8.3333333333333329E-2</v>
      </c>
      <c r="AF284" s="753">
        <f t="shared" si="230"/>
        <v>5974.8805216265355</v>
      </c>
      <c r="AG284" s="753"/>
      <c r="AH284" s="753"/>
      <c r="AI284" s="753"/>
    </row>
    <row r="285" spans="2:35">
      <c r="B285" s="41" t="s">
        <v>708</v>
      </c>
      <c r="C285" s="41">
        <v>2016</v>
      </c>
      <c r="D285" s="41">
        <v>116</v>
      </c>
      <c r="E285" s="41">
        <v>11</v>
      </c>
      <c r="F285" s="763">
        <v>0</v>
      </c>
      <c r="G285" s="756" t="s">
        <v>153</v>
      </c>
      <c r="H285" s="41">
        <v>10</v>
      </c>
      <c r="I285" s="41">
        <f t="shared" si="224"/>
        <v>126</v>
      </c>
      <c r="L285" s="753">
        <v>8755.94</v>
      </c>
      <c r="M285" s="753">
        <v>0</v>
      </c>
      <c r="N285" s="753">
        <f t="shared" si="240"/>
        <v>8755.94</v>
      </c>
      <c r="O285" s="753">
        <f t="shared" si="241"/>
        <v>72.966166666666666</v>
      </c>
      <c r="P285" s="753">
        <f t="shared" si="225"/>
        <v>875.59400000000005</v>
      </c>
      <c r="Q285" s="753">
        <f t="shared" si="226"/>
        <v>0</v>
      </c>
      <c r="R285" s="753">
        <f t="shared" si="231"/>
        <v>875.59400000000005</v>
      </c>
      <c r="S285" s="764">
        <f>+'WP-10 - Disposal'!$P$46</f>
        <v>0.86738983940594916</v>
      </c>
      <c r="T285" s="753">
        <f t="shared" si="232"/>
        <v>759.48133904481267</v>
      </c>
      <c r="U285" s="753">
        <f t="shared" si="227"/>
        <v>4523.9023333333371</v>
      </c>
      <c r="V285" s="753">
        <f t="shared" si="233"/>
        <v>3923.9869183982019</v>
      </c>
      <c r="W285" s="764">
        <v>1</v>
      </c>
      <c r="X285" s="753">
        <f t="shared" si="234"/>
        <v>3923.9869183982019</v>
      </c>
      <c r="Y285" s="753">
        <f t="shared" si="235"/>
        <v>4683.4682574430144</v>
      </c>
      <c r="Z285" s="753">
        <f t="shared" si="228"/>
        <v>2911.3451330051121</v>
      </c>
      <c r="AA285" s="753">
        <f t="shared" si="236"/>
        <v>116.83333333333333</v>
      </c>
      <c r="AB285" s="753">
        <f t="shared" si="237"/>
        <v>123</v>
      </c>
      <c r="AC285" s="753">
        <f t="shared" si="229"/>
        <v>126.83333333333333</v>
      </c>
      <c r="AD285" s="753">
        <f t="shared" si="238"/>
        <v>122</v>
      </c>
      <c r="AE285" s="753">
        <f t="shared" si="239"/>
        <v>-8.3333333333333329E-2</v>
      </c>
      <c r="AF285" s="753">
        <f t="shared" si="230"/>
        <v>1540.8672790742803</v>
      </c>
      <c r="AG285" s="753"/>
      <c r="AH285" s="753"/>
      <c r="AI285" s="753"/>
    </row>
    <row r="286" spans="2:35">
      <c r="B286" s="41" t="s">
        <v>709</v>
      </c>
      <c r="C286" s="41">
        <v>2017</v>
      </c>
      <c r="D286" s="41">
        <v>117</v>
      </c>
      <c r="E286" s="41">
        <v>2</v>
      </c>
      <c r="F286" s="763">
        <v>0</v>
      </c>
      <c r="G286" s="756" t="s">
        <v>153</v>
      </c>
      <c r="H286" s="41">
        <v>10</v>
      </c>
      <c r="I286" s="41">
        <f t="shared" si="224"/>
        <v>127</v>
      </c>
      <c r="L286" s="753">
        <v>33757.71</v>
      </c>
      <c r="M286" s="753">
        <v>0</v>
      </c>
      <c r="N286" s="753">
        <f t="shared" si="240"/>
        <v>33757.71</v>
      </c>
      <c r="O286" s="753">
        <f t="shared" si="241"/>
        <v>281.31424999999996</v>
      </c>
      <c r="P286" s="753">
        <f t="shared" si="225"/>
        <v>3375.7709999999997</v>
      </c>
      <c r="Q286" s="753">
        <f t="shared" si="226"/>
        <v>0</v>
      </c>
      <c r="R286" s="753">
        <f t="shared" si="231"/>
        <v>3375.7709999999997</v>
      </c>
      <c r="S286" s="764">
        <f>+'WP-10 - Disposal'!$P$46</f>
        <v>0.86738983940594916</v>
      </c>
      <c r="T286" s="753">
        <f t="shared" si="232"/>
        <v>2928.1094655612601</v>
      </c>
      <c r="U286" s="753">
        <f t="shared" si="227"/>
        <v>16597.540750000015</v>
      </c>
      <c r="V286" s="753">
        <f t="shared" si="233"/>
        <v>14396.53820567621</v>
      </c>
      <c r="W286" s="764">
        <v>1</v>
      </c>
      <c r="X286" s="753">
        <f t="shared" si="234"/>
        <v>14396.53820567621</v>
      </c>
      <c r="Y286" s="753">
        <f t="shared" si="235"/>
        <v>17324.647671237472</v>
      </c>
      <c r="Z286" s="753">
        <f t="shared" si="228"/>
        <v>11956.446984375132</v>
      </c>
      <c r="AA286" s="753">
        <f t="shared" si="236"/>
        <v>117.08333333333333</v>
      </c>
      <c r="AB286" s="753">
        <f t="shared" si="237"/>
        <v>123</v>
      </c>
      <c r="AC286" s="753">
        <f t="shared" si="229"/>
        <v>127.08333333333333</v>
      </c>
      <c r="AD286" s="753">
        <f t="shared" si="238"/>
        <v>122</v>
      </c>
      <c r="AE286" s="753">
        <f t="shared" si="239"/>
        <v>-8.3333333333333329E-2</v>
      </c>
      <c r="AF286" s="753">
        <f t="shared" si="230"/>
        <v>5940.6700771680262</v>
      </c>
      <c r="AG286" s="753"/>
      <c r="AH286" s="753"/>
      <c r="AI286" s="753"/>
    </row>
    <row r="287" spans="2:35">
      <c r="B287" s="41" t="s">
        <v>710</v>
      </c>
      <c r="C287" s="41">
        <v>2017</v>
      </c>
      <c r="D287" s="41">
        <v>117</v>
      </c>
      <c r="E287" s="41">
        <v>3</v>
      </c>
      <c r="F287" s="763">
        <v>0</v>
      </c>
      <c r="G287" s="756" t="s">
        <v>153</v>
      </c>
      <c r="H287" s="41">
        <v>10</v>
      </c>
      <c r="I287" s="41">
        <f t="shared" si="224"/>
        <v>127</v>
      </c>
      <c r="L287" s="753">
        <v>8500.34</v>
      </c>
      <c r="M287" s="753">
        <v>0</v>
      </c>
      <c r="N287" s="753">
        <f t="shared" si="240"/>
        <v>8500.34</v>
      </c>
      <c r="O287" s="753">
        <f t="shared" si="241"/>
        <v>70.836166666666671</v>
      </c>
      <c r="P287" s="753">
        <f t="shared" si="225"/>
        <v>850.03400000000011</v>
      </c>
      <c r="Q287" s="753">
        <f t="shared" si="226"/>
        <v>0</v>
      </c>
      <c r="R287" s="753">
        <f t="shared" si="231"/>
        <v>850.03400000000011</v>
      </c>
      <c r="S287" s="764">
        <f>+'WP-10 - Disposal'!$P$46</f>
        <v>0.86738983940594916</v>
      </c>
      <c r="T287" s="753">
        <f t="shared" si="232"/>
        <v>737.31085474959673</v>
      </c>
      <c r="U287" s="753">
        <f t="shared" si="227"/>
        <v>4108.4976666666626</v>
      </c>
      <c r="V287" s="753">
        <f t="shared" si="233"/>
        <v>3563.6691312897133</v>
      </c>
      <c r="W287" s="764">
        <v>1</v>
      </c>
      <c r="X287" s="753">
        <f t="shared" si="234"/>
        <v>3563.6691312897133</v>
      </c>
      <c r="Y287" s="753">
        <f t="shared" si="235"/>
        <v>4300.9799860393105</v>
      </c>
      <c r="Z287" s="753">
        <f t="shared" si="228"/>
        <v>3072.1285614566559</v>
      </c>
      <c r="AA287" s="753">
        <f t="shared" si="236"/>
        <v>117.16666666666667</v>
      </c>
      <c r="AB287" s="753">
        <f t="shared" si="237"/>
        <v>123</v>
      </c>
      <c r="AC287" s="753">
        <f t="shared" si="229"/>
        <v>127.16666666666667</v>
      </c>
      <c r="AD287" s="753">
        <f t="shared" si="238"/>
        <v>122</v>
      </c>
      <c r="AE287" s="753">
        <f t="shared" si="239"/>
        <v>-8.3333333333333329E-2</v>
      </c>
      <c r="AF287" s="753">
        <f t="shared" si="230"/>
        <v>1495.8868798788326</v>
      </c>
      <c r="AG287" s="753"/>
      <c r="AH287" s="753"/>
      <c r="AI287" s="753"/>
    </row>
    <row r="288" spans="2:35">
      <c r="B288" s="41" t="s">
        <v>711</v>
      </c>
      <c r="C288" s="41">
        <v>2017</v>
      </c>
      <c r="D288" s="41">
        <v>117</v>
      </c>
      <c r="E288" s="41">
        <v>10</v>
      </c>
      <c r="F288" s="763">
        <v>0</v>
      </c>
      <c r="G288" s="756" t="s">
        <v>153</v>
      </c>
      <c r="H288" s="41">
        <v>10</v>
      </c>
      <c r="I288" s="41">
        <f t="shared" si="224"/>
        <v>127</v>
      </c>
      <c r="L288" s="753">
        <v>42622.93</v>
      </c>
      <c r="M288" s="753">
        <v>0</v>
      </c>
      <c r="N288" s="753">
        <f t="shared" si="240"/>
        <v>42622.93</v>
      </c>
      <c r="O288" s="753">
        <f t="shared" si="241"/>
        <v>355.19108333333332</v>
      </c>
      <c r="P288" s="753">
        <f t="shared" si="225"/>
        <v>4262.2929999999997</v>
      </c>
      <c r="Q288" s="753">
        <f t="shared" si="226"/>
        <v>0</v>
      </c>
      <c r="R288" s="753">
        <f t="shared" si="231"/>
        <v>4262.2929999999997</v>
      </c>
      <c r="S288" s="764">
        <f>+'WP-10 - Disposal'!$P$46</f>
        <v>0.86738983940594916</v>
      </c>
      <c r="T288" s="753">
        <f t="shared" si="232"/>
        <v>3697.0696407711011</v>
      </c>
      <c r="U288" s="753">
        <f t="shared" si="227"/>
        <v>18114.74525</v>
      </c>
      <c r="V288" s="753">
        <f t="shared" si="233"/>
        <v>15712.54597327718</v>
      </c>
      <c r="W288" s="764">
        <v>1</v>
      </c>
      <c r="X288" s="753">
        <f t="shared" si="234"/>
        <v>15712.54597327718</v>
      </c>
      <c r="Y288" s="753">
        <f t="shared" si="235"/>
        <v>19409.615614048282</v>
      </c>
      <c r="Z288" s="753">
        <f t="shared" si="228"/>
        <v>17561.080793662728</v>
      </c>
      <c r="AA288" s="753">
        <f t="shared" si="236"/>
        <v>117.75</v>
      </c>
      <c r="AB288" s="753">
        <f t="shared" si="237"/>
        <v>123</v>
      </c>
      <c r="AC288" s="753">
        <f t="shared" si="229"/>
        <v>127.75</v>
      </c>
      <c r="AD288" s="753">
        <f t="shared" si="238"/>
        <v>122</v>
      </c>
      <c r="AE288" s="753">
        <f t="shared" si="239"/>
        <v>-8.3333333333333329E-2</v>
      </c>
      <c r="AF288" s="753">
        <f t="shared" si="230"/>
        <v>7500.7684126745407</v>
      </c>
      <c r="AG288" s="753"/>
      <c r="AH288" s="753"/>
      <c r="AI288" s="753"/>
    </row>
    <row r="289" spans="2:35">
      <c r="B289" s="41" t="s">
        <v>712</v>
      </c>
      <c r="C289" s="41">
        <v>2018</v>
      </c>
      <c r="D289" s="41">
        <v>118</v>
      </c>
      <c r="E289" s="41">
        <v>8</v>
      </c>
      <c r="F289" s="763">
        <v>0</v>
      </c>
      <c r="G289" s="756" t="s">
        <v>153</v>
      </c>
      <c r="H289" s="41">
        <v>10</v>
      </c>
      <c r="I289" s="41">
        <f t="shared" si="224"/>
        <v>128</v>
      </c>
      <c r="L289" s="753">
        <v>9539.06</v>
      </c>
      <c r="M289" s="753">
        <v>0</v>
      </c>
      <c r="N289" s="753">
        <f t="shared" si="240"/>
        <v>9539.06</v>
      </c>
      <c r="O289" s="753">
        <f t="shared" si="241"/>
        <v>79.492166666666662</v>
      </c>
      <c r="P289" s="753">
        <f t="shared" si="225"/>
        <v>953.90599999999995</v>
      </c>
      <c r="Q289" s="753">
        <f t="shared" si="226"/>
        <v>0</v>
      </c>
      <c r="R289" s="753">
        <f t="shared" si="231"/>
        <v>953.90599999999995</v>
      </c>
      <c r="S289" s="764">
        <f>+'WP-10 - Disposal'!$P$46</f>
        <v>0.86738983940594916</v>
      </c>
      <c r="T289" s="753">
        <f t="shared" si="232"/>
        <v>827.40837214837131</v>
      </c>
      <c r="U289" s="753">
        <f t="shared" si="227"/>
        <v>3259.1788333333375</v>
      </c>
      <c r="V289" s="753">
        <f t="shared" si="233"/>
        <v>2826.9786048402725</v>
      </c>
      <c r="W289" s="764">
        <v>1</v>
      </c>
      <c r="X289" s="753">
        <f t="shared" si="234"/>
        <v>2826.9786048402725</v>
      </c>
      <c r="Y289" s="753">
        <f t="shared" si="235"/>
        <v>3654.3869769886437</v>
      </c>
      <c r="Z289" s="753">
        <f t="shared" si="228"/>
        <v>4619.6967444950697</v>
      </c>
      <c r="AA289" s="753">
        <f t="shared" si="236"/>
        <v>118.58333333333333</v>
      </c>
      <c r="AB289" s="753">
        <f t="shared" si="237"/>
        <v>123</v>
      </c>
      <c r="AC289" s="753">
        <f t="shared" si="229"/>
        <v>128.58333333333334</v>
      </c>
      <c r="AD289" s="753">
        <f t="shared" si="238"/>
        <v>122</v>
      </c>
      <c r="AE289" s="753">
        <f t="shared" si="239"/>
        <v>-8.3333333333333329E-2</v>
      </c>
      <c r="AF289" s="753">
        <f t="shared" si="230"/>
        <v>1678.6804645904722</v>
      </c>
      <c r="AG289" s="753"/>
      <c r="AH289" s="753"/>
      <c r="AI289" s="753"/>
    </row>
    <row r="290" spans="2:35">
      <c r="B290" s="41" t="s">
        <v>713</v>
      </c>
      <c r="C290" s="41">
        <v>2018</v>
      </c>
      <c r="D290" s="41">
        <v>118</v>
      </c>
      <c r="E290" s="41">
        <v>9</v>
      </c>
      <c r="F290" s="763">
        <v>0</v>
      </c>
      <c r="G290" s="756" t="s">
        <v>153</v>
      </c>
      <c r="H290" s="41">
        <v>7</v>
      </c>
      <c r="I290" s="41">
        <f t="shared" si="224"/>
        <v>125</v>
      </c>
      <c r="L290" s="753">
        <v>10708.33</v>
      </c>
      <c r="M290" s="753">
        <v>0</v>
      </c>
      <c r="N290" s="753">
        <f t="shared" si="240"/>
        <v>10708.33</v>
      </c>
      <c r="O290" s="753">
        <f t="shared" si="241"/>
        <v>127.48011904761904</v>
      </c>
      <c r="P290" s="753">
        <f t="shared" si="225"/>
        <v>1529.7614285714285</v>
      </c>
      <c r="Q290" s="753">
        <f t="shared" si="226"/>
        <v>0</v>
      </c>
      <c r="R290" s="753">
        <f t="shared" si="231"/>
        <v>1529.7614285714285</v>
      </c>
      <c r="S290" s="764">
        <f>+'WP-10 - Disposal'!$P$46</f>
        <v>0.86738983940594916</v>
      </c>
      <c r="T290" s="753">
        <f t="shared" si="232"/>
        <v>1326.8995198579867</v>
      </c>
      <c r="U290" s="753">
        <f t="shared" si="227"/>
        <v>5099.2047619047544</v>
      </c>
      <c r="V290" s="753">
        <f t="shared" si="233"/>
        <v>4422.9983995266157</v>
      </c>
      <c r="W290" s="764">
        <v>1</v>
      </c>
      <c r="X290" s="753">
        <f t="shared" si="234"/>
        <v>4422.9983995266157</v>
      </c>
      <c r="Y290" s="753">
        <f t="shared" si="235"/>
        <v>5749.8979193846026</v>
      </c>
      <c r="Z290" s="753">
        <f t="shared" si="228"/>
        <v>3538.3987196213056</v>
      </c>
      <c r="AA290" s="753">
        <f t="shared" si="236"/>
        <v>118.66666666666667</v>
      </c>
      <c r="AB290" s="753">
        <f t="shared" si="237"/>
        <v>123</v>
      </c>
      <c r="AC290" s="753">
        <f t="shared" si="229"/>
        <v>125.66666666666667</v>
      </c>
      <c r="AD290" s="753">
        <f t="shared" si="238"/>
        <v>122</v>
      </c>
      <c r="AE290" s="753">
        <f t="shared" si="239"/>
        <v>-8.3333333333333329E-2</v>
      </c>
      <c r="AF290" s="753">
        <f t="shared" si="230"/>
        <v>2083.4831209230852</v>
      </c>
      <c r="AG290" s="753"/>
      <c r="AH290" s="753"/>
      <c r="AI290" s="753"/>
    </row>
    <row r="291" spans="2:35">
      <c r="B291" s="41" t="s">
        <v>714</v>
      </c>
      <c r="C291" s="41">
        <v>2018</v>
      </c>
      <c r="D291" s="41">
        <v>118</v>
      </c>
      <c r="E291" s="41">
        <v>10</v>
      </c>
      <c r="F291" s="763">
        <v>0</v>
      </c>
      <c r="G291" s="756" t="s">
        <v>153</v>
      </c>
      <c r="H291" s="41">
        <v>10</v>
      </c>
      <c r="I291" s="41">
        <f t="shared" si="224"/>
        <v>128</v>
      </c>
      <c r="L291" s="753">
        <v>32117.41</v>
      </c>
      <c r="M291" s="753">
        <v>0</v>
      </c>
      <c r="N291" s="753">
        <f t="shared" si="240"/>
        <v>32117.41</v>
      </c>
      <c r="O291" s="753">
        <f t="shared" si="241"/>
        <v>267.64508333333333</v>
      </c>
      <c r="P291" s="753">
        <f t="shared" si="225"/>
        <v>3211.741</v>
      </c>
      <c r="Q291" s="753">
        <f t="shared" si="226"/>
        <v>0</v>
      </c>
      <c r="R291" s="753">
        <f t="shared" si="231"/>
        <v>3211.741</v>
      </c>
      <c r="S291" s="764">
        <f>+'WP-10 - Disposal'!$P$46</f>
        <v>0.86738983940594916</v>
      </c>
      <c r="T291" s="753">
        <f t="shared" si="232"/>
        <v>2785.8315102035026</v>
      </c>
      <c r="U291" s="753">
        <f t="shared" si="227"/>
        <v>10438.15825</v>
      </c>
      <c r="V291" s="753">
        <f t="shared" si="233"/>
        <v>9053.9524081613836</v>
      </c>
      <c r="W291" s="764">
        <v>1</v>
      </c>
      <c r="X291" s="753">
        <f t="shared" si="234"/>
        <v>9053.9524081613836</v>
      </c>
      <c r="Y291" s="753">
        <f t="shared" si="235"/>
        <v>11839.783918364887</v>
      </c>
      <c r="Z291" s="753">
        <f t="shared" si="228"/>
        <v>16018.53118367014</v>
      </c>
      <c r="AA291" s="753">
        <f t="shared" si="236"/>
        <v>118.75</v>
      </c>
      <c r="AB291" s="753">
        <f t="shared" si="237"/>
        <v>123</v>
      </c>
      <c r="AC291" s="753">
        <f t="shared" si="229"/>
        <v>128.75</v>
      </c>
      <c r="AD291" s="753">
        <f t="shared" si="238"/>
        <v>122</v>
      </c>
      <c r="AE291" s="753">
        <f t="shared" si="239"/>
        <v>-8.3333333333333329E-2</v>
      </c>
      <c r="AF291" s="753">
        <f t="shared" si="230"/>
        <v>5652.0106530667254</v>
      </c>
      <c r="AG291" s="753"/>
      <c r="AH291" s="753"/>
      <c r="AI291" s="753"/>
    </row>
    <row r="292" spans="2:35">
      <c r="B292" s="41" t="s">
        <v>715</v>
      </c>
      <c r="C292" s="41">
        <v>2019</v>
      </c>
      <c r="D292" s="41">
        <v>119</v>
      </c>
      <c r="E292" s="41">
        <v>6</v>
      </c>
      <c r="F292" s="763">
        <v>0</v>
      </c>
      <c r="G292" s="756" t="s">
        <v>153</v>
      </c>
      <c r="H292" s="41">
        <v>7</v>
      </c>
      <c r="I292" s="41">
        <f t="shared" si="224"/>
        <v>126</v>
      </c>
      <c r="L292" s="753">
        <v>26212.84</v>
      </c>
      <c r="M292" s="753">
        <v>0</v>
      </c>
      <c r="N292" s="753">
        <f t="shared" si="240"/>
        <v>26212.84</v>
      </c>
      <c r="O292" s="753">
        <f t="shared" si="241"/>
        <v>312.05761904761908</v>
      </c>
      <c r="P292" s="753">
        <f t="shared" si="225"/>
        <v>3744.6914285714292</v>
      </c>
      <c r="Q292" s="753">
        <f t="shared" si="226"/>
        <v>0</v>
      </c>
      <c r="R292" s="753">
        <f t="shared" si="231"/>
        <v>3744.6914285714292</v>
      </c>
      <c r="S292" s="764">
        <f>+'WP-10 - Disposal'!$P$46</f>
        <v>0.86738983940594916</v>
      </c>
      <c r="T292" s="753">
        <f t="shared" si="232"/>
        <v>3248.1072968534063</v>
      </c>
      <c r="U292" s="753">
        <f t="shared" si="227"/>
        <v>9673.7861904761739</v>
      </c>
      <c r="V292" s="753">
        <f t="shared" si="233"/>
        <v>8390.9438502046178</v>
      </c>
      <c r="W292" s="764">
        <v>1</v>
      </c>
      <c r="X292" s="753">
        <f t="shared" si="234"/>
        <v>8390.9438502046178</v>
      </c>
      <c r="Y292" s="753">
        <f t="shared" si="235"/>
        <v>11639.051147058024</v>
      </c>
      <c r="Z292" s="753">
        <f t="shared" si="228"/>
        <v>11097.699930915816</v>
      </c>
      <c r="AA292" s="753">
        <f t="shared" si="236"/>
        <v>119.41666666666667</v>
      </c>
      <c r="AB292" s="753">
        <f t="shared" si="237"/>
        <v>123</v>
      </c>
      <c r="AC292" s="753">
        <f t="shared" si="229"/>
        <v>126.41666666666667</v>
      </c>
      <c r="AD292" s="753">
        <f t="shared" si="238"/>
        <v>122</v>
      </c>
      <c r="AE292" s="753">
        <f t="shared" si="239"/>
        <v>-8.3333333333333329E-2</v>
      </c>
      <c r="AF292" s="753">
        <f t="shared" si="230"/>
        <v>5100.1425704528629</v>
      </c>
      <c r="AG292" s="753"/>
      <c r="AH292" s="753"/>
      <c r="AI292" s="753"/>
    </row>
    <row r="293" spans="2:35">
      <c r="B293" s="41" t="s">
        <v>716</v>
      </c>
      <c r="C293" s="41">
        <v>2019</v>
      </c>
      <c r="D293" s="41">
        <v>119</v>
      </c>
      <c r="E293" s="41">
        <v>8</v>
      </c>
      <c r="F293" s="763">
        <v>0</v>
      </c>
      <c r="G293" s="756" t="s">
        <v>153</v>
      </c>
      <c r="H293" s="41">
        <v>7</v>
      </c>
      <c r="I293" s="41">
        <f t="shared" si="224"/>
        <v>126</v>
      </c>
      <c r="L293" s="753">
        <v>3569.59</v>
      </c>
      <c r="M293" s="753">
        <v>0</v>
      </c>
      <c r="N293" s="753">
        <f t="shared" si="240"/>
        <v>3569.59</v>
      </c>
      <c r="O293" s="753">
        <f t="shared" si="241"/>
        <v>42.495119047619049</v>
      </c>
      <c r="P293" s="753">
        <f t="shared" si="225"/>
        <v>509.94142857142856</v>
      </c>
      <c r="Q293" s="753">
        <f t="shared" si="226"/>
        <v>0</v>
      </c>
      <c r="R293" s="753">
        <f t="shared" si="231"/>
        <v>509.94142857142856</v>
      </c>
      <c r="S293" s="764">
        <f>+'WP-10 - Disposal'!$P$46</f>
        <v>0.86738983940594916</v>
      </c>
      <c r="T293" s="753">
        <f t="shared" si="232"/>
        <v>442.3180138350117</v>
      </c>
      <c r="U293" s="753">
        <f t="shared" si="227"/>
        <v>1232.3584523809548</v>
      </c>
      <c r="V293" s="753">
        <f t="shared" si="233"/>
        <v>1068.9352001012803</v>
      </c>
      <c r="W293" s="764">
        <v>1</v>
      </c>
      <c r="X293" s="753">
        <f t="shared" si="234"/>
        <v>1068.9352001012803</v>
      </c>
      <c r="Y293" s="753">
        <f t="shared" si="235"/>
        <v>1511.253213936292</v>
      </c>
      <c r="Z293" s="753">
        <f t="shared" si="228"/>
        <v>1584.9728829087903</v>
      </c>
      <c r="AA293" s="753">
        <f t="shared" si="236"/>
        <v>119.58333333333333</v>
      </c>
      <c r="AB293" s="753">
        <f t="shared" si="237"/>
        <v>123</v>
      </c>
      <c r="AC293" s="753">
        <f t="shared" si="229"/>
        <v>126.58333333333333</v>
      </c>
      <c r="AD293" s="753">
        <f t="shared" si="238"/>
        <v>122</v>
      </c>
      <c r="AE293" s="753">
        <f t="shared" si="239"/>
        <v>-8.3333333333333329E-2</v>
      </c>
      <c r="AF293" s="753">
        <f t="shared" si="230"/>
        <v>694.52291007242366</v>
      </c>
      <c r="AG293" s="753"/>
      <c r="AH293" s="753"/>
      <c r="AI293" s="753"/>
    </row>
    <row r="294" spans="2:35">
      <c r="B294" s="41" t="s">
        <v>717</v>
      </c>
      <c r="C294" s="41">
        <v>2019</v>
      </c>
      <c r="D294" s="41">
        <v>119</v>
      </c>
      <c r="E294" s="41">
        <v>11</v>
      </c>
      <c r="F294" s="763">
        <v>0</v>
      </c>
      <c r="G294" s="756" t="s">
        <v>153</v>
      </c>
      <c r="H294" s="41">
        <v>7</v>
      </c>
      <c r="I294" s="41">
        <f t="shared" si="224"/>
        <v>126</v>
      </c>
      <c r="L294" s="753">
        <v>28025.54</v>
      </c>
      <c r="M294" s="753">
        <v>0</v>
      </c>
      <c r="N294" s="753">
        <f t="shared" si="240"/>
        <v>28025.54</v>
      </c>
      <c r="O294" s="753">
        <f t="shared" si="241"/>
        <v>333.63738095238097</v>
      </c>
      <c r="P294" s="753">
        <f t="shared" si="225"/>
        <v>4003.6485714285718</v>
      </c>
      <c r="Q294" s="753">
        <f t="shared" si="226"/>
        <v>0</v>
      </c>
      <c r="R294" s="753">
        <f t="shared" si="231"/>
        <v>4003.6485714285718</v>
      </c>
      <c r="S294" s="764">
        <f>+'WP-10 - Disposal'!$P$46</f>
        <v>0.86738983940594916</v>
      </c>
      <c r="T294" s="753">
        <f t="shared" si="232"/>
        <v>3472.7240914092868</v>
      </c>
      <c r="U294" s="753">
        <f t="shared" si="227"/>
        <v>8674.5719047619241</v>
      </c>
      <c r="V294" s="753">
        <f t="shared" si="233"/>
        <v>7524.2355313868038</v>
      </c>
      <c r="W294" s="764">
        <v>1</v>
      </c>
      <c r="X294" s="753">
        <f t="shared" si="234"/>
        <v>7524.2355313868038</v>
      </c>
      <c r="Y294" s="753">
        <f t="shared" si="235"/>
        <v>10996.95962279609</v>
      </c>
      <c r="Z294" s="753">
        <f t="shared" si="228"/>
        <v>13312.109017068917</v>
      </c>
      <c r="AA294" s="753">
        <f t="shared" si="236"/>
        <v>119.83333333333333</v>
      </c>
      <c r="AB294" s="753">
        <f t="shared" si="237"/>
        <v>123</v>
      </c>
      <c r="AC294" s="753">
        <f t="shared" si="229"/>
        <v>126.83333333333333</v>
      </c>
      <c r="AD294" s="753">
        <f t="shared" si="238"/>
        <v>122</v>
      </c>
      <c r="AE294" s="753">
        <f t="shared" si="239"/>
        <v>-8.3333333333333329E-2</v>
      </c>
      <c r="AF294" s="753">
        <f t="shared" si="230"/>
        <v>5452.8334058396395</v>
      </c>
      <c r="AG294" s="753"/>
      <c r="AH294" s="753"/>
      <c r="AI294" s="753"/>
    </row>
    <row r="295" spans="2:35">
      <c r="B295" s="41" t="s">
        <v>718</v>
      </c>
      <c r="C295" s="41">
        <v>2020</v>
      </c>
      <c r="D295" s="41">
        <v>120</v>
      </c>
      <c r="E295" s="41">
        <v>12</v>
      </c>
      <c r="F295" s="763">
        <v>0</v>
      </c>
      <c r="G295" s="756" t="s">
        <v>153</v>
      </c>
      <c r="H295" s="41">
        <v>7</v>
      </c>
      <c r="I295" s="41">
        <f t="shared" si="224"/>
        <v>127</v>
      </c>
      <c r="L295" s="753">
        <v>32467.91</v>
      </c>
      <c r="M295" s="753">
        <v>0</v>
      </c>
      <c r="N295" s="753">
        <f t="shared" si="240"/>
        <v>32467.91</v>
      </c>
      <c r="O295" s="753">
        <f t="shared" si="241"/>
        <v>386.52273809523808</v>
      </c>
      <c r="P295" s="753">
        <f t="shared" si="225"/>
        <v>4638.272857142857</v>
      </c>
      <c r="Q295" s="753">
        <f t="shared" si="226"/>
        <v>0</v>
      </c>
      <c r="R295" s="753">
        <f t="shared" si="231"/>
        <v>4638.272857142857</v>
      </c>
      <c r="S295" s="764">
        <f>+'WP-10 - Disposal'!$P$46</f>
        <v>0.86738983940594916</v>
      </c>
      <c r="T295" s="753">
        <f t="shared" si="232"/>
        <v>4023.1907486781156</v>
      </c>
      <c r="U295" s="753">
        <f t="shared" si="227"/>
        <v>5024.7955952380735</v>
      </c>
      <c r="V295" s="753">
        <f t="shared" si="233"/>
        <v>4358.4566444012735</v>
      </c>
      <c r="W295" s="764">
        <v>1</v>
      </c>
      <c r="X295" s="753">
        <f t="shared" si="234"/>
        <v>4358.4566444012735</v>
      </c>
      <c r="Y295" s="753">
        <f t="shared" si="235"/>
        <v>8381.6473930793891</v>
      </c>
      <c r="Z295" s="753">
        <f t="shared" si="228"/>
        <v>19780.687847667425</v>
      </c>
      <c r="AA295" s="753">
        <f t="shared" si="236"/>
        <v>120.91666666666667</v>
      </c>
      <c r="AB295" s="753">
        <f t="shared" si="237"/>
        <v>123</v>
      </c>
      <c r="AC295" s="753">
        <f t="shared" si="229"/>
        <v>127.91666666666667</v>
      </c>
      <c r="AD295" s="753">
        <f t="shared" si="238"/>
        <v>122</v>
      </c>
      <c r="AE295" s="753">
        <f t="shared" si="239"/>
        <v>-8.3333333333333329E-2</v>
      </c>
      <c r="AF295" s="753">
        <f t="shared" si="230"/>
        <v>6317.1701335922444</v>
      </c>
      <c r="AG295" s="753"/>
      <c r="AH295" s="753"/>
      <c r="AI295" s="753"/>
    </row>
    <row r="296" spans="2:35">
      <c r="B296" s="41" t="s">
        <v>719</v>
      </c>
      <c r="C296" s="41">
        <v>2021</v>
      </c>
      <c r="D296" s="41">
        <v>121</v>
      </c>
      <c r="E296" s="41">
        <v>7</v>
      </c>
      <c r="F296" s="763">
        <v>0</v>
      </c>
      <c r="G296" s="756" t="s">
        <v>153</v>
      </c>
      <c r="H296" s="41">
        <v>7</v>
      </c>
      <c r="I296" s="41">
        <f t="shared" si="224"/>
        <v>128</v>
      </c>
      <c r="L296" s="753">
        <v>19939.919999999998</v>
      </c>
      <c r="M296" s="753">
        <v>0</v>
      </c>
      <c r="N296" s="753">
        <f t="shared" si="240"/>
        <v>19939.919999999998</v>
      </c>
      <c r="O296" s="753">
        <f t="shared" si="241"/>
        <v>237.38</v>
      </c>
      <c r="P296" s="753">
        <f t="shared" si="225"/>
        <v>2848.56</v>
      </c>
      <c r="Q296" s="753">
        <f t="shared" si="226"/>
        <v>0</v>
      </c>
      <c r="R296" s="753">
        <f t="shared" si="231"/>
        <v>2848.56</v>
      </c>
      <c r="S296" s="764">
        <f>+'WP-10 - Disposal'!$P$46</f>
        <v>0.86738983940594916</v>
      </c>
      <c r="T296" s="753">
        <f t="shared" si="232"/>
        <v>2470.8120009382105</v>
      </c>
      <c r="U296" s="753">
        <f t="shared" si="227"/>
        <v>1424.28</v>
      </c>
      <c r="V296" s="753">
        <f t="shared" si="233"/>
        <v>1235.4060004691053</v>
      </c>
      <c r="W296" s="764">
        <v>1</v>
      </c>
      <c r="X296" s="753">
        <f t="shared" si="234"/>
        <v>1235.4060004691053</v>
      </c>
      <c r="Y296" s="753">
        <f t="shared" si="235"/>
        <v>3706.2180014073156</v>
      </c>
      <c r="Z296" s="753">
        <f t="shared" si="228"/>
        <v>13589.466005160157</v>
      </c>
      <c r="AA296" s="753">
        <f t="shared" si="236"/>
        <v>121.5</v>
      </c>
      <c r="AB296" s="753">
        <f t="shared" si="237"/>
        <v>123</v>
      </c>
      <c r="AC296" s="753">
        <f t="shared" si="229"/>
        <v>128.5</v>
      </c>
      <c r="AD296" s="753">
        <f t="shared" si="238"/>
        <v>122</v>
      </c>
      <c r="AE296" s="753">
        <f t="shared" si="239"/>
        <v>-8.3333333333333329E-2</v>
      </c>
      <c r="AF296" s="753">
        <f t="shared" si="230"/>
        <v>3879.6419939016305</v>
      </c>
      <c r="AG296" s="753"/>
      <c r="AH296" s="753"/>
      <c r="AI296" s="753"/>
    </row>
    <row r="297" spans="2:35">
      <c r="B297" s="41" t="s">
        <v>720</v>
      </c>
      <c r="C297" s="41">
        <v>2021</v>
      </c>
      <c r="D297" s="41">
        <v>121</v>
      </c>
      <c r="E297" s="41">
        <v>10</v>
      </c>
      <c r="F297" s="763">
        <v>0</v>
      </c>
      <c r="G297" s="756" t="s">
        <v>153</v>
      </c>
      <c r="H297" s="41">
        <v>7</v>
      </c>
      <c r="I297" s="41">
        <f t="shared" si="224"/>
        <v>128</v>
      </c>
      <c r="L297" s="753">
        <v>15307.11</v>
      </c>
      <c r="M297" s="753">
        <v>0</v>
      </c>
      <c r="N297" s="753">
        <f t="shared" si="240"/>
        <v>15307.11</v>
      </c>
      <c r="O297" s="753">
        <f t="shared" si="241"/>
        <v>182.22749999999999</v>
      </c>
      <c r="P297" s="753">
        <f t="shared" si="225"/>
        <v>2186.73</v>
      </c>
      <c r="Q297" s="753">
        <f t="shared" si="226"/>
        <v>0</v>
      </c>
      <c r="R297" s="753">
        <f t="shared" si="231"/>
        <v>2186.73</v>
      </c>
      <c r="S297" s="764">
        <f>+'WP-10 - Disposal'!$P$46</f>
        <v>0.86738983940594916</v>
      </c>
      <c r="T297" s="753">
        <f t="shared" si="232"/>
        <v>1896.7473835241713</v>
      </c>
      <c r="U297" s="753">
        <f t="shared" si="227"/>
        <v>546.6825</v>
      </c>
      <c r="V297" s="753">
        <f t="shared" si="233"/>
        <v>474.18684588104281</v>
      </c>
      <c r="W297" s="764">
        <v>1</v>
      </c>
      <c r="X297" s="753">
        <f t="shared" si="234"/>
        <v>474.18684588104281</v>
      </c>
      <c r="Y297" s="753">
        <f t="shared" si="235"/>
        <v>2370.934229405214</v>
      </c>
      <c r="Z297" s="753">
        <f t="shared" si="228"/>
        <v>10906.297455263986</v>
      </c>
      <c r="AA297" s="753">
        <f t="shared" si="236"/>
        <v>121.75</v>
      </c>
      <c r="AB297" s="753">
        <f t="shared" si="237"/>
        <v>123</v>
      </c>
      <c r="AC297" s="753">
        <f t="shared" si="229"/>
        <v>128.75</v>
      </c>
      <c r="AD297" s="753">
        <f t="shared" si="238"/>
        <v>122</v>
      </c>
      <c r="AE297" s="753">
        <f t="shared" si="239"/>
        <v>-8.3333333333333329E-2</v>
      </c>
      <c r="AF297" s="753">
        <f t="shared" si="230"/>
        <v>2978.2520070928858</v>
      </c>
      <c r="AG297" s="753"/>
      <c r="AH297" s="753"/>
      <c r="AI297" s="753"/>
    </row>
    <row r="298" spans="2:35">
      <c r="B298" s="41" t="s">
        <v>721</v>
      </c>
      <c r="C298" s="41">
        <v>2022</v>
      </c>
      <c r="D298" s="41">
        <v>122</v>
      </c>
      <c r="E298" s="41">
        <v>1</v>
      </c>
      <c r="F298" s="763">
        <v>0</v>
      </c>
      <c r="G298" s="756" t="s">
        <v>153</v>
      </c>
      <c r="H298" s="41">
        <v>7</v>
      </c>
      <c r="I298" s="41">
        <f t="shared" si="224"/>
        <v>129</v>
      </c>
      <c r="L298" s="753">
        <v>23340.959999999999</v>
      </c>
      <c r="M298" s="753">
        <v>0</v>
      </c>
      <c r="N298" s="753">
        <f t="shared" si="240"/>
        <v>23340.959999999999</v>
      </c>
      <c r="O298" s="753">
        <f t="shared" si="241"/>
        <v>277.86857142857144</v>
      </c>
      <c r="P298" s="753">
        <f t="shared" si="225"/>
        <v>3334.4228571428575</v>
      </c>
      <c r="Q298" s="753">
        <f t="shared" si="226"/>
        <v>0</v>
      </c>
      <c r="R298" s="753">
        <f t="shared" si="231"/>
        <v>3334.4228571428575</v>
      </c>
      <c r="S298" s="764">
        <f>+'WP-10 - Disposal'!$P$46</f>
        <v>0.86738983940594916</v>
      </c>
      <c r="T298" s="753">
        <f t="shared" si="232"/>
        <v>2892.2445065686693</v>
      </c>
      <c r="U298" s="753">
        <f t="shared" si="227"/>
        <v>0</v>
      </c>
      <c r="V298" s="753">
        <f t="shared" si="233"/>
        <v>0</v>
      </c>
      <c r="W298" s="764">
        <v>1</v>
      </c>
      <c r="X298" s="753">
        <f>V298*W298</f>
        <v>0</v>
      </c>
      <c r="Y298" s="753">
        <f>IF(M298&gt;0,0,X298+T298*W298)*W298</f>
        <v>2892.2445065686693</v>
      </c>
      <c r="Z298" s="753">
        <f t="shared" si="228"/>
        <v>17353.467039412011</v>
      </c>
      <c r="AA298" s="753">
        <f t="shared" si="236"/>
        <v>122</v>
      </c>
      <c r="AB298" s="753">
        <f t="shared" si="237"/>
        <v>123</v>
      </c>
      <c r="AC298" s="753">
        <f t="shared" si="229"/>
        <v>129</v>
      </c>
      <c r="AD298" s="753">
        <f t="shared" si="238"/>
        <v>122</v>
      </c>
      <c r="AE298" s="753">
        <f t="shared" si="239"/>
        <v>-8.3333333333333329E-2</v>
      </c>
      <c r="AF298" s="753">
        <f t="shared" si="230"/>
        <v>4541.370707303653</v>
      </c>
      <c r="AG298" s="753"/>
      <c r="AH298" s="753"/>
      <c r="AI298" s="753"/>
    </row>
    <row r="299" spans="2:35">
      <c r="B299" s="41" t="s">
        <v>722</v>
      </c>
      <c r="C299" s="41">
        <v>2022</v>
      </c>
      <c r="D299" s="41">
        <v>122</v>
      </c>
      <c r="E299" s="41">
        <v>5</v>
      </c>
      <c r="F299" s="763">
        <v>0</v>
      </c>
      <c r="G299" s="756" t="s">
        <v>153</v>
      </c>
      <c r="H299" s="41">
        <v>7</v>
      </c>
      <c r="I299" s="41">
        <f t="shared" si="224"/>
        <v>129</v>
      </c>
      <c r="L299" s="753">
        <v>39468</v>
      </c>
      <c r="M299" s="753">
        <v>0</v>
      </c>
      <c r="N299" s="753">
        <f t="shared" si="240"/>
        <v>39468</v>
      </c>
      <c r="O299" s="753">
        <f t="shared" si="241"/>
        <v>469.85714285714289</v>
      </c>
      <c r="P299" s="753">
        <f t="shared" si="225"/>
        <v>3758.8571428571699</v>
      </c>
      <c r="Q299" s="753">
        <f t="shared" si="226"/>
        <v>0</v>
      </c>
      <c r="R299" s="753">
        <f t="shared" si="231"/>
        <v>3758.8571428571699</v>
      </c>
      <c r="S299" s="764">
        <f>+'WP-10 - Disposal'!$P$46</f>
        <v>0.86738983940594916</v>
      </c>
      <c r="T299" s="753">
        <f t="shared" si="232"/>
        <v>3260.3944934927854</v>
      </c>
      <c r="U299" s="753">
        <f t="shared" si="227"/>
        <v>0</v>
      </c>
      <c r="V299" s="753">
        <f t="shared" si="233"/>
        <v>0</v>
      </c>
      <c r="W299" s="764">
        <v>1</v>
      </c>
      <c r="X299" s="753">
        <f t="shared" si="234"/>
        <v>0</v>
      </c>
      <c r="Y299" s="753">
        <f t="shared" si="235"/>
        <v>3260.3944934927854</v>
      </c>
      <c r="Z299" s="753">
        <f t="shared" si="228"/>
        <v>30973.747688181218</v>
      </c>
      <c r="AA299" s="753">
        <f t="shared" si="236"/>
        <v>122.33333333333333</v>
      </c>
      <c r="AB299" s="753">
        <f t="shared" si="237"/>
        <v>123</v>
      </c>
      <c r="AC299" s="753">
        <f t="shared" si="229"/>
        <v>129.33333333333334</v>
      </c>
      <c r="AD299" s="753">
        <f t="shared" si="238"/>
        <v>122</v>
      </c>
      <c r="AE299" s="753">
        <f t="shared" si="239"/>
        <v>-8.3333333333333329E-2</v>
      </c>
      <c r="AF299" s="753">
        <f t="shared" si="230"/>
        <v>6864.055065072389</v>
      </c>
      <c r="AG299" s="753"/>
      <c r="AH299" s="753"/>
      <c r="AI299" s="753"/>
    </row>
    <row r="300" spans="2:35">
      <c r="B300" s="41" t="s">
        <v>723</v>
      </c>
      <c r="C300" s="41">
        <v>2022</v>
      </c>
      <c r="D300" s="41">
        <v>122</v>
      </c>
      <c r="E300" s="41">
        <v>7</v>
      </c>
      <c r="F300" s="763">
        <v>0</v>
      </c>
      <c r="G300" s="756" t="s">
        <v>153</v>
      </c>
      <c r="H300" s="41">
        <v>7</v>
      </c>
      <c r="I300" s="41">
        <f t="shared" si="224"/>
        <v>129</v>
      </c>
      <c r="L300" s="753">
        <v>14334</v>
      </c>
      <c r="M300" s="753">
        <v>0</v>
      </c>
      <c r="N300" s="753">
        <f t="shared" si="240"/>
        <v>14334</v>
      </c>
      <c r="O300" s="753">
        <f t="shared" si="241"/>
        <v>170.64285714285714</v>
      </c>
      <c r="P300" s="753">
        <f t="shared" si="225"/>
        <v>1023.8571428571429</v>
      </c>
      <c r="Q300" s="753">
        <f t="shared" si="226"/>
        <v>0</v>
      </c>
      <c r="R300" s="753">
        <f t="shared" si="231"/>
        <v>1023.8571428571429</v>
      </c>
      <c r="S300" s="764">
        <f>+'WP-10 - Disposal'!$P$46</f>
        <v>0.86738983940594916</v>
      </c>
      <c r="T300" s="753">
        <f t="shared" si="232"/>
        <v>888.0832827174911</v>
      </c>
      <c r="U300" s="753">
        <f t="shared" si="227"/>
        <v>0</v>
      </c>
      <c r="V300" s="753">
        <f t="shared" si="233"/>
        <v>0</v>
      </c>
      <c r="W300" s="764">
        <v>1</v>
      </c>
      <c r="X300" s="753">
        <f t="shared" si="234"/>
        <v>0</v>
      </c>
      <c r="Y300" s="753">
        <f t="shared" si="235"/>
        <v>888.0832827174911</v>
      </c>
      <c r="Z300" s="753">
        <f t="shared" si="228"/>
        <v>11545.082675327385</v>
      </c>
      <c r="AA300" s="753">
        <f t="shared" si="236"/>
        <v>122.5</v>
      </c>
      <c r="AB300" s="753">
        <f t="shared" si="237"/>
        <v>123</v>
      </c>
      <c r="AC300" s="753">
        <f t="shared" si="229"/>
        <v>129.5</v>
      </c>
      <c r="AD300" s="753">
        <f t="shared" si="238"/>
        <v>122</v>
      </c>
      <c r="AE300" s="753">
        <f t="shared" si="239"/>
        <v>-8.3333333333333329E-2</v>
      </c>
      <c r="AF300" s="753">
        <f t="shared" si="230"/>
        <v>2344.8756833138686</v>
      </c>
      <c r="AG300" s="753"/>
      <c r="AH300" s="753"/>
      <c r="AI300" s="753"/>
    </row>
    <row r="301" spans="2:35">
      <c r="B301" s="41" t="s">
        <v>724</v>
      </c>
      <c r="C301" s="41">
        <v>2022</v>
      </c>
      <c r="D301" s="41">
        <v>122</v>
      </c>
      <c r="E301" s="41">
        <v>10</v>
      </c>
      <c r="F301" s="763">
        <v>0</v>
      </c>
      <c r="G301" s="756" t="s">
        <v>153</v>
      </c>
      <c r="H301" s="41">
        <v>7</v>
      </c>
      <c r="I301" s="41">
        <f t="shared" si="224"/>
        <v>129</v>
      </c>
      <c r="L301" s="753">
        <v>19109</v>
      </c>
      <c r="M301" s="753">
        <v>0</v>
      </c>
      <c r="N301" s="753">
        <f t="shared" si="240"/>
        <v>19109</v>
      </c>
      <c r="O301" s="753">
        <f t="shared" si="241"/>
        <v>227.48809523809521</v>
      </c>
      <c r="P301" s="753">
        <f t="shared" si="225"/>
        <v>682.46428571428567</v>
      </c>
      <c r="Q301" s="753">
        <f t="shared" si="226"/>
        <v>0</v>
      </c>
      <c r="R301" s="753">
        <f t="shared" si="231"/>
        <v>682.46428571428567</v>
      </c>
      <c r="S301" s="764">
        <f>+'WP-10 - Disposal'!$P$46</f>
        <v>0.86738983940594916</v>
      </c>
      <c r="T301" s="753">
        <f t="shared" si="232"/>
        <v>591.96258718601007</v>
      </c>
      <c r="U301" s="753">
        <f t="shared" si="227"/>
        <v>0</v>
      </c>
      <c r="V301" s="753">
        <f t="shared" si="233"/>
        <v>0</v>
      </c>
      <c r="W301" s="764">
        <v>1</v>
      </c>
      <c r="X301" s="753">
        <f t="shared" si="234"/>
        <v>0</v>
      </c>
      <c r="Y301" s="753">
        <f t="shared" si="235"/>
        <v>591.96258718601007</v>
      </c>
      <c r="Z301" s="753">
        <f t="shared" si="228"/>
        <v>15982.989854022273</v>
      </c>
      <c r="AA301" s="753">
        <f t="shared" si="236"/>
        <v>122.75</v>
      </c>
      <c r="AB301" s="753">
        <f t="shared" si="237"/>
        <v>123</v>
      </c>
      <c r="AC301" s="753">
        <f t="shared" si="229"/>
        <v>129.75</v>
      </c>
      <c r="AD301" s="753">
        <f t="shared" si="238"/>
        <v>122</v>
      </c>
      <c r="AE301" s="753">
        <f t="shared" si="239"/>
        <v>-8.3333333333333329E-2</v>
      </c>
      <c r="AF301" s="753">
        <f t="shared" si="230"/>
        <v>2830.0288523847212</v>
      </c>
      <c r="AG301" s="753"/>
      <c r="AH301" s="753"/>
      <c r="AI301" s="753"/>
    </row>
    <row r="302" spans="2:35" s="757" customFormat="1">
      <c r="B302" s="757" t="s">
        <v>963</v>
      </c>
      <c r="C302" s="757">
        <v>2023</v>
      </c>
      <c r="D302" s="757">
        <v>123</v>
      </c>
      <c r="E302" s="757">
        <v>7</v>
      </c>
      <c r="F302" s="769">
        <v>0</v>
      </c>
      <c r="G302" s="770" t="s">
        <v>153</v>
      </c>
      <c r="H302" s="757">
        <v>7</v>
      </c>
      <c r="I302" s="757">
        <f t="shared" si="224"/>
        <v>130</v>
      </c>
      <c r="L302" s="777">
        <f>23544+(4332.1/2)</f>
        <v>25710.05</v>
      </c>
      <c r="M302" s="755"/>
      <c r="N302" s="777">
        <f t="shared" ref="N302" si="242">L302-(+L302*F302)</f>
        <v>25710.05</v>
      </c>
      <c r="O302" s="777">
        <f t="shared" ref="O302" si="243">N302/H302/12</f>
        <v>306.07202380952378</v>
      </c>
      <c r="P302" s="777"/>
      <c r="Q302" s="755"/>
      <c r="R302" s="777"/>
      <c r="S302" s="771"/>
      <c r="T302" s="777"/>
      <c r="U302" s="777"/>
      <c r="V302" s="777"/>
      <c r="W302" s="771"/>
      <c r="X302" s="777"/>
      <c r="Y302" s="777"/>
      <c r="Z302" s="766">
        <f>IF(M302&gt;0,(L302-X302)/2,IF(AA302&gt;=AD302,(((L302*S302)*W302)-Y302)/2,(+(((L302*S302)*W302)-Y302))))</f>
        <v>0</v>
      </c>
      <c r="AA302" s="755">
        <f t="shared" si="236"/>
        <v>123.5</v>
      </c>
      <c r="AB302" s="755"/>
      <c r="AC302" s="755">
        <f t="shared" si="229"/>
        <v>130.5</v>
      </c>
      <c r="AD302" s="755"/>
      <c r="AE302" s="755"/>
      <c r="AF302" s="777"/>
      <c r="AG302" s="755"/>
      <c r="AH302" s="755"/>
      <c r="AI302" s="755"/>
    </row>
    <row r="303" spans="2:35" ht="15.95" customHeight="1">
      <c r="B303" s="221" t="s">
        <v>389</v>
      </c>
      <c r="C303" s="55"/>
      <c r="L303" s="754">
        <f>SUM(L254:L301)</f>
        <v>1063841.4300000002</v>
      </c>
      <c r="M303" s="753"/>
      <c r="N303" s="754">
        <f>SUM(N254:N301)</f>
        <v>1063841.4300000002</v>
      </c>
      <c r="O303" s="754">
        <f>SUM(O254:O301)</f>
        <v>9847.9950714285751</v>
      </c>
      <c r="P303" s="754">
        <f>SUM(P254:P301)</f>
        <v>65551.851142857166</v>
      </c>
      <c r="Q303" s="754">
        <f>SUM(Q254:Q301)</f>
        <v>0</v>
      </c>
      <c r="R303" s="754">
        <f>SUM(R254:R301)</f>
        <v>65551.851142857166</v>
      </c>
      <c r="S303" s="765"/>
      <c r="T303" s="754">
        <f>SUM(T254:T301)</f>
        <v>56859.009635565562</v>
      </c>
      <c r="U303" s="754">
        <f>SUM(U254:U301)</f>
        <v>719049.18265476206</v>
      </c>
      <c r="V303" s="754">
        <f>SUM(V254:V301)</f>
        <v>623695.95506789279</v>
      </c>
      <c r="W303" s="765"/>
      <c r="X303" s="754">
        <f>SUM(X254:X301)</f>
        <v>623695.95506789279</v>
      </c>
      <c r="Y303" s="754">
        <f>SUM(Y254:Y301)</f>
        <v>680554.96470345871</v>
      </c>
      <c r="Z303" s="754">
        <f>SUM(Z254:Z301)</f>
        <v>242210.28241763683</v>
      </c>
      <c r="AA303" s="753"/>
      <c r="AB303" s="753"/>
      <c r="AC303" s="753"/>
      <c r="AD303" s="753"/>
      <c r="AE303" s="753"/>
      <c r="AF303" s="753">
        <f>SUM(AF254:AF301)</f>
        <v>169505.68769668741</v>
      </c>
      <c r="AG303" s="753"/>
      <c r="AH303" s="753"/>
      <c r="AI303" s="753"/>
    </row>
    <row r="304" spans="2:35" ht="15.95" customHeight="1">
      <c r="B304" s="221"/>
      <c r="C304" s="55"/>
      <c r="L304" s="754"/>
      <c r="M304" s="753"/>
      <c r="N304" s="754"/>
      <c r="O304" s="754"/>
      <c r="P304" s="754"/>
      <c r="Q304" s="753"/>
      <c r="R304" s="754"/>
      <c r="S304" s="765"/>
      <c r="T304" s="754"/>
      <c r="U304" s="754">
        <f>+U303+U251</f>
        <v>1109389.7971388893</v>
      </c>
      <c r="V304" s="754"/>
      <c r="W304" s="765"/>
      <c r="X304" s="754"/>
      <c r="Y304" s="754"/>
      <c r="Z304" s="754"/>
      <c r="AA304" s="753"/>
      <c r="AB304" s="753"/>
      <c r="AC304" s="753"/>
      <c r="AD304" s="753"/>
      <c r="AE304" s="753"/>
      <c r="AF304" s="753"/>
      <c r="AG304" s="753"/>
      <c r="AH304" s="753"/>
      <c r="AI304" s="753"/>
    </row>
    <row r="306" spans="2:35">
      <c r="L306" s="753"/>
      <c r="M306" s="753"/>
      <c r="N306" s="753"/>
      <c r="O306" s="753"/>
      <c r="P306" s="753"/>
      <c r="Q306" s="753"/>
      <c r="R306" s="753"/>
      <c r="S306" s="753"/>
      <c r="T306" s="753"/>
      <c r="U306" s="753"/>
      <c r="V306" s="753"/>
      <c r="W306" s="753"/>
      <c r="X306" s="753"/>
      <c r="Y306" s="753"/>
      <c r="Z306" s="753"/>
      <c r="AA306" s="753"/>
      <c r="AB306" s="753"/>
      <c r="AC306" s="753"/>
      <c r="AD306" s="753"/>
      <c r="AE306" s="753"/>
      <c r="AF306" s="753"/>
      <c r="AG306" s="753"/>
      <c r="AH306" s="753"/>
      <c r="AI306" s="753"/>
    </row>
    <row r="307" spans="2:35" ht="16.5" thickBot="1">
      <c r="B307" s="221" t="s">
        <v>766</v>
      </c>
      <c r="L307" s="222">
        <f>+L32+L45+L131+L153+L166+L251+L303</f>
        <v>6469263.3300000001</v>
      </c>
      <c r="M307" s="753"/>
      <c r="N307" s="222">
        <f>+N32+N45+N131+N153+N166+N251+N303</f>
        <v>6341358.4900000487</v>
      </c>
      <c r="O307" s="222">
        <f>+O32+O45+O131+O153+O166+O251+O303</f>
        <v>72640.00616653898</v>
      </c>
      <c r="P307" s="222">
        <f>+P32+P45+P131+P153+P166+P251+P303</f>
        <v>425808.50368309428</v>
      </c>
      <c r="Q307" s="222">
        <f>+Q32+Q45+Q131+Q153+Q166+Q251+Q303</f>
        <v>0</v>
      </c>
      <c r="R307" s="222">
        <f>+R32+R45+R131+R153+R166+R251+R303</f>
        <v>425808.50368309428</v>
      </c>
      <c r="S307" s="753"/>
      <c r="T307" s="222">
        <f>+T32+T45+T131+T153+T166+T251+T303</f>
        <v>361416.35805115744</v>
      </c>
      <c r="U307" s="222">
        <f>+U32+U45+U131+U153+U166+U251+U303</f>
        <v>4224435.1240693349</v>
      </c>
      <c r="V307" s="222">
        <f>+V32+V45+V131+V153+V166+V251+V303</f>
        <v>3614723.4269107152</v>
      </c>
      <c r="W307" s="753"/>
      <c r="X307" s="222">
        <f>+X32+X45+X131+X153+X166+X251+X303</f>
        <v>3614723.4269107152</v>
      </c>
      <c r="Y307" s="222">
        <f>+Y32+Y45+Y131+Y153+Y166+Y251+Y303</f>
        <v>3976139.7849618723</v>
      </c>
      <c r="Z307" s="222">
        <f>+Z32+Z45+Z131+Z153+Z166+Z251+Z303</f>
        <v>1557888.7105130614</v>
      </c>
      <c r="AA307" s="753"/>
      <c r="AB307" s="753"/>
      <c r="AC307" s="753"/>
      <c r="AD307" s="753"/>
      <c r="AE307" s="753"/>
      <c r="AF307" s="753"/>
      <c r="AG307" s="753"/>
      <c r="AH307" s="753"/>
      <c r="AI307" s="753"/>
    </row>
    <row r="308" spans="2:35" ht="16.5" thickTop="1">
      <c r="L308" s="753"/>
      <c r="M308" s="753"/>
      <c r="N308" s="753"/>
      <c r="O308" s="753"/>
      <c r="P308" s="753"/>
      <c r="Q308" s="753"/>
      <c r="R308" s="753"/>
      <c r="T308" s="753"/>
      <c r="U308" s="753"/>
      <c r="V308" s="753"/>
      <c r="X308" s="753"/>
      <c r="Y308" s="753"/>
      <c r="Z308" s="753"/>
      <c r="AA308" s="753"/>
      <c r="AB308" s="753"/>
      <c r="AC308" s="753"/>
      <c r="AD308" s="753"/>
      <c r="AE308" s="753"/>
      <c r="AF308" s="753"/>
      <c r="AG308" s="753"/>
      <c r="AH308" s="753"/>
      <c r="AI308" s="753"/>
    </row>
    <row r="309" spans="2:35">
      <c r="B309" s="778" t="s">
        <v>966</v>
      </c>
      <c r="C309" s="778"/>
      <c r="K309" s="779" t="s">
        <v>1191</v>
      </c>
      <c r="L309" s="753">
        <v>7323187.0300000003</v>
      </c>
      <c r="M309" s="753"/>
      <c r="N309" s="753">
        <v>-559884.73</v>
      </c>
      <c r="Q309" s="753"/>
      <c r="R309" s="753">
        <v>477634.19</v>
      </c>
      <c r="S309" s="765"/>
      <c r="T309" s="753"/>
      <c r="U309" s="753">
        <v>4374668.75</v>
      </c>
      <c r="V309" s="753">
        <f>+U309+R309</f>
        <v>4852302.9400000004</v>
      </c>
      <c r="W309" s="765"/>
      <c r="X309" s="753"/>
      <c r="Y309" s="753"/>
      <c r="Z309" s="753"/>
      <c r="AA309" s="753"/>
      <c r="AB309" s="753"/>
      <c r="AC309" s="753"/>
      <c r="AD309" s="753"/>
      <c r="AE309" s="753"/>
      <c r="AF309" s="753"/>
      <c r="AG309" s="753"/>
      <c r="AH309" s="753"/>
      <c r="AI309" s="753"/>
    </row>
    <row r="310" spans="2:35">
      <c r="B310" s="779" t="s">
        <v>1209</v>
      </c>
      <c r="C310" s="753">
        <f>+O123+O124+O125+O126+O127+O128+O129</f>
        <v>12578.800142857144</v>
      </c>
      <c r="L310" s="753"/>
      <c r="M310" s="753"/>
      <c r="N310" s="753">
        <f>+L309+N309</f>
        <v>6763302.3000000007</v>
      </c>
      <c r="Q310" s="753"/>
      <c r="R310" s="753"/>
      <c r="T310" s="753"/>
      <c r="U310" s="753"/>
      <c r="V310" s="753"/>
      <c r="X310" s="753"/>
      <c r="Y310" s="753"/>
      <c r="Z310" s="753"/>
      <c r="AA310" s="753"/>
      <c r="AB310" s="753"/>
      <c r="AC310" s="753"/>
      <c r="AD310" s="753"/>
      <c r="AE310" s="753"/>
      <c r="AF310" s="753"/>
      <c r="AG310" s="753"/>
      <c r="AH310" s="753"/>
      <c r="AI310" s="753"/>
    </row>
    <row r="311" spans="2:35">
      <c r="B311" s="779" t="s">
        <v>967</v>
      </c>
      <c r="C311" s="307">
        <v>12</v>
      </c>
      <c r="T311" s="753"/>
      <c r="U311" s="753"/>
      <c r="V311" s="753"/>
      <c r="X311" s="753"/>
      <c r="Y311" s="753"/>
      <c r="Z311" s="753"/>
      <c r="AA311" s="753"/>
      <c r="AB311" s="753"/>
      <c r="AC311" s="753"/>
      <c r="AD311" s="753"/>
      <c r="AE311" s="753"/>
      <c r="AF311" s="753"/>
      <c r="AG311" s="753"/>
      <c r="AH311" s="753"/>
      <c r="AI311" s="753"/>
    </row>
    <row r="312" spans="2:35">
      <c r="B312" s="779"/>
      <c r="C312" s="267">
        <f>+C310*C311</f>
        <v>150945.60171428573</v>
      </c>
      <c r="L312" s="765"/>
      <c r="T312" s="753"/>
      <c r="U312" s="753"/>
      <c r="V312" s="753"/>
      <c r="X312" s="753">
        <f>+L307-P307-U307</f>
        <v>1819019.7022475712</v>
      </c>
      <c r="Y312" s="753"/>
      <c r="Z312" s="753"/>
      <c r="AA312" s="753"/>
      <c r="AB312" s="753"/>
      <c r="AC312" s="753"/>
      <c r="AD312" s="753"/>
      <c r="AE312" s="753"/>
      <c r="AF312" s="753"/>
      <c r="AG312" s="753"/>
      <c r="AH312" s="753"/>
      <c r="AI312" s="753"/>
    </row>
    <row r="313" spans="2:35">
      <c r="B313" s="779" t="s">
        <v>1083</v>
      </c>
      <c r="C313" s="780">
        <f>+'WP-11 - Non-Regulated'!N57</f>
        <v>0.87226151155039422</v>
      </c>
      <c r="K313" s="779" t="s">
        <v>1192</v>
      </c>
      <c r="L313" s="765">
        <f>+L309-L343</f>
        <v>6469263.3300000001</v>
      </c>
      <c r="N313" s="754">
        <f>+N309+L343-N343</f>
        <v>-442513.73</v>
      </c>
      <c r="R313" s="754"/>
      <c r="T313" s="753"/>
      <c r="U313" s="753"/>
      <c r="V313" s="753"/>
      <c r="X313" s="764">
        <f>+S301</f>
        <v>0.86738983940594916</v>
      </c>
      <c r="Y313" s="753"/>
      <c r="Z313" s="753"/>
      <c r="AA313" s="753"/>
      <c r="AB313" s="753"/>
      <c r="AC313" s="753"/>
      <c r="AD313" s="753"/>
      <c r="AE313" s="753"/>
      <c r="AF313" s="753"/>
      <c r="AG313" s="753"/>
      <c r="AH313" s="753"/>
      <c r="AI313" s="753"/>
    </row>
    <row r="314" spans="2:35">
      <c r="B314" s="779" t="s">
        <v>1195</v>
      </c>
      <c r="C314" s="267">
        <f>+C312*C313</f>
        <v>131664.03871318666</v>
      </c>
      <c r="L314" s="765"/>
      <c r="N314" s="754">
        <f>+L313+N313</f>
        <v>6026749.5999999996</v>
      </c>
      <c r="O314" s="753">
        <f>559884.73-N345-L148+N148-L149+N149-L147+N147-L105+N105-L104+N104</f>
        <v>321563.73000004794</v>
      </c>
      <c r="P314" s="753" t="s">
        <v>1277</v>
      </c>
      <c r="T314" s="753"/>
      <c r="V314" s="753"/>
      <c r="X314" s="753">
        <f>+X312*X313</f>
        <v>1577799.2074087781</v>
      </c>
      <c r="Y314" s="753"/>
      <c r="Z314" s="753"/>
      <c r="AA314" s="753"/>
      <c r="AB314" s="753"/>
      <c r="AC314" s="753"/>
      <c r="AD314" s="753"/>
      <c r="AE314" s="753"/>
      <c r="AF314" s="753"/>
      <c r="AG314" s="753"/>
      <c r="AH314" s="753"/>
      <c r="AI314" s="753"/>
    </row>
    <row r="315" spans="2:35">
      <c r="L315" s="765"/>
      <c r="N315" s="754"/>
      <c r="O315" s="766">
        <f>+O314-N316</f>
        <v>6954.8399999989197</v>
      </c>
      <c r="P315" s="753" t="s">
        <v>1276</v>
      </c>
      <c r="T315" s="753"/>
      <c r="U315" s="753"/>
      <c r="V315" s="753"/>
      <c r="X315" s="753"/>
      <c r="Y315" s="753"/>
      <c r="Z315" s="753"/>
      <c r="AA315" s="753"/>
      <c r="AB315" s="753"/>
      <c r="AC315" s="753"/>
      <c r="AD315" s="753"/>
      <c r="AE315" s="753"/>
      <c r="AF315" s="753"/>
      <c r="AG315" s="753"/>
      <c r="AH315" s="753"/>
      <c r="AI315" s="753"/>
    </row>
    <row r="316" spans="2:35" ht="16.5" thickBot="1">
      <c r="B316" s="779" t="s">
        <v>1208</v>
      </c>
      <c r="C316" s="753">
        <f>+O302+O244+O245+O246+O247+O248+O249</f>
        <v>1612.6927380952382</v>
      </c>
      <c r="K316" s="779" t="s">
        <v>204</v>
      </c>
      <c r="L316" s="781">
        <f>+L307-L313</f>
        <v>0</v>
      </c>
      <c r="N316" s="782">
        <f>+N307-N314</f>
        <v>314608.89000004902</v>
      </c>
      <c r="O316" s="782">
        <f>+O314-O315</f>
        <v>314608.89000004902</v>
      </c>
      <c r="R316" s="754"/>
      <c r="T316" s="753"/>
      <c r="U316" s="753"/>
      <c r="V316" s="753"/>
      <c r="X316" s="753"/>
      <c r="Y316" s="753"/>
      <c r="Z316" s="753"/>
      <c r="AA316" s="753"/>
      <c r="AB316" s="753"/>
      <c r="AC316" s="753"/>
      <c r="AD316" s="753"/>
      <c r="AE316" s="753"/>
      <c r="AF316" s="753"/>
      <c r="AG316" s="753"/>
      <c r="AH316" s="753"/>
      <c r="AI316" s="753"/>
    </row>
    <row r="317" spans="2:35" ht="16.5" thickTop="1">
      <c r="B317" s="779" t="s">
        <v>967</v>
      </c>
      <c r="C317" s="307">
        <v>12</v>
      </c>
      <c r="K317" s="779"/>
      <c r="L317" s="765"/>
      <c r="N317" s="754"/>
      <c r="O317" s="754">
        <f>+N316-O316</f>
        <v>0</v>
      </c>
      <c r="R317" s="754"/>
      <c r="T317" s="753"/>
      <c r="U317" s="753"/>
      <c r="V317" s="753"/>
      <c r="X317" s="753"/>
      <c r="Y317" s="753"/>
      <c r="Z317" s="753"/>
      <c r="AA317" s="753"/>
      <c r="AB317" s="753"/>
      <c r="AC317" s="753"/>
      <c r="AD317" s="753"/>
      <c r="AE317" s="753"/>
      <c r="AF317" s="753"/>
      <c r="AG317" s="753"/>
      <c r="AH317" s="753"/>
      <c r="AI317" s="753"/>
    </row>
    <row r="318" spans="2:35">
      <c r="B318" s="779"/>
      <c r="C318" s="267">
        <f>+C316*C317</f>
        <v>19352.312857142857</v>
      </c>
      <c r="K318" s="779"/>
      <c r="L318" s="765"/>
      <c r="N318" s="754"/>
      <c r="R318" s="754"/>
      <c r="T318" s="753"/>
      <c r="U318" s="753"/>
      <c r="V318" s="753"/>
      <c r="X318" s="753"/>
      <c r="Y318" s="753"/>
      <c r="Z318" s="753"/>
      <c r="AA318" s="753"/>
      <c r="AB318" s="753"/>
      <c r="AC318" s="753"/>
      <c r="AD318" s="753"/>
      <c r="AE318" s="753"/>
      <c r="AF318" s="753"/>
      <c r="AG318" s="753"/>
      <c r="AH318" s="753"/>
      <c r="AI318" s="753"/>
    </row>
    <row r="319" spans="2:35">
      <c r="B319" s="779" t="s">
        <v>1083</v>
      </c>
      <c r="C319" s="780">
        <f>+'WP-10 - Disposal'!P46</f>
        <v>0.86738983940594916</v>
      </c>
      <c r="K319" s="779"/>
      <c r="L319" s="765"/>
      <c r="N319" s="754"/>
      <c r="R319" s="754"/>
      <c r="T319" s="753"/>
      <c r="U319" s="753"/>
      <c r="V319" s="753"/>
      <c r="X319" s="753"/>
      <c r="Y319" s="753"/>
      <c r="Z319" s="753"/>
      <c r="AA319" s="753"/>
      <c r="AB319" s="753"/>
      <c r="AC319" s="753"/>
      <c r="AD319" s="753"/>
      <c r="AE319" s="753"/>
      <c r="AF319" s="753"/>
      <c r="AG319" s="753"/>
      <c r="AH319" s="753"/>
      <c r="AI319" s="753"/>
    </row>
    <row r="320" spans="2:35">
      <c r="B320" s="779" t="s">
        <v>1195</v>
      </c>
      <c r="C320" s="267">
        <f>+C318*C319</f>
        <v>16785.999541290828</v>
      </c>
      <c r="K320" s="779"/>
      <c r="L320" s="765"/>
      <c r="N320" s="754"/>
      <c r="R320" s="754"/>
      <c r="T320" s="753"/>
      <c r="U320" s="753"/>
      <c r="V320" s="753"/>
      <c r="X320" s="753"/>
      <c r="Y320" s="753"/>
      <c r="Z320" s="753"/>
      <c r="AA320" s="753"/>
      <c r="AB320" s="753"/>
      <c r="AC320" s="753"/>
      <c r="AD320" s="753"/>
      <c r="AE320" s="753"/>
      <c r="AF320" s="753"/>
      <c r="AG320" s="753"/>
      <c r="AH320" s="753"/>
      <c r="AI320" s="753"/>
    </row>
    <row r="321" spans="2:35">
      <c r="B321" s="779"/>
      <c r="C321" s="267"/>
      <c r="K321" s="779"/>
      <c r="L321" s="765"/>
      <c r="N321" s="754"/>
      <c r="R321" s="754"/>
      <c r="T321" s="753"/>
      <c r="U321" s="753"/>
      <c r="V321" s="753"/>
      <c r="X321" s="753"/>
      <c r="Y321" s="753"/>
      <c r="Z321" s="753"/>
      <c r="AA321" s="753"/>
      <c r="AB321" s="753"/>
      <c r="AC321" s="753"/>
      <c r="AD321" s="753"/>
      <c r="AE321" s="753"/>
      <c r="AF321" s="753"/>
      <c r="AG321" s="753"/>
      <c r="AH321" s="753"/>
      <c r="AI321" s="753"/>
    </row>
    <row r="322" spans="2:35" ht="16.5" thickBot="1">
      <c r="B322" s="779" t="s">
        <v>1210</v>
      </c>
      <c r="C322" s="304">
        <f>+C320+C314</f>
        <v>148450.03825447749</v>
      </c>
      <c r="K322" s="779"/>
      <c r="L322" s="765"/>
      <c r="N322" s="754"/>
      <c r="R322" s="754"/>
      <c r="T322" s="753"/>
      <c r="U322" s="753"/>
      <c r="V322" s="753"/>
      <c r="X322" s="753"/>
      <c r="Y322" s="753"/>
      <c r="Z322" s="753"/>
      <c r="AA322" s="753"/>
      <c r="AB322" s="753"/>
      <c r="AC322" s="753"/>
      <c r="AD322" s="753"/>
      <c r="AE322" s="753"/>
      <c r="AF322" s="753"/>
      <c r="AG322" s="753"/>
      <c r="AH322" s="753"/>
      <c r="AI322" s="753"/>
    </row>
    <row r="323" spans="2:35" ht="16.5" thickTop="1">
      <c r="B323" s="779"/>
      <c r="C323" s="267"/>
      <c r="K323" s="779"/>
      <c r="L323" s="765"/>
      <c r="N323" s="754"/>
      <c r="R323" s="754"/>
      <c r="T323" s="753"/>
      <c r="U323" s="753"/>
      <c r="V323" s="753"/>
      <c r="X323" s="753"/>
      <c r="Y323" s="753"/>
      <c r="Z323" s="753"/>
      <c r="AA323" s="753"/>
      <c r="AB323" s="753"/>
      <c r="AC323" s="753"/>
      <c r="AD323" s="753"/>
      <c r="AE323" s="753"/>
      <c r="AF323" s="753"/>
      <c r="AG323" s="753"/>
      <c r="AH323" s="753"/>
      <c r="AI323" s="753"/>
    </row>
    <row r="324" spans="2:35">
      <c r="B324" s="779"/>
      <c r="C324" s="267"/>
      <c r="K324" s="779"/>
      <c r="L324" s="765"/>
      <c r="N324" s="754"/>
      <c r="R324" s="754"/>
      <c r="T324" s="753"/>
      <c r="U324" s="753"/>
      <c r="V324" s="753"/>
      <c r="X324" s="753"/>
      <c r="Y324" s="753"/>
      <c r="Z324" s="753"/>
      <c r="AA324" s="753"/>
      <c r="AB324" s="753"/>
      <c r="AC324" s="753"/>
      <c r="AD324" s="753"/>
      <c r="AE324" s="753"/>
      <c r="AF324" s="753"/>
      <c r="AG324" s="753"/>
      <c r="AH324" s="753"/>
      <c r="AI324" s="753"/>
    </row>
    <row r="325" spans="2:35">
      <c r="B325" s="779"/>
      <c r="C325" s="411"/>
      <c r="L325" s="765"/>
      <c r="T325" s="753"/>
      <c r="U325" s="753"/>
      <c r="V325" s="753"/>
      <c r="X325" s="753"/>
      <c r="Y325" s="753"/>
      <c r="Z325" s="753"/>
      <c r="AA325" s="753"/>
      <c r="AB325" s="753"/>
      <c r="AC325" s="753"/>
      <c r="AD325" s="753"/>
      <c r="AE325" s="753"/>
      <c r="AF325" s="753"/>
      <c r="AG325" s="753"/>
      <c r="AH325" s="753"/>
      <c r="AI325" s="753"/>
    </row>
    <row r="326" spans="2:35" ht="15.95" customHeight="1">
      <c r="B326" s="758" t="s">
        <v>1193</v>
      </c>
      <c r="C326" s="55"/>
      <c r="L326" s="754"/>
      <c r="M326" s="753"/>
      <c r="N326" s="754"/>
      <c r="O326" s="754"/>
      <c r="P326" s="754"/>
      <c r="Q326" s="753"/>
      <c r="R326" s="754"/>
      <c r="S326" s="765"/>
      <c r="T326" s="754"/>
      <c r="U326" s="754"/>
      <c r="V326" s="754"/>
      <c r="W326" s="765"/>
      <c r="X326" s="754"/>
      <c r="Y326" s="754"/>
      <c r="Z326" s="754"/>
      <c r="AA326" s="753"/>
      <c r="AB326" s="753"/>
      <c r="AC326" s="753"/>
      <c r="AD326" s="753"/>
      <c r="AE326" s="753"/>
      <c r="AF326" s="753"/>
      <c r="AG326" s="753"/>
      <c r="AH326" s="753"/>
      <c r="AI326" s="753"/>
    </row>
    <row r="327" spans="2:35" ht="15.95" customHeight="1">
      <c r="B327" s="41" t="s">
        <v>768</v>
      </c>
      <c r="C327" s="41">
        <v>2012</v>
      </c>
      <c r="D327" s="41">
        <v>112</v>
      </c>
      <c r="E327" s="41">
        <v>4</v>
      </c>
      <c r="F327" s="763">
        <f>29951/L327</f>
        <v>0.33000220361392685</v>
      </c>
      <c r="G327" s="756" t="s">
        <v>153</v>
      </c>
      <c r="H327" s="41">
        <v>5</v>
      </c>
      <c r="I327" s="41">
        <f>D327+H327</f>
        <v>117</v>
      </c>
      <c r="L327" s="753">
        <v>90760</v>
      </c>
      <c r="M327" s="753"/>
      <c r="N327" s="753">
        <f>L327-(+L327*F327)</f>
        <v>60809</v>
      </c>
      <c r="O327" s="753">
        <f>N327/H327/12</f>
        <v>1013.4833333333332</v>
      </c>
      <c r="P327" s="753">
        <f t="shared" ref="P327:P342" si="244">IF(Q327&gt;0,0,IF(OR(AA327&gt;AB327,AC327&lt;AD327),0,IF(AND(AC327&gt;=AD327,AC327&lt;=AB327),O327*((AC327-AD327)*12),IF(AND(AD327&lt;=AA327,AB327&gt;=AA327),((AB327-AA327)*12)*O327,IF(AC327&gt;AB327,12*O327,0)))))</f>
        <v>0</v>
      </c>
      <c r="Q327" s="753">
        <f t="shared" ref="Q327:Q342" si="245">IF(M327=0,0,IF(AND(AE327&gt;=AD327,AE327&lt;=AC327),((AE327-AD327)*12)*O327,0))</f>
        <v>0</v>
      </c>
      <c r="R327" s="753">
        <f t="shared" ref="R327:R342" si="246">IF(Q327&gt;0,Q327,P327)</f>
        <v>0</v>
      </c>
      <c r="S327" s="764">
        <v>1</v>
      </c>
      <c r="T327" s="753">
        <f>S327*SUM(P327:Q327)</f>
        <v>0</v>
      </c>
      <c r="U327" s="753">
        <f t="shared" ref="U327:U342" si="247">IF(AA327&gt;AB327,0,IF(AC327&lt;AD327,N327,IF(AND(AC327&gt;=AD327,AC327&lt;=AB327),(N327-R327),IF(AND(AD327&lt;=AA327,AB327&gt;=AA327),0,IF(AC327&gt;AB327,((AD327-AA327)*12)*O327,0)))))</f>
        <v>60809</v>
      </c>
      <c r="V327" s="753">
        <f>U327*S327</f>
        <v>60809</v>
      </c>
      <c r="W327" s="764">
        <v>1</v>
      </c>
      <c r="X327" s="753">
        <f>V327*W327</f>
        <v>60809</v>
      </c>
      <c r="Y327" s="753">
        <f>IF(M327&gt;0,0,X327+T327*W327)*W327</f>
        <v>60809</v>
      </c>
      <c r="Z327" s="753">
        <f t="shared" ref="Z327:Z342" si="248">IF(M327&gt;0,(L327-X327)/2,IF(AA327&gt;=AD327,(((L327*S327)*W327)-Y327)/2,((((L327*S327)*W327)-X327)+(((L327*S327)*W327)-Y327))/2))</f>
        <v>29951</v>
      </c>
      <c r="AA327" s="753">
        <f t="shared" ref="AA327:AA342" si="249">$D327+(($E327-1)/12)</f>
        <v>112.25</v>
      </c>
      <c r="AB327" s="753">
        <f t="shared" ref="AB327:AB342" si="250">($B$10+1)-($B$7/12)</f>
        <v>123</v>
      </c>
      <c r="AC327" s="753">
        <f t="shared" ref="AC327:AC342" si="251">$I327+(($E327-1)/12)</f>
        <v>117.25</v>
      </c>
      <c r="AD327" s="753">
        <f t="shared" ref="AD327:AD342" si="252">$B$9+($B$8/12)</f>
        <v>122</v>
      </c>
      <c r="AE327" s="753">
        <f t="shared" ref="AE327:AE342" si="253">$J327+(($K327-1)/12)</f>
        <v>-8.3333333333333329E-2</v>
      </c>
      <c r="AF327" s="753">
        <f>L327-((X327+Y327)/2)-Z327</f>
        <v>0</v>
      </c>
      <c r="AG327" s="753"/>
      <c r="AH327" s="753"/>
      <c r="AI327" s="753"/>
    </row>
    <row r="328" spans="2:35" ht="15.95" customHeight="1">
      <c r="B328" s="41" t="s">
        <v>769</v>
      </c>
      <c r="C328" s="41">
        <v>2015</v>
      </c>
      <c r="D328" s="41">
        <v>115</v>
      </c>
      <c r="E328" s="41">
        <v>2</v>
      </c>
      <c r="F328" s="763">
        <f>11300/L328</f>
        <v>0.19953136615418302</v>
      </c>
      <c r="G328" s="756" t="s">
        <v>153</v>
      </c>
      <c r="H328" s="41">
        <v>7</v>
      </c>
      <c r="I328" s="41">
        <f t="shared" ref="I328:I342" si="254">D328+H328</f>
        <v>122</v>
      </c>
      <c r="L328" s="753">
        <v>56632.7</v>
      </c>
      <c r="M328" s="753"/>
      <c r="N328" s="753">
        <f t="shared" ref="N328:N342" si="255">L328-(+L328*F328)</f>
        <v>45332.7</v>
      </c>
      <c r="O328" s="753">
        <f t="shared" ref="O328:O342" si="256">N328/H328/12</f>
        <v>539.67499999999995</v>
      </c>
      <c r="P328" s="753">
        <f t="shared" si="244"/>
        <v>539.67499999996926</v>
      </c>
      <c r="Q328" s="753">
        <f t="shared" si="245"/>
        <v>0</v>
      </c>
      <c r="R328" s="753">
        <f t="shared" si="246"/>
        <v>539.67499999996926</v>
      </c>
      <c r="S328" s="764">
        <v>1</v>
      </c>
      <c r="T328" s="753">
        <f t="shared" ref="T328:T342" si="257">S328*SUM(P328:Q328)</f>
        <v>539.67499999996926</v>
      </c>
      <c r="U328" s="753">
        <f t="shared" si="247"/>
        <v>44793.025000000031</v>
      </c>
      <c r="V328" s="753">
        <f t="shared" ref="V328:V342" si="258">U328*S328</f>
        <v>44793.025000000031</v>
      </c>
      <c r="W328" s="764">
        <v>1</v>
      </c>
      <c r="X328" s="753">
        <f t="shared" ref="X328:X342" si="259">V328*W328</f>
        <v>44793.025000000031</v>
      </c>
      <c r="Y328" s="753">
        <f t="shared" ref="Y328:Y342" si="260">IF(M328&gt;0,0,X328+T328*W328)*W328</f>
        <v>45332.7</v>
      </c>
      <c r="Z328" s="753">
        <f t="shared" si="248"/>
        <v>11569.837499999983</v>
      </c>
      <c r="AA328" s="753">
        <f t="shared" si="249"/>
        <v>115.08333333333333</v>
      </c>
      <c r="AB328" s="753">
        <f t="shared" si="250"/>
        <v>123</v>
      </c>
      <c r="AC328" s="753">
        <f t="shared" si="251"/>
        <v>122.08333333333333</v>
      </c>
      <c r="AD328" s="753">
        <f t="shared" si="252"/>
        <v>122</v>
      </c>
      <c r="AE328" s="753">
        <f t="shared" si="253"/>
        <v>-8.3333333333333329E-2</v>
      </c>
      <c r="AF328" s="753">
        <f t="shared" ref="AF328:AF342" si="261">L328-((X328+Y328)/2)-Z328</f>
        <v>0</v>
      </c>
      <c r="AG328" s="753"/>
      <c r="AH328" s="753"/>
      <c r="AI328" s="753"/>
    </row>
    <row r="329" spans="2:35" ht="15.95" customHeight="1">
      <c r="B329" s="41" t="s">
        <v>770</v>
      </c>
      <c r="C329" s="41">
        <v>2015</v>
      </c>
      <c r="D329" s="41">
        <v>115</v>
      </c>
      <c r="E329" s="41">
        <v>4</v>
      </c>
      <c r="F329" s="763">
        <f>29600/L329</f>
        <v>0.19987104266308178</v>
      </c>
      <c r="G329" s="756" t="s">
        <v>153</v>
      </c>
      <c r="H329" s="41">
        <v>7</v>
      </c>
      <c r="I329" s="41">
        <f t="shared" si="254"/>
        <v>122</v>
      </c>
      <c r="L329" s="753">
        <v>148095.49</v>
      </c>
      <c r="M329" s="753"/>
      <c r="N329" s="753">
        <f t="shared" si="255"/>
        <v>118495.48999999999</v>
      </c>
      <c r="O329" s="753">
        <f t="shared" si="256"/>
        <v>1410.6605952380951</v>
      </c>
      <c r="P329" s="753">
        <f t="shared" si="244"/>
        <v>4231.9817857142853</v>
      </c>
      <c r="Q329" s="753">
        <f t="shared" si="245"/>
        <v>0</v>
      </c>
      <c r="R329" s="753">
        <f t="shared" si="246"/>
        <v>4231.9817857142853</v>
      </c>
      <c r="S329" s="764">
        <v>1</v>
      </c>
      <c r="T329" s="753">
        <f t="shared" si="257"/>
        <v>4231.9817857142853</v>
      </c>
      <c r="U329" s="753">
        <f t="shared" si="247"/>
        <v>114263.5082142857</v>
      </c>
      <c r="V329" s="753">
        <f t="shared" si="258"/>
        <v>114263.5082142857</v>
      </c>
      <c r="W329" s="764">
        <v>1</v>
      </c>
      <c r="X329" s="753">
        <f t="shared" si="259"/>
        <v>114263.5082142857</v>
      </c>
      <c r="Y329" s="753">
        <f t="shared" si="260"/>
        <v>118495.48999999999</v>
      </c>
      <c r="Z329" s="753">
        <f t="shared" si="248"/>
        <v>31715.990892857146</v>
      </c>
      <c r="AA329" s="753">
        <f t="shared" si="249"/>
        <v>115.25</v>
      </c>
      <c r="AB329" s="753">
        <f t="shared" si="250"/>
        <v>123</v>
      </c>
      <c r="AC329" s="753">
        <f t="shared" si="251"/>
        <v>122.25</v>
      </c>
      <c r="AD329" s="753">
        <f t="shared" si="252"/>
        <v>122</v>
      </c>
      <c r="AE329" s="753">
        <f t="shared" si="253"/>
        <v>-8.3333333333333329E-2</v>
      </c>
      <c r="AF329" s="753">
        <f t="shared" si="261"/>
        <v>0</v>
      </c>
      <c r="AG329" s="753"/>
      <c r="AH329" s="753"/>
      <c r="AI329" s="753"/>
    </row>
    <row r="330" spans="2:35" ht="15.95" customHeight="1">
      <c r="B330" s="41" t="s">
        <v>771</v>
      </c>
      <c r="C330" s="41">
        <v>2015</v>
      </c>
      <c r="D330" s="41">
        <v>115</v>
      </c>
      <c r="E330" s="41">
        <v>4</v>
      </c>
      <c r="F330" s="763">
        <f>11400/L330</f>
        <v>0.19852696475084083</v>
      </c>
      <c r="G330" s="756" t="s">
        <v>153</v>
      </c>
      <c r="H330" s="41">
        <v>7</v>
      </c>
      <c r="I330" s="41">
        <f t="shared" si="254"/>
        <v>122</v>
      </c>
      <c r="L330" s="753">
        <v>57422.93</v>
      </c>
      <c r="M330" s="753"/>
      <c r="N330" s="753">
        <f t="shared" si="255"/>
        <v>46022.93</v>
      </c>
      <c r="O330" s="753">
        <f t="shared" si="256"/>
        <v>547.89202380952383</v>
      </c>
      <c r="P330" s="753">
        <f t="shared" si="244"/>
        <v>1643.6760714285715</v>
      </c>
      <c r="Q330" s="753">
        <f t="shared" si="245"/>
        <v>0</v>
      </c>
      <c r="R330" s="753">
        <f t="shared" si="246"/>
        <v>1643.6760714285715</v>
      </c>
      <c r="S330" s="764">
        <v>1</v>
      </c>
      <c r="T330" s="753">
        <f t="shared" si="257"/>
        <v>1643.6760714285715</v>
      </c>
      <c r="U330" s="753">
        <f t="shared" si="247"/>
        <v>44379.25392857143</v>
      </c>
      <c r="V330" s="753">
        <f t="shared" si="258"/>
        <v>44379.25392857143</v>
      </c>
      <c r="W330" s="764">
        <v>1</v>
      </c>
      <c r="X330" s="753">
        <f t="shared" si="259"/>
        <v>44379.25392857143</v>
      </c>
      <c r="Y330" s="753">
        <f t="shared" si="260"/>
        <v>46022.93</v>
      </c>
      <c r="Z330" s="753">
        <f t="shared" si="248"/>
        <v>12221.838035714285</v>
      </c>
      <c r="AA330" s="753">
        <f t="shared" si="249"/>
        <v>115.25</v>
      </c>
      <c r="AB330" s="753">
        <f t="shared" si="250"/>
        <v>123</v>
      </c>
      <c r="AC330" s="753">
        <f t="shared" si="251"/>
        <v>122.25</v>
      </c>
      <c r="AD330" s="753">
        <f t="shared" si="252"/>
        <v>122</v>
      </c>
      <c r="AE330" s="753">
        <f t="shared" si="253"/>
        <v>-8.3333333333333329E-2</v>
      </c>
      <c r="AF330" s="753">
        <f t="shared" si="261"/>
        <v>0</v>
      </c>
      <c r="AG330" s="753"/>
      <c r="AH330" s="753"/>
      <c r="AI330" s="753"/>
    </row>
    <row r="331" spans="2:35" ht="15.95" customHeight="1">
      <c r="B331" s="41" t="s">
        <v>772</v>
      </c>
      <c r="C331" s="41">
        <v>2015</v>
      </c>
      <c r="D331" s="41">
        <v>115</v>
      </c>
      <c r="E331" s="41">
        <v>7</v>
      </c>
      <c r="F331" s="763">
        <v>0</v>
      </c>
      <c r="G331" s="756" t="s">
        <v>153</v>
      </c>
      <c r="H331" s="41">
        <v>10</v>
      </c>
      <c r="I331" s="41">
        <f t="shared" si="254"/>
        <v>125</v>
      </c>
      <c r="L331" s="753">
        <v>35007</v>
      </c>
      <c r="M331" s="753"/>
      <c r="N331" s="753">
        <f t="shared" si="255"/>
        <v>35007</v>
      </c>
      <c r="O331" s="753">
        <f t="shared" si="256"/>
        <v>291.72499999999997</v>
      </c>
      <c r="P331" s="753">
        <f t="shared" si="244"/>
        <v>3500.7</v>
      </c>
      <c r="Q331" s="753">
        <f t="shared" si="245"/>
        <v>0</v>
      </c>
      <c r="R331" s="753">
        <f t="shared" si="246"/>
        <v>3500.7</v>
      </c>
      <c r="S331" s="764">
        <v>1</v>
      </c>
      <c r="T331" s="753">
        <f t="shared" si="257"/>
        <v>3500.7</v>
      </c>
      <c r="U331" s="753">
        <f t="shared" si="247"/>
        <v>22754.549999999996</v>
      </c>
      <c r="V331" s="753">
        <f t="shared" si="258"/>
        <v>22754.549999999996</v>
      </c>
      <c r="W331" s="764">
        <v>1</v>
      </c>
      <c r="X331" s="753">
        <f t="shared" si="259"/>
        <v>22754.549999999996</v>
      </c>
      <c r="Y331" s="753">
        <f t="shared" si="260"/>
        <v>26255.249999999996</v>
      </c>
      <c r="Z331" s="753">
        <f t="shared" si="248"/>
        <v>10502.100000000004</v>
      </c>
      <c r="AA331" s="753">
        <f t="shared" si="249"/>
        <v>115.5</v>
      </c>
      <c r="AB331" s="753">
        <f t="shared" si="250"/>
        <v>123</v>
      </c>
      <c r="AC331" s="753">
        <f t="shared" si="251"/>
        <v>125.5</v>
      </c>
      <c r="AD331" s="753">
        <f t="shared" si="252"/>
        <v>122</v>
      </c>
      <c r="AE331" s="753">
        <f t="shared" si="253"/>
        <v>-8.3333333333333329E-2</v>
      </c>
      <c r="AF331" s="753">
        <f t="shared" si="261"/>
        <v>0</v>
      </c>
      <c r="AG331" s="753"/>
      <c r="AH331" s="753"/>
      <c r="AI331" s="753"/>
    </row>
    <row r="332" spans="2:35" ht="15.95" customHeight="1">
      <c r="B332" s="41" t="s">
        <v>773</v>
      </c>
      <c r="C332" s="41">
        <v>2015</v>
      </c>
      <c r="D332" s="41">
        <v>115</v>
      </c>
      <c r="E332" s="41">
        <v>12</v>
      </c>
      <c r="F332" s="763">
        <v>0</v>
      </c>
      <c r="G332" s="756" t="s">
        <v>153</v>
      </c>
      <c r="H332" s="41">
        <v>10</v>
      </c>
      <c r="I332" s="41">
        <f t="shared" si="254"/>
        <v>125</v>
      </c>
      <c r="L332" s="753">
        <v>17075.68</v>
      </c>
      <c r="M332" s="753"/>
      <c r="N332" s="753">
        <f t="shared" si="255"/>
        <v>17075.68</v>
      </c>
      <c r="O332" s="753">
        <f t="shared" si="256"/>
        <v>142.29733333333334</v>
      </c>
      <c r="P332" s="753">
        <f t="shared" si="244"/>
        <v>1707.5680000000002</v>
      </c>
      <c r="Q332" s="753">
        <f t="shared" si="245"/>
        <v>0</v>
      </c>
      <c r="R332" s="753">
        <f t="shared" si="246"/>
        <v>1707.5680000000002</v>
      </c>
      <c r="S332" s="764">
        <v>1</v>
      </c>
      <c r="T332" s="753">
        <f t="shared" si="257"/>
        <v>1707.5680000000002</v>
      </c>
      <c r="U332" s="753">
        <f t="shared" si="247"/>
        <v>10387.705333333326</v>
      </c>
      <c r="V332" s="753">
        <f t="shared" si="258"/>
        <v>10387.705333333326</v>
      </c>
      <c r="W332" s="764">
        <v>1</v>
      </c>
      <c r="X332" s="753">
        <f t="shared" si="259"/>
        <v>10387.705333333326</v>
      </c>
      <c r="Y332" s="753">
        <f t="shared" si="260"/>
        <v>12095.273333333327</v>
      </c>
      <c r="Z332" s="753">
        <f t="shared" si="248"/>
        <v>5834.1906666666737</v>
      </c>
      <c r="AA332" s="753">
        <f t="shared" si="249"/>
        <v>115.91666666666667</v>
      </c>
      <c r="AB332" s="753">
        <f t="shared" si="250"/>
        <v>123</v>
      </c>
      <c r="AC332" s="753">
        <f t="shared" si="251"/>
        <v>125.91666666666667</v>
      </c>
      <c r="AD332" s="753">
        <f t="shared" si="252"/>
        <v>122</v>
      </c>
      <c r="AE332" s="753">
        <f t="shared" si="253"/>
        <v>-8.3333333333333329E-2</v>
      </c>
      <c r="AF332" s="753">
        <f t="shared" si="261"/>
        <v>0</v>
      </c>
      <c r="AG332" s="753"/>
      <c r="AH332" s="753"/>
      <c r="AI332" s="753"/>
    </row>
    <row r="333" spans="2:35" ht="15.95" customHeight="1">
      <c r="B333" s="41" t="s">
        <v>774</v>
      </c>
      <c r="C333" s="41">
        <v>2017</v>
      </c>
      <c r="D333" s="41">
        <v>117</v>
      </c>
      <c r="E333" s="41">
        <v>10</v>
      </c>
      <c r="F333" s="763">
        <v>0</v>
      </c>
      <c r="G333" s="756" t="s">
        <v>153</v>
      </c>
      <c r="H333" s="41">
        <v>10</v>
      </c>
      <c r="I333" s="41">
        <f t="shared" si="254"/>
        <v>127</v>
      </c>
      <c r="L333" s="753">
        <v>33637.75</v>
      </c>
      <c r="M333" s="753"/>
      <c r="N333" s="753">
        <f t="shared" si="255"/>
        <v>33637.75</v>
      </c>
      <c r="O333" s="753">
        <f t="shared" si="256"/>
        <v>280.31458333333336</v>
      </c>
      <c r="P333" s="753">
        <f t="shared" si="244"/>
        <v>3363.7750000000005</v>
      </c>
      <c r="Q333" s="753">
        <f t="shared" si="245"/>
        <v>0</v>
      </c>
      <c r="R333" s="753">
        <f t="shared" si="246"/>
        <v>3363.7750000000005</v>
      </c>
      <c r="S333" s="764">
        <v>1</v>
      </c>
      <c r="T333" s="753">
        <f t="shared" si="257"/>
        <v>3363.7750000000005</v>
      </c>
      <c r="U333" s="753">
        <f t="shared" si="247"/>
        <v>14296.043750000001</v>
      </c>
      <c r="V333" s="753">
        <f t="shared" si="258"/>
        <v>14296.043750000001</v>
      </c>
      <c r="W333" s="764">
        <v>1</v>
      </c>
      <c r="X333" s="753">
        <f t="shared" si="259"/>
        <v>14296.043750000001</v>
      </c>
      <c r="Y333" s="753">
        <f t="shared" si="260"/>
        <v>17659.818750000002</v>
      </c>
      <c r="Z333" s="753">
        <f t="shared" si="248"/>
        <v>17659.818749999999</v>
      </c>
      <c r="AA333" s="753">
        <f t="shared" si="249"/>
        <v>117.75</v>
      </c>
      <c r="AB333" s="753">
        <f t="shared" si="250"/>
        <v>123</v>
      </c>
      <c r="AC333" s="753">
        <f t="shared" si="251"/>
        <v>127.75</v>
      </c>
      <c r="AD333" s="753">
        <f t="shared" si="252"/>
        <v>122</v>
      </c>
      <c r="AE333" s="753">
        <f t="shared" si="253"/>
        <v>-8.3333333333333329E-2</v>
      </c>
      <c r="AF333" s="753">
        <f t="shared" si="261"/>
        <v>0</v>
      </c>
      <c r="AG333" s="753"/>
      <c r="AH333" s="753"/>
      <c r="AI333" s="753"/>
    </row>
    <row r="334" spans="2:35" ht="15.95" customHeight="1">
      <c r="B334" s="41" t="s">
        <v>775</v>
      </c>
      <c r="C334" s="41">
        <v>2018</v>
      </c>
      <c r="D334" s="41">
        <v>118</v>
      </c>
      <c r="E334" s="41">
        <v>8</v>
      </c>
      <c r="F334" s="763">
        <v>0</v>
      </c>
      <c r="G334" s="756" t="s">
        <v>153</v>
      </c>
      <c r="H334" s="41">
        <v>10</v>
      </c>
      <c r="I334" s="41">
        <f t="shared" si="254"/>
        <v>128</v>
      </c>
      <c r="L334" s="753">
        <v>47052.34</v>
      </c>
      <c r="M334" s="753"/>
      <c r="N334" s="753">
        <f t="shared" si="255"/>
        <v>47052.34</v>
      </c>
      <c r="O334" s="753">
        <f t="shared" si="256"/>
        <v>392.10283333333331</v>
      </c>
      <c r="P334" s="753">
        <f t="shared" si="244"/>
        <v>4705.2339999999995</v>
      </c>
      <c r="Q334" s="753">
        <f t="shared" si="245"/>
        <v>0</v>
      </c>
      <c r="R334" s="753">
        <f t="shared" si="246"/>
        <v>4705.2339999999995</v>
      </c>
      <c r="S334" s="764">
        <v>1</v>
      </c>
      <c r="T334" s="753">
        <f t="shared" si="257"/>
        <v>4705.2339999999995</v>
      </c>
      <c r="U334" s="753">
        <f t="shared" si="247"/>
        <v>16076.216166666687</v>
      </c>
      <c r="V334" s="753">
        <f t="shared" si="258"/>
        <v>16076.216166666687</v>
      </c>
      <c r="W334" s="764">
        <v>1</v>
      </c>
      <c r="X334" s="753">
        <f t="shared" si="259"/>
        <v>16076.216166666687</v>
      </c>
      <c r="Y334" s="753">
        <f t="shared" si="260"/>
        <v>20781.450166666687</v>
      </c>
      <c r="Z334" s="753">
        <f t="shared" si="248"/>
        <v>28623.506833333311</v>
      </c>
      <c r="AA334" s="753">
        <f t="shared" si="249"/>
        <v>118.58333333333333</v>
      </c>
      <c r="AB334" s="753">
        <f t="shared" si="250"/>
        <v>123</v>
      </c>
      <c r="AC334" s="753">
        <f t="shared" si="251"/>
        <v>128.58333333333334</v>
      </c>
      <c r="AD334" s="753">
        <f t="shared" si="252"/>
        <v>122</v>
      </c>
      <c r="AE334" s="753">
        <f t="shared" si="253"/>
        <v>-8.3333333333333329E-2</v>
      </c>
      <c r="AF334" s="753">
        <f t="shared" si="261"/>
        <v>0</v>
      </c>
      <c r="AG334" s="753"/>
      <c r="AH334" s="753"/>
      <c r="AI334" s="753"/>
    </row>
    <row r="335" spans="2:35" ht="15.95" customHeight="1">
      <c r="B335" s="41" t="s">
        <v>776</v>
      </c>
      <c r="C335" s="41">
        <v>2018</v>
      </c>
      <c r="D335" s="41">
        <v>118</v>
      </c>
      <c r="E335" s="41">
        <v>10</v>
      </c>
      <c r="F335" s="763">
        <f>35120/L335</f>
        <v>0.19996747681584362</v>
      </c>
      <c r="G335" s="756" t="s">
        <v>153</v>
      </c>
      <c r="H335" s="41">
        <v>7</v>
      </c>
      <c r="I335" s="41">
        <f t="shared" si="254"/>
        <v>125</v>
      </c>
      <c r="L335" s="753">
        <v>175628.56</v>
      </c>
      <c r="M335" s="753"/>
      <c r="N335" s="753">
        <f t="shared" si="255"/>
        <v>140508.56</v>
      </c>
      <c r="O335" s="753">
        <f t="shared" si="256"/>
        <v>1672.7209523809524</v>
      </c>
      <c r="P335" s="753">
        <f t="shared" si="244"/>
        <v>20072.651428571429</v>
      </c>
      <c r="Q335" s="753">
        <f t="shared" si="245"/>
        <v>0</v>
      </c>
      <c r="R335" s="753">
        <f t="shared" si="246"/>
        <v>20072.651428571429</v>
      </c>
      <c r="S335" s="764">
        <v>1</v>
      </c>
      <c r="T335" s="753">
        <f t="shared" si="257"/>
        <v>20072.651428571429</v>
      </c>
      <c r="U335" s="753">
        <f t="shared" si="247"/>
        <v>65236.117142857147</v>
      </c>
      <c r="V335" s="753">
        <f t="shared" si="258"/>
        <v>65236.117142857147</v>
      </c>
      <c r="W335" s="764">
        <v>1</v>
      </c>
      <c r="X335" s="753">
        <f t="shared" si="259"/>
        <v>65236.117142857147</v>
      </c>
      <c r="Y335" s="753">
        <f t="shared" si="260"/>
        <v>85308.768571428576</v>
      </c>
      <c r="Z335" s="753">
        <f t="shared" si="248"/>
        <v>100356.11714285714</v>
      </c>
      <c r="AA335" s="753">
        <f t="shared" si="249"/>
        <v>118.75</v>
      </c>
      <c r="AB335" s="753">
        <f t="shared" si="250"/>
        <v>123</v>
      </c>
      <c r="AC335" s="753">
        <f t="shared" si="251"/>
        <v>125.75</v>
      </c>
      <c r="AD335" s="753">
        <f t="shared" si="252"/>
        <v>122</v>
      </c>
      <c r="AE335" s="753">
        <f t="shared" si="253"/>
        <v>-8.3333333333333329E-2</v>
      </c>
      <c r="AF335" s="753">
        <f t="shared" si="261"/>
        <v>0</v>
      </c>
      <c r="AG335" s="753"/>
      <c r="AH335" s="753"/>
      <c r="AI335" s="753"/>
    </row>
    <row r="336" spans="2:35" ht="15.95" customHeight="1">
      <c r="B336" s="41" t="s">
        <v>777</v>
      </c>
      <c r="C336" s="41">
        <v>2018</v>
      </c>
      <c r="D336" s="41">
        <v>118</v>
      </c>
      <c r="E336" s="41">
        <v>10</v>
      </c>
      <c r="F336" s="763">
        <v>0</v>
      </c>
      <c r="G336" s="756" t="s">
        <v>153</v>
      </c>
      <c r="H336" s="41">
        <v>7</v>
      </c>
      <c r="I336" s="41">
        <f t="shared" si="254"/>
        <v>125</v>
      </c>
      <c r="L336" s="753">
        <v>56105.58</v>
      </c>
      <c r="M336" s="753"/>
      <c r="N336" s="753">
        <f t="shared" si="255"/>
        <v>56105.58</v>
      </c>
      <c r="O336" s="753">
        <f t="shared" si="256"/>
        <v>667.92357142857145</v>
      </c>
      <c r="P336" s="753">
        <f t="shared" si="244"/>
        <v>8015.0828571428574</v>
      </c>
      <c r="Q336" s="753">
        <f t="shared" si="245"/>
        <v>0</v>
      </c>
      <c r="R336" s="753">
        <f t="shared" si="246"/>
        <v>8015.0828571428574</v>
      </c>
      <c r="S336" s="764">
        <v>1</v>
      </c>
      <c r="T336" s="753">
        <f t="shared" si="257"/>
        <v>8015.0828571428574</v>
      </c>
      <c r="U336" s="753">
        <f t="shared" si="247"/>
        <v>26049.019285714287</v>
      </c>
      <c r="V336" s="753">
        <f t="shared" si="258"/>
        <v>26049.019285714287</v>
      </c>
      <c r="W336" s="764">
        <v>1</v>
      </c>
      <c r="X336" s="753">
        <f t="shared" si="259"/>
        <v>26049.019285714287</v>
      </c>
      <c r="Y336" s="753">
        <f t="shared" si="260"/>
        <v>34064.10214285714</v>
      </c>
      <c r="Z336" s="753">
        <f t="shared" si="248"/>
        <v>26049.01928571429</v>
      </c>
      <c r="AA336" s="753">
        <f t="shared" si="249"/>
        <v>118.75</v>
      </c>
      <c r="AB336" s="753">
        <f t="shared" si="250"/>
        <v>123</v>
      </c>
      <c r="AC336" s="753">
        <f t="shared" si="251"/>
        <v>125.75</v>
      </c>
      <c r="AD336" s="753">
        <f t="shared" si="252"/>
        <v>122</v>
      </c>
      <c r="AE336" s="753">
        <f t="shared" si="253"/>
        <v>-8.3333333333333329E-2</v>
      </c>
      <c r="AF336" s="753">
        <f t="shared" si="261"/>
        <v>0</v>
      </c>
      <c r="AG336" s="753"/>
      <c r="AH336" s="753"/>
      <c r="AI336" s="753"/>
    </row>
    <row r="337" spans="1:35" ht="15.95" customHeight="1">
      <c r="B337" s="41" t="s">
        <v>778</v>
      </c>
      <c r="C337" s="41">
        <v>2019</v>
      </c>
      <c r="D337" s="41">
        <v>119</v>
      </c>
      <c r="E337" s="41">
        <v>3</v>
      </c>
      <c r="F337" s="763">
        <v>0</v>
      </c>
      <c r="G337" s="756" t="s">
        <v>153</v>
      </c>
      <c r="H337" s="41">
        <v>10</v>
      </c>
      <c r="I337" s="41">
        <f t="shared" si="254"/>
        <v>129</v>
      </c>
      <c r="L337" s="753">
        <v>11763.08</v>
      </c>
      <c r="M337" s="753"/>
      <c r="N337" s="753">
        <f t="shared" si="255"/>
        <v>11763.08</v>
      </c>
      <c r="O337" s="753">
        <f t="shared" si="256"/>
        <v>98.025666666666666</v>
      </c>
      <c r="P337" s="753">
        <f t="shared" si="244"/>
        <v>1176.308</v>
      </c>
      <c r="Q337" s="753">
        <f t="shared" si="245"/>
        <v>0</v>
      </c>
      <c r="R337" s="753">
        <f t="shared" si="246"/>
        <v>1176.308</v>
      </c>
      <c r="S337" s="764">
        <v>1</v>
      </c>
      <c r="T337" s="753">
        <f t="shared" si="257"/>
        <v>1176.308</v>
      </c>
      <c r="U337" s="753">
        <f t="shared" si="247"/>
        <v>3332.8726666666612</v>
      </c>
      <c r="V337" s="753">
        <f t="shared" si="258"/>
        <v>3332.8726666666612</v>
      </c>
      <c r="W337" s="764">
        <v>1</v>
      </c>
      <c r="X337" s="753">
        <f t="shared" si="259"/>
        <v>3332.8726666666612</v>
      </c>
      <c r="Y337" s="753">
        <f t="shared" si="260"/>
        <v>4509.1806666666616</v>
      </c>
      <c r="Z337" s="753">
        <f t="shared" si="248"/>
        <v>7842.0533333333387</v>
      </c>
      <c r="AA337" s="753">
        <f t="shared" si="249"/>
        <v>119.16666666666667</v>
      </c>
      <c r="AB337" s="753">
        <f t="shared" si="250"/>
        <v>123</v>
      </c>
      <c r="AC337" s="753">
        <f t="shared" si="251"/>
        <v>129.16666666666666</v>
      </c>
      <c r="AD337" s="753">
        <f t="shared" si="252"/>
        <v>122</v>
      </c>
      <c r="AE337" s="753">
        <f t="shared" si="253"/>
        <v>-8.3333333333333329E-2</v>
      </c>
      <c r="AF337" s="753">
        <f t="shared" si="261"/>
        <v>0</v>
      </c>
      <c r="AG337" s="753"/>
      <c r="AH337" s="753"/>
      <c r="AI337" s="753"/>
    </row>
    <row r="338" spans="1:35" ht="15.95" customHeight="1">
      <c r="B338" s="41" t="s">
        <v>779</v>
      </c>
      <c r="C338" s="41">
        <v>2021</v>
      </c>
      <c r="D338" s="41">
        <v>121</v>
      </c>
      <c r="E338" s="41">
        <v>2</v>
      </c>
      <c r="F338" s="763">
        <v>0</v>
      </c>
      <c r="G338" s="756" t="s">
        <v>153</v>
      </c>
      <c r="H338" s="41">
        <v>7</v>
      </c>
      <c r="I338" s="41">
        <f t="shared" si="254"/>
        <v>128</v>
      </c>
      <c r="L338" s="753">
        <v>18346.64</v>
      </c>
      <c r="M338" s="753"/>
      <c r="N338" s="753">
        <f t="shared" si="255"/>
        <v>18346.64</v>
      </c>
      <c r="O338" s="753">
        <f t="shared" si="256"/>
        <v>218.41238095238097</v>
      </c>
      <c r="P338" s="753">
        <f t="shared" si="244"/>
        <v>2620.9485714285715</v>
      </c>
      <c r="Q338" s="753">
        <f t="shared" si="245"/>
        <v>0</v>
      </c>
      <c r="R338" s="753">
        <f t="shared" si="246"/>
        <v>2620.9485714285715</v>
      </c>
      <c r="S338" s="764">
        <v>1</v>
      </c>
      <c r="T338" s="753">
        <f t="shared" si="257"/>
        <v>2620.9485714285715</v>
      </c>
      <c r="U338" s="753">
        <f t="shared" si="247"/>
        <v>2402.536190476203</v>
      </c>
      <c r="V338" s="753">
        <f t="shared" si="258"/>
        <v>2402.536190476203</v>
      </c>
      <c r="W338" s="764">
        <v>1</v>
      </c>
      <c r="X338" s="753">
        <f t="shared" si="259"/>
        <v>2402.536190476203</v>
      </c>
      <c r="Y338" s="753">
        <f t="shared" si="260"/>
        <v>5023.4847619047741</v>
      </c>
      <c r="Z338" s="753">
        <f t="shared" si="248"/>
        <v>14633.629523809512</v>
      </c>
      <c r="AA338" s="753">
        <f t="shared" si="249"/>
        <v>121.08333333333333</v>
      </c>
      <c r="AB338" s="753">
        <f t="shared" si="250"/>
        <v>123</v>
      </c>
      <c r="AC338" s="753">
        <f t="shared" si="251"/>
        <v>128.08333333333334</v>
      </c>
      <c r="AD338" s="753">
        <f t="shared" si="252"/>
        <v>122</v>
      </c>
      <c r="AE338" s="753">
        <f t="shared" si="253"/>
        <v>-8.3333333333333329E-2</v>
      </c>
      <c r="AF338" s="753">
        <f t="shared" si="261"/>
        <v>0</v>
      </c>
      <c r="AG338" s="753"/>
      <c r="AH338" s="753"/>
      <c r="AI338" s="753"/>
    </row>
    <row r="339" spans="1:35" ht="15.95" customHeight="1">
      <c r="B339" s="41" t="s">
        <v>780</v>
      </c>
      <c r="C339" s="41">
        <v>2021</v>
      </c>
      <c r="D339" s="41">
        <v>121</v>
      </c>
      <c r="E339" s="41">
        <v>5</v>
      </c>
      <c r="F339" s="763">
        <v>0</v>
      </c>
      <c r="G339" s="756" t="s">
        <v>153</v>
      </c>
      <c r="H339" s="41">
        <v>7</v>
      </c>
      <c r="I339" s="41">
        <f t="shared" si="254"/>
        <v>128</v>
      </c>
      <c r="L339" s="753">
        <v>13561.04</v>
      </c>
      <c r="M339" s="753"/>
      <c r="N339" s="753">
        <f t="shared" si="255"/>
        <v>13561.04</v>
      </c>
      <c r="O339" s="753">
        <f t="shared" si="256"/>
        <v>161.44095238095238</v>
      </c>
      <c r="P339" s="753">
        <f t="shared" si="244"/>
        <v>1937.2914285714287</v>
      </c>
      <c r="Q339" s="753">
        <f t="shared" si="245"/>
        <v>0</v>
      </c>
      <c r="R339" s="753">
        <f t="shared" si="246"/>
        <v>1937.2914285714287</v>
      </c>
      <c r="S339" s="764">
        <v>1</v>
      </c>
      <c r="T339" s="753">
        <f t="shared" si="257"/>
        <v>1937.2914285714287</v>
      </c>
      <c r="U339" s="753">
        <f t="shared" si="247"/>
        <v>1291.5276190476281</v>
      </c>
      <c r="V339" s="753">
        <f t="shared" si="258"/>
        <v>1291.5276190476281</v>
      </c>
      <c r="W339" s="764">
        <v>1</v>
      </c>
      <c r="X339" s="753">
        <f t="shared" si="259"/>
        <v>1291.5276190476281</v>
      </c>
      <c r="Y339" s="753">
        <f t="shared" si="260"/>
        <v>3228.8190476190566</v>
      </c>
      <c r="Z339" s="753">
        <f t="shared" si="248"/>
        <v>11300.866666666658</v>
      </c>
      <c r="AA339" s="753">
        <f t="shared" si="249"/>
        <v>121.33333333333333</v>
      </c>
      <c r="AB339" s="753">
        <f t="shared" si="250"/>
        <v>123</v>
      </c>
      <c r="AC339" s="753">
        <f t="shared" si="251"/>
        <v>128.33333333333334</v>
      </c>
      <c r="AD339" s="753">
        <f t="shared" si="252"/>
        <v>122</v>
      </c>
      <c r="AE339" s="753">
        <f t="shared" si="253"/>
        <v>-8.3333333333333329E-2</v>
      </c>
      <c r="AF339" s="753">
        <f t="shared" si="261"/>
        <v>0</v>
      </c>
      <c r="AG339" s="753"/>
      <c r="AH339" s="753"/>
      <c r="AI339" s="753"/>
    </row>
    <row r="340" spans="1:35" ht="15.95" customHeight="1">
      <c r="B340" s="41" t="s">
        <v>781</v>
      </c>
      <c r="C340" s="41">
        <v>2021</v>
      </c>
      <c r="D340" s="41">
        <v>121</v>
      </c>
      <c r="E340" s="41">
        <v>10</v>
      </c>
      <c r="F340" s="763">
        <v>0</v>
      </c>
      <c r="G340" s="756" t="s">
        <v>153</v>
      </c>
      <c r="H340" s="41">
        <v>7</v>
      </c>
      <c r="I340" s="41">
        <f t="shared" si="254"/>
        <v>128</v>
      </c>
      <c r="L340" s="753">
        <v>30614.22</v>
      </c>
      <c r="M340" s="753"/>
      <c r="N340" s="753">
        <f t="shared" si="255"/>
        <v>30614.22</v>
      </c>
      <c r="O340" s="753">
        <f t="shared" si="256"/>
        <v>364.45499999999998</v>
      </c>
      <c r="P340" s="753">
        <f t="shared" si="244"/>
        <v>4373.46</v>
      </c>
      <c r="Q340" s="753">
        <f t="shared" si="245"/>
        <v>0</v>
      </c>
      <c r="R340" s="753">
        <f t="shared" si="246"/>
        <v>4373.46</v>
      </c>
      <c r="S340" s="764">
        <v>1</v>
      </c>
      <c r="T340" s="753">
        <f t="shared" si="257"/>
        <v>4373.46</v>
      </c>
      <c r="U340" s="753">
        <f t="shared" si="247"/>
        <v>1093.365</v>
      </c>
      <c r="V340" s="753">
        <f t="shared" si="258"/>
        <v>1093.365</v>
      </c>
      <c r="W340" s="764">
        <v>1</v>
      </c>
      <c r="X340" s="753">
        <f t="shared" si="259"/>
        <v>1093.365</v>
      </c>
      <c r="Y340" s="753">
        <f t="shared" si="260"/>
        <v>5466.8249999999998</v>
      </c>
      <c r="Z340" s="753">
        <f t="shared" si="248"/>
        <v>27334.125</v>
      </c>
      <c r="AA340" s="753">
        <f t="shared" si="249"/>
        <v>121.75</v>
      </c>
      <c r="AB340" s="753">
        <f t="shared" si="250"/>
        <v>123</v>
      </c>
      <c r="AC340" s="753">
        <f t="shared" si="251"/>
        <v>128.75</v>
      </c>
      <c r="AD340" s="753">
        <f t="shared" si="252"/>
        <v>122</v>
      </c>
      <c r="AE340" s="753">
        <f t="shared" si="253"/>
        <v>-8.3333333333333329E-2</v>
      </c>
      <c r="AF340" s="753">
        <f t="shared" si="261"/>
        <v>0</v>
      </c>
      <c r="AG340" s="753"/>
      <c r="AH340" s="753"/>
      <c r="AI340" s="753"/>
    </row>
    <row r="341" spans="1:35" ht="15.95" customHeight="1">
      <c r="B341" s="41" t="s">
        <v>782</v>
      </c>
      <c r="C341" s="41">
        <v>2022</v>
      </c>
      <c r="D341" s="41">
        <v>122</v>
      </c>
      <c r="E341" s="41">
        <v>4</v>
      </c>
      <c r="F341" s="763">
        <v>0</v>
      </c>
      <c r="G341" s="756" t="s">
        <v>153</v>
      </c>
      <c r="H341" s="41">
        <v>7</v>
      </c>
      <c r="I341" s="41">
        <f t="shared" si="254"/>
        <v>129</v>
      </c>
      <c r="L341" s="753">
        <v>30614.22</v>
      </c>
      <c r="M341" s="753"/>
      <c r="N341" s="753">
        <f t="shared" si="255"/>
        <v>30614.22</v>
      </c>
      <c r="O341" s="753">
        <f t="shared" si="256"/>
        <v>364.45499999999998</v>
      </c>
      <c r="P341" s="753">
        <f t="shared" si="244"/>
        <v>3280.0949999999998</v>
      </c>
      <c r="Q341" s="753">
        <f t="shared" si="245"/>
        <v>0</v>
      </c>
      <c r="R341" s="753">
        <f t="shared" si="246"/>
        <v>3280.0949999999998</v>
      </c>
      <c r="S341" s="764">
        <v>1</v>
      </c>
      <c r="T341" s="753">
        <f t="shared" si="257"/>
        <v>3280.0949999999998</v>
      </c>
      <c r="U341" s="753">
        <f t="shared" si="247"/>
        <v>0</v>
      </c>
      <c r="V341" s="753">
        <f t="shared" si="258"/>
        <v>0</v>
      </c>
      <c r="W341" s="764">
        <v>1</v>
      </c>
      <c r="X341" s="753">
        <f t="shared" si="259"/>
        <v>0</v>
      </c>
      <c r="Y341" s="753">
        <f t="shared" si="260"/>
        <v>3280.0949999999998</v>
      </c>
      <c r="Z341" s="753">
        <f t="shared" si="248"/>
        <v>13667.0625</v>
      </c>
      <c r="AA341" s="753">
        <f t="shared" si="249"/>
        <v>122.25</v>
      </c>
      <c r="AB341" s="753">
        <f t="shared" si="250"/>
        <v>123</v>
      </c>
      <c r="AC341" s="753">
        <f t="shared" si="251"/>
        <v>129.25</v>
      </c>
      <c r="AD341" s="753">
        <f t="shared" si="252"/>
        <v>122</v>
      </c>
      <c r="AE341" s="753">
        <f t="shared" si="253"/>
        <v>-8.3333333333333329E-2</v>
      </c>
      <c r="AF341" s="753">
        <f t="shared" si="261"/>
        <v>15307.11</v>
      </c>
      <c r="AG341" s="753"/>
      <c r="AH341" s="753"/>
      <c r="AI341" s="753"/>
    </row>
    <row r="342" spans="1:35" ht="15.95" customHeight="1">
      <c r="B342" s="41" t="s">
        <v>782</v>
      </c>
      <c r="C342" s="41">
        <v>2022</v>
      </c>
      <c r="D342" s="41">
        <v>122</v>
      </c>
      <c r="E342" s="41">
        <v>7</v>
      </c>
      <c r="F342" s="763">
        <v>0</v>
      </c>
      <c r="G342" s="756" t="s">
        <v>153</v>
      </c>
      <c r="H342" s="41">
        <v>7</v>
      </c>
      <c r="I342" s="41">
        <f t="shared" si="254"/>
        <v>129</v>
      </c>
      <c r="L342" s="766">
        <v>31606.47</v>
      </c>
      <c r="M342" s="753"/>
      <c r="N342" s="766">
        <f t="shared" si="255"/>
        <v>31606.47</v>
      </c>
      <c r="O342" s="766">
        <f t="shared" si="256"/>
        <v>376.26749999999998</v>
      </c>
      <c r="P342" s="766">
        <f t="shared" si="244"/>
        <v>2257.605</v>
      </c>
      <c r="Q342" s="766">
        <f t="shared" si="245"/>
        <v>0</v>
      </c>
      <c r="R342" s="766">
        <f t="shared" si="246"/>
        <v>2257.605</v>
      </c>
      <c r="S342" s="764">
        <v>1</v>
      </c>
      <c r="T342" s="766">
        <f t="shared" si="257"/>
        <v>2257.605</v>
      </c>
      <c r="U342" s="766">
        <f t="shared" si="247"/>
        <v>0</v>
      </c>
      <c r="V342" s="766">
        <f t="shared" si="258"/>
        <v>0</v>
      </c>
      <c r="W342" s="764">
        <v>1</v>
      </c>
      <c r="X342" s="766">
        <f t="shared" si="259"/>
        <v>0</v>
      </c>
      <c r="Y342" s="766">
        <f t="shared" si="260"/>
        <v>2257.605</v>
      </c>
      <c r="Z342" s="766">
        <f t="shared" si="248"/>
        <v>14674.432500000001</v>
      </c>
      <c r="AA342" s="753">
        <f t="shared" si="249"/>
        <v>122.5</v>
      </c>
      <c r="AB342" s="753">
        <f t="shared" si="250"/>
        <v>123</v>
      </c>
      <c r="AC342" s="753">
        <f t="shared" si="251"/>
        <v>129.5</v>
      </c>
      <c r="AD342" s="753">
        <f t="shared" si="252"/>
        <v>122</v>
      </c>
      <c r="AE342" s="753">
        <f t="shared" si="253"/>
        <v>-8.3333333333333329E-2</v>
      </c>
      <c r="AF342" s="766">
        <f t="shared" si="261"/>
        <v>15803.234999999999</v>
      </c>
      <c r="AG342" s="753"/>
      <c r="AH342" s="753"/>
      <c r="AI342" s="753"/>
    </row>
    <row r="343" spans="1:35" ht="15.95" customHeight="1">
      <c r="B343" s="221" t="s">
        <v>767</v>
      </c>
      <c r="C343" s="55"/>
      <c r="L343" s="754">
        <f>SUM(L327:L342)</f>
        <v>853923.69999999984</v>
      </c>
      <c r="M343" s="753"/>
      <c r="N343" s="754">
        <f>SUM(N327:N342)</f>
        <v>736552.69999999984</v>
      </c>
      <c r="O343" s="754">
        <f>SUM(O327:O342)</f>
        <v>8541.8517261904763</v>
      </c>
      <c r="P343" s="754">
        <f>SUM(P327:P342)</f>
        <v>63426.052142857108</v>
      </c>
      <c r="Q343" s="754">
        <f>SUM(Q327:Q342)</f>
        <v>0</v>
      </c>
      <c r="R343" s="754">
        <f>SUM(R327:R342)</f>
        <v>63426.052142857108</v>
      </c>
      <c r="S343" s="765"/>
      <c r="T343" s="754">
        <f>SUM(T327:T342)</f>
        <v>63426.052142857108</v>
      </c>
      <c r="U343" s="754">
        <f>SUM(U327:U342)</f>
        <v>427164.74029761914</v>
      </c>
      <c r="V343" s="754">
        <f>SUM(V327:V342)</f>
        <v>427164.74029761914</v>
      </c>
      <c r="W343" s="765"/>
      <c r="X343" s="754">
        <f>SUM(X327:X342)</f>
        <v>427164.74029761914</v>
      </c>
      <c r="Y343" s="754">
        <f>SUM(Y327:Y342)</f>
        <v>490590.79244047613</v>
      </c>
      <c r="Z343" s="754">
        <f>SUM(Z327:Z342)</f>
        <v>363935.58863095235</v>
      </c>
      <c r="AA343" s="753"/>
      <c r="AB343" s="753"/>
      <c r="AC343" s="753"/>
      <c r="AD343" s="753"/>
      <c r="AE343" s="753"/>
      <c r="AF343" s="753">
        <f>SUM(AF327:AF342)</f>
        <v>31110.345000000001</v>
      </c>
      <c r="AG343" s="753"/>
      <c r="AH343" s="753"/>
      <c r="AI343" s="753"/>
    </row>
    <row r="344" spans="1:35">
      <c r="L344" s="765"/>
      <c r="T344" s="753"/>
      <c r="U344" s="753"/>
      <c r="V344" s="753"/>
      <c r="X344" s="753"/>
      <c r="Y344" s="753"/>
      <c r="Z344" s="753"/>
      <c r="AA344" s="753"/>
      <c r="AB344" s="753"/>
      <c r="AC344" s="753"/>
      <c r="AD344" s="753"/>
      <c r="AE344" s="753"/>
      <c r="AF344" s="753"/>
      <c r="AG344" s="753"/>
      <c r="AH344" s="753"/>
      <c r="AI344" s="753"/>
    </row>
    <row r="345" spans="1:35">
      <c r="L345" s="765"/>
      <c r="N345" s="754">
        <f>+L343-N343</f>
        <v>117371</v>
      </c>
      <c r="T345" s="753"/>
      <c r="U345" s="753"/>
      <c r="V345" s="753"/>
      <c r="X345" s="753"/>
      <c r="Y345" s="753"/>
      <c r="Z345" s="753"/>
      <c r="AA345" s="753"/>
      <c r="AB345" s="753"/>
      <c r="AC345" s="753"/>
      <c r="AD345" s="753"/>
      <c r="AE345" s="753"/>
      <c r="AF345" s="753"/>
      <c r="AG345" s="753"/>
      <c r="AH345" s="753"/>
      <c r="AI345" s="753"/>
    </row>
    <row r="346" spans="1:35">
      <c r="B346" s="41" t="s">
        <v>1272</v>
      </c>
      <c r="L346" s="765"/>
      <c r="T346" s="753"/>
      <c r="U346" s="753"/>
      <c r="V346" s="753"/>
      <c r="X346" s="753"/>
      <c r="Y346" s="753"/>
      <c r="Z346" s="753"/>
      <c r="AA346" s="753"/>
      <c r="AB346" s="753"/>
      <c r="AC346" s="753"/>
      <c r="AD346" s="753"/>
      <c r="AE346" s="753"/>
      <c r="AF346" s="753"/>
      <c r="AG346" s="753"/>
      <c r="AH346" s="753"/>
      <c r="AI346" s="753"/>
    </row>
    <row r="347" spans="1:35">
      <c r="A347" s="767"/>
      <c r="B347" s="768" t="s">
        <v>349</v>
      </c>
      <c r="C347" s="41">
        <v>2015</v>
      </c>
      <c r="D347" s="41">
        <v>115</v>
      </c>
      <c r="E347" s="41">
        <v>10</v>
      </c>
      <c r="F347" s="763">
        <v>0.19997502674000001</v>
      </c>
      <c r="G347" s="756" t="s">
        <v>153</v>
      </c>
      <c r="H347" s="41">
        <v>7</v>
      </c>
      <c r="I347" s="41">
        <f t="shared" ref="I347:I350" si="262">D347+H347</f>
        <v>122</v>
      </c>
      <c r="L347" s="753">
        <v>63507.93</v>
      </c>
      <c r="M347" s="753">
        <v>0</v>
      </c>
      <c r="N347" s="753">
        <f t="shared" ref="N347:N350" si="263">L347-(+L347*F347)</f>
        <v>50807.930000047956</v>
      </c>
      <c r="O347" s="753">
        <f t="shared" ref="O347:O350" si="264">N347/H347/12</f>
        <v>604.85630952438044</v>
      </c>
      <c r="P347" s="753">
        <f>IF(Q347&gt;0,0,IF(OR(AA347&gt;AB347,AC347&lt;AD347),0,IF(AND(AC347&gt;=AD347,AC347&lt;=AB347),O347*((AC347-AD347)*12),IF(AND(AD347&lt;=AA347,AB347&gt;=AA347),((AB347-AA347)*12)*O347,IF(AC347&gt;AB347,12*O347,0)))))</f>
        <v>5443.7067857194243</v>
      </c>
      <c r="Q347" s="753">
        <f>IF(M347=0,0,IF(AND(AE347&gt;=AD347,AE347&lt;=AC347),((AE347-AD347)*12)*O347,0))</f>
        <v>0</v>
      </c>
      <c r="R347" s="753">
        <f t="shared" ref="R347:R350" si="265">IF(Q347&gt;0,Q347,P347)</f>
        <v>5443.7067857194243</v>
      </c>
      <c r="S347" s="764">
        <f>+'WP-11 - Non-Regulated'!$N$57</f>
        <v>0.87226151155039422</v>
      </c>
      <c r="T347" s="753">
        <f t="shared" ref="T347:T348" si="266">S347*SUM(P347:Q347)</f>
        <v>4748.3359093487634</v>
      </c>
      <c r="U347" s="753">
        <f>IF(AA347&gt;AB347,0,IF(AC347&lt;AD347,N347,IF(AND(AC347&gt;=AD347,AC347&lt;=AB347),(N347-R347),IF(AND(AD347&lt;=AA347,AB347&gt;=AA347),0,IF(AC347&gt;AB347,((AD347-AA347)*12)*O347,0)))))</f>
        <v>45364.223214328529</v>
      </c>
      <c r="V347" s="753">
        <f t="shared" ref="V347:V348" si="267">U347*S347</f>
        <v>39569.465911239684</v>
      </c>
      <c r="W347" s="764">
        <v>1</v>
      </c>
      <c r="X347" s="753">
        <f t="shared" ref="X347:X348" si="268">V347*W347</f>
        <v>39569.465911239684</v>
      </c>
      <c r="Y347" s="753">
        <f t="shared" ref="Y347:Y348" si="269">IF(M347&gt;0,0,X347+T347*W347)*W347</f>
        <v>44317.801820588444</v>
      </c>
      <c r="Z347" s="753">
        <f>IF(M347&gt;0,(L347-X347)/2,IF(AA347&gt;=AD347,(((L347*S347)*W347)-Y347)/2,((((L347*S347)*W347)-X347)+(((L347*S347)*W347)-Y347))/2))</f>
        <v>13451.889151322564</v>
      </c>
      <c r="AA347" s="753">
        <f t="shared" ref="AA347:AA350" si="270">$D347+(($E347-1)/12)</f>
        <v>115.75</v>
      </c>
      <c r="AB347" s="753">
        <f t="shared" ref="AB347:AB348" si="271">($B$10+1)-($B$7/12)</f>
        <v>123</v>
      </c>
      <c r="AC347" s="753">
        <f t="shared" ref="AC347:AC350" si="272">$I347+(($E347-1)/12)</f>
        <v>122.75</v>
      </c>
      <c r="AD347" s="753">
        <f t="shared" ref="AD347:AD348" si="273">$B$9+($B$8/12)</f>
        <v>122</v>
      </c>
      <c r="AE347" s="753">
        <f t="shared" ref="AE347:AE348" si="274">$J347+(($K347-1)/12)</f>
        <v>-8.3333333333333329E-2</v>
      </c>
      <c r="AF347" s="753">
        <f>L347-((X347+Y347)/2)-Z347</f>
        <v>8112.4069827633757</v>
      </c>
      <c r="AG347" s="753"/>
      <c r="AH347" s="753"/>
      <c r="AI347" s="753"/>
    </row>
    <row r="348" spans="1:35">
      <c r="A348" s="767"/>
      <c r="B348" s="768" t="s">
        <v>702</v>
      </c>
      <c r="C348" s="41">
        <v>2017</v>
      </c>
      <c r="D348" s="41">
        <v>117</v>
      </c>
      <c r="E348" s="41">
        <v>1</v>
      </c>
      <c r="F348" s="763">
        <f>64300/321581.4</f>
        <v>0.19994937518152478</v>
      </c>
      <c r="G348" s="756" t="s">
        <v>153</v>
      </c>
      <c r="H348" s="41">
        <v>7</v>
      </c>
      <c r="I348" s="41">
        <f t="shared" si="262"/>
        <v>124</v>
      </c>
      <c r="L348" s="775">
        <v>321581.40000000002</v>
      </c>
      <c r="M348" s="753">
        <v>0</v>
      </c>
      <c r="N348" s="753">
        <f t="shared" si="263"/>
        <v>257281.40000000002</v>
      </c>
      <c r="O348" s="753">
        <f t="shared" si="264"/>
        <v>3062.8738095238095</v>
      </c>
      <c r="P348" s="753">
        <f>IF(Q348&gt;0,0,IF(OR(AA348&gt;AB348,AC348&lt;AD348),0,IF(AND(AC348&gt;=AD348,AC348&lt;=AB348),O348*((AC348-AD348)*12),IF(AND(AD348&lt;=AA348,AB348&gt;=AA348),((AB348-AA348)*12)*O348,IF(AC348&gt;AB348,12*O348,0)))))</f>
        <v>36754.485714285714</v>
      </c>
      <c r="Q348" s="753">
        <f>IF(M348=0,0,IF(AND(AE348&gt;=AD348,AE348&lt;=AC348),((AE348-AD348)*12)*O348,0))</f>
        <v>0</v>
      </c>
      <c r="R348" s="753">
        <f t="shared" si="265"/>
        <v>36754.485714285714</v>
      </c>
      <c r="S348" s="764">
        <f>+'WP-11 - Non-Regulated'!$N$57</f>
        <v>0.87226151155039422</v>
      </c>
      <c r="T348" s="753">
        <f t="shared" si="266"/>
        <v>32059.523265400228</v>
      </c>
      <c r="U348" s="753">
        <f>IF(AA348&gt;AB348,0,IF(AC348&lt;AD348,N348,IF(AND(AC348&gt;=AD348,AC348&lt;=AB348),(N348-R348),IF(AND(AD348&lt;=AA348,AB348&gt;=AA348),0,IF(AC348&gt;AB348,((AD348-AA348)*12)*O348,0)))))</f>
        <v>183772.42857142858</v>
      </c>
      <c r="V348" s="753">
        <f t="shared" si="267"/>
        <v>160297.61632700116</v>
      </c>
      <c r="W348" s="764">
        <v>1</v>
      </c>
      <c r="X348" s="753">
        <f t="shared" si="268"/>
        <v>160297.61632700116</v>
      </c>
      <c r="Y348" s="753">
        <f t="shared" si="269"/>
        <v>192357.13959240139</v>
      </c>
      <c r="Z348" s="753">
        <f>IF(M348&gt;0,(L348-X348)/2,IF(AA348&gt;=AD348,(((L348*S348)*W348)-Y348)/2,((((L348*S348)*W348)-X348)+(((L348*S348)*W348)-Y348))/2))</f>
        <v>104175.70009079071</v>
      </c>
      <c r="AA348" s="753">
        <f t="shared" si="270"/>
        <v>117</v>
      </c>
      <c r="AB348" s="753">
        <f t="shared" si="271"/>
        <v>123</v>
      </c>
      <c r="AC348" s="753">
        <f t="shared" si="272"/>
        <v>124</v>
      </c>
      <c r="AD348" s="753">
        <f t="shared" si="273"/>
        <v>122</v>
      </c>
      <c r="AE348" s="753">
        <f t="shared" si="274"/>
        <v>-8.3333333333333329E-2</v>
      </c>
      <c r="AF348" s="753">
        <f>L348-((X348+Y348)/2)-Z348</f>
        <v>41078.321949508027</v>
      </c>
      <c r="AG348" s="753"/>
      <c r="AH348" s="753"/>
      <c r="AI348" s="753"/>
    </row>
    <row r="349" spans="1:35">
      <c r="B349" s="768" t="s">
        <v>783</v>
      </c>
      <c r="C349" s="41">
        <v>2016</v>
      </c>
      <c r="D349" s="41">
        <v>116</v>
      </c>
      <c r="E349" s="41">
        <v>7</v>
      </c>
      <c r="F349" s="763">
        <f>12369/L349</f>
        <v>0.33333027913075963</v>
      </c>
      <c r="G349" s="756" t="s">
        <v>153</v>
      </c>
      <c r="H349" s="41">
        <v>5</v>
      </c>
      <c r="I349" s="41">
        <f t="shared" si="262"/>
        <v>121</v>
      </c>
      <c r="L349" s="753">
        <v>37107.339999999997</v>
      </c>
      <c r="M349" s="753">
        <v>0</v>
      </c>
      <c r="N349" s="753">
        <f t="shared" si="263"/>
        <v>24738.339999999997</v>
      </c>
      <c r="O349" s="753">
        <f t="shared" si="264"/>
        <v>412.30566666666664</v>
      </c>
      <c r="P349" s="753">
        <f>IF(Q349&gt;0,0,IF(OR(AA349&gt;AB349,AC349&lt;AD349),0,IF(AND(AC349&gt;=AD349,AC349&lt;=AB349),O349*((AC349-AD349)*12),IF(AND(AD349&lt;=AA349,AB349&gt;=AA349),((AB349-AA349)*12)*O349,IF(AC349&gt;AB349,12*O349,0)))))</f>
        <v>0</v>
      </c>
      <c r="Q349" s="753">
        <f>IF(M349=0,0,IF(AND(AE349&gt;=AD349,AE349&lt;=AC349),((AE349-AD349)*12)*O349,0))</f>
        <v>0</v>
      </c>
      <c r="R349" s="753">
        <f t="shared" si="265"/>
        <v>0</v>
      </c>
      <c r="S349" s="764">
        <f>+'WP-11 - Non-Regulated'!$N$57</f>
        <v>0.87226151155039422</v>
      </c>
      <c r="T349" s="753">
        <f>S349*SUM(P349:Q349)</f>
        <v>0</v>
      </c>
      <c r="U349" s="753">
        <f>IF(AA349&gt;AB349,0,IF(AC349&lt;AD349,N349,IF(AND(AC349&gt;=AD349,AC349&lt;=AB349),(N349-R349),IF(AND(AD349&lt;=AA349,AB349&gt;=AA349),0,IF(AC349&gt;AB349,((AD349-AA349)*12)*O349,0)))))</f>
        <v>24738.339999999997</v>
      </c>
      <c r="V349" s="753">
        <f>U349*S349</f>
        <v>21578.301841647575</v>
      </c>
      <c r="W349" s="764">
        <v>1</v>
      </c>
      <c r="X349" s="753">
        <f>V349*W349</f>
        <v>21578.301841647575</v>
      </c>
      <c r="Y349" s="753">
        <f>IF(M349&gt;0,0,X349+T349*W349)*W349</f>
        <v>21578.301841647575</v>
      </c>
      <c r="Z349" s="753">
        <f>IF(M349&gt;0,(L349-X349)/2,IF(AA349&gt;=AD349,(((L349*S349)*W349)-Y349)/2,((((L349*S349)*W349)-X349)+(((L349*S349)*W349)-Y349))/2))</f>
        <v>10789.002636366826</v>
      </c>
      <c r="AA349" s="753">
        <f t="shared" si="270"/>
        <v>116.5</v>
      </c>
      <c r="AB349" s="753">
        <f>($B$10+1)-($B$7/12)</f>
        <v>123</v>
      </c>
      <c r="AC349" s="753">
        <f t="shared" si="272"/>
        <v>121.5</v>
      </c>
      <c r="AD349" s="753">
        <f>$B$9+($B$8/12)</f>
        <v>122</v>
      </c>
      <c r="AE349" s="753">
        <f>$J349+(($K349-1)/12)</f>
        <v>-8.3333333333333329E-2</v>
      </c>
      <c r="AF349" s="753">
        <f>L349-((X349+Y349)/2)-Z349</f>
        <v>4740.0355219855956</v>
      </c>
      <c r="AG349" s="753"/>
      <c r="AH349" s="753"/>
      <c r="AI349" s="753"/>
    </row>
    <row r="350" spans="1:35">
      <c r="B350" s="768" t="s">
        <v>784</v>
      </c>
      <c r="C350" s="41">
        <v>2016</v>
      </c>
      <c r="D350" s="41">
        <v>116</v>
      </c>
      <c r="E350" s="41">
        <v>9</v>
      </c>
      <c r="F350" s="763">
        <f>31581/L350</f>
        <v>0.19999602300426056</v>
      </c>
      <c r="G350" s="756" t="s">
        <v>153</v>
      </c>
      <c r="H350" s="41">
        <v>7</v>
      </c>
      <c r="I350" s="41">
        <f t="shared" si="262"/>
        <v>123</v>
      </c>
      <c r="L350" s="753">
        <v>157908.14000000001</v>
      </c>
      <c r="M350" s="753">
        <v>0</v>
      </c>
      <c r="N350" s="753">
        <f t="shared" si="263"/>
        <v>126327.14000000001</v>
      </c>
      <c r="O350" s="753">
        <f t="shared" si="264"/>
        <v>1503.8945238095239</v>
      </c>
      <c r="P350" s="753">
        <f>IF(Q350&gt;0,0,IF(OR(AA350&gt;AB350,AC350&lt;AD350),0,IF(AND(AC350&gt;=AD350,AC350&lt;=AB350),O350*((AC350-AD350)*12),IF(AND(AD350&lt;=AA350,AB350&gt;=AA350),((AB350-AA350)*12)*O350,IF(AC350&gt;AB350,12*O350,0)))))</f>
        <v>18046.734285714287</v>
      </c>
      <c r="Q350" s="753">
        <f>IF(M350=0,0,IF(AND(AE350&gt;=AD350,AE350&lt;=AC350),((AE350-AD350)*12)*O350,0))</f>
        <v>0</v>
      </c>
      <c r="R350" s="753">
        <f t="shared" si="265"/>
        <v>18046.734285714287</v>
      </c>
      <c r="S350" s="764">
        <f>+'WP-11 - Non-Regulated'!$N$57</f>
        <v>0.87226151155039422</v>
      </c>
      <c r="T350" s="753">
        <f>S350*SUM(P350:Q350)</f>
        <v>15741.471726605467</v>
      </c>
      <c r="U350" s="753">
        <f>IF(AA350&gt;AB350,0,IF(AC350&lt;AD350,N350,IF(AND(AC350&gt;=AD350,AC350&lt;=AB350),(N350-R350),IF(AND(AD350&lt;=AA350,AB350&gt;=AA350),0,IF(AC350&gt;AB350,((AD350-AA350)*12)*O350,0)))))</f>
        <v>96249.249523809442</v>
      </c>
      <c r="V350" s="753">
        <f>U350*S350</f>
        <v>83954.515875229088</v>
      </c>
      <c r="W350" s="764">
        <v>1</v>
      </c>
      <c r="X350" s="753">
        <f>V350*W350</f>
        <v>83954.515875229088</v>
      </c>
      <c r="Y350" s="753">
        <f>IF(M350&gt;0,0,X350+T350*W350)*W350</f>
        <v>99695.987601834553</v>
      </c>
      <c r="Z350" s="753">
        <f>IF(M350&gt;0,(L350-X350)/2,IF(AA350&gt;=AD350,(((L350*S350)*W350)-Y350)/2,((((L350*S350)*W350)-X350)+(((L350*S350)*W350)-Y350))/2))</f>
        <v>45911.941143979449</v>
      </c>
      <c r="AA350" s="753">
        <f t="shared" si="270"/>
        <v>116.66666666666667</v>
      </c>
      <c r="AB350" s="753">
        <f>($B$10+1)-($B$7/12)</f>
        <v>123</v>
      </c>
      <c r="AC350" s="753">
        <f t="shared" si="272"/>
        <v>123.66666666666667</v>
      </c>
      <c r="AD350" s="753">
        <f>$B$9+($B$8/12)</f>
        <v>122</v>
      </c>
      <c r="AE350" s="753">
        <f>$J350+(($K350-1)/12)</f>
        <v>-8.3333333333333329E-2</v>
      </c>
      <c r="AF350" s="753">
        <f>L350-((X350+Y350)/2)-Z350</f>
        <v>20170.947117488744</v>
      </c>
      <c r="AG350" s="753"/>
      <c r="AH350" s="753"/>
      <c r="AI350" s="753"/>
    </row>
    <row r="351" spans="1:35">
      <c r="L351" s="765">
        <f>SUM(L347:L350)</f>
        <v>580104.81000000006</v>
      </c>
      <c r="N351" s="753">
        <f>SUM(N347:N350)</f>
        <v>459154.81000004802</v>
      </c>
      <c r="T351" s="753"/>
      <c r="U351" s="753"/>
      <c r="V351" s="753"/>
      <c r="X351" s="753"/>
      <c r="Y351" s="753"/>
      <c r="Z351" s="753"/>
      <c r="AA351" s="753"/>
      <c r="AB351" s="753"/>
      <c r="AC351" s="753"/>
      <c r="AD351" s="753"/>
      <c r="AE351" s="753"/>
      <c r="AF351" s="753"/>
      <c r="AG351" s="753"/>
      <c r="AH351" s="753"/>
      <c r="AI351" s="753"/>
    </row>
    <row r="352" spans="1:35">
      <c r="B352" s="41" t="s">
        <v>1273</v>
      </c>
      <c r="L352" s="765"/>
      <c r="N352" s="753">
        <f>+L351-N351</f>
        <v>120949.99999995204</v>
      </c>
      <c r="T352" s="753"/>
      <c r="U352" s="753"/>
      <c r="V352" s="753"/>
      <c r="X352" s="753"/>
      <c r="Y352" s="753"/>
      <c r="Z352" s="753"/>
      <c r="AA352" s="753"/>
      <c r="AB352" s="753"/>
      <c r="AC352" s="753"/>
      <c r="AD352" s="753"/>
      <c r="AE352" s="753"/>
      <c r="AF352" s="753"/>
      <c r="AG352" s="753"/>
      <c r="AH352" s="753"/>
      <c r="AI352" s="753"/>
    </row>
    <row r="353" spans="2:35">
      <c r="B353" s="41" t="s">
        <v>1274</v>
      </c>
      <c r="L353" s="765"/>
      <c r="N353" s="328">
        <f>+N352/3</f>
        <v>40316.666666650679</v>
      </c>
      <c r="T353" s="753"/>
      <c r="U353" s="753"/>
      <c r="V353" s="753"/>
      <c r="X353" s="753"/>
      <c r="Y353" s="753"/>
      <c r="Z353" s="753"/>
      <c r="AA353" s="753"/>
      <c r="AB353" s="753"/>
      <c r="AC353" s="753"/>
      <c r="AD353" s="753"/>
      <c r="AE353" s="753"/>
      <c r="AF353" s="753"/>
      <c r="AG353" s="753"/>
      <c r="AH353" s="753"/>
      <c r="AI353" s="753"/>
    </row>
    <row r="354" spans="2:35">
      <c r="L354" s="765"/>
      <c r="T354" s="753"/>
      <c r="U354" s="753"/>
      <c r="V354" s="753"/>
      <c r="X354" s="753"/>
      <c r="Y354" s="753"/>
      <c r="Z354" s="753"/>
      <c r="AA354" s="753"/>
      <c r="AB354" s="753"/>
      <c r="AC354" s="753"/>
      <c r="AD354" s="753"/>
      <c r="AE354" s="753"/>
      <c r="AF354" s="753"/>
      <c r="AG354" s="753"/>
      <c r="AH354" s="753"/>
      <c r="AI354" s="753"/>
    </row>
    <row r="355" spans="2:35">
      <c r="L355" s="765"/>
      <c r="T355" s="753"/>
      <c r="U355" s="753"/>
      <c r="V355" s="753"/>
      <c r="X355" s="753"/>
      <c r="Y355" s="753"/>
      <c r="Z355" s="753"/>
      <c r="AA355" s="753"/>
      <c r="AB355" s="753"/>
      <c r="AC355" s="753"/>
      <c r="AD355" s="753"/>
      <c r="AE355" s="753"/>
      <c r="AF355" s="753"/>
      <c r="AG355" s="753"/>
      <c r="AH355" s="753"/>
      <c r="AI355" s="753"/>
    </row>
    <row r="356" spans="2:35">
      <c r="L356" s="765"/>
      <c r="T356" s="753"/>
      <c r="U356" s="753"/>
      <c r="V356" s="753"/>
      <c r="X356" s="753"/>
      <c r="Y356" s="753"/>
      <c r="Z356" s="753"/>
      <c r="AA356" s="753"/>
      <c r="AB356" s="753"/>
      <c r="AC356" s="753"/>
      <c r="AD356" s="753"/>
      <c r="AE356" s="753"/>
      <c r="AF356" s="753"/>
      <c r="AG356" s="753"/>
      <c r="AH356" s="753"/>
      <c r="AI356" s="753"/>
    </row>
    <row r="357" spans="2:35">
      <c r="L357" s="765"/>
      <c r="T357" s="753"/>
      <c r="U357" s="753"/>
      <c r="V357" s="753"/>
      <c r="X357" s="753"/>
      <c r="Y357" s="753"/>
      <c r="Z357" s="753"/>
      <c r="AA357" s="753"/>
      <c r="AB357" s="753"/>
      <c r="AC357" s="753"/>
      <c r="AD357" s="753"/>
      <c r="AE357" s="753"/>
      <c r="AF357" s="753"/>
      <c r="AG357" s="753"/>
      <c r="AH357" s="753"/>
      <c r="AI357" s="753"/>
    </row>
    <row r="358" spans="2:35">
      <c r="L358" s="765"/>
      <c r="T358" s="753"/>
      <c r="U358" s="753"/>
      <c r="V358" s="753"/>
      <c r="X358" s="753"/>
      <c r="Y358" s="753"/>
      <c r="Z358" s="753"/>
      <c r="AA358" s="753"/>
      <c r="AB358" s="753"/>
      <c r="AC358" s="753"/>
      <c r="AD358" s="753"/>
      <c r="AE358" s="753"/>
      <c r="AF358" s="753"/>
      <c r="AG358" s="753"/>
      <c r="AH358" s="753"/>
      <c r="AI358" s="753"/>
    </row>
    <row r="359" spans="2:35">
      <c r="L359" s="765"/>
      <c r="X359" s="753"/>
      <c r="Y359" s="753"/>
      <c r="Z359" s="753"/>
      <c r="AA359" s="753"/>
      <c r="AB359" s="753"/>
      <c r="AC359" s="753"/>
      <c r="AD359" s="753"/>
      <c r="AE359" s="753"/>
      <c r="AF359" s="753"/>
      <c r="AG359" s="753"/>
      <c r="AH359" s="753"/>
      <c r="AI359" s="753"/>
    </row>
    <row r="360" spans="2:35">
      <c r="L360" s="765"/>
      <c r="X360" s="753"/>
      <c r="Y360" s="753"/>
      <c r="Z360" s="753"/>
      <c r="AA360" s="753"/>
      <c r="AB360" s="753"/>
      <c r="AC360" s="753"/>
      <c r="AD360" s="753"/>
      <c r="AE360" s="753"/>
      <c r="AF360" s="753"/>
      <c r="AG360" s="753"/>
      <c r="AH360" s="753"/>
      <c r="AI360" s="753"/>
    </row>
    <row r="361" spans="2:35">
      <c r="L361" s="765"/>
      <c r="X361" s="753"/>
      <c r="Y361" s="753"/>
      <c r="Z361" s="753"/>
      <c r="AA361" s="753"/>
      <c r="AB361" s="753"/>
      <c r="AC361" s="753"/>
      <c r="AD361" s="753"/>
      <c r="AE361" s="753"/>
      <c r="AF361" s="753"/>
      <c r="AG361" s="753"/>
      <c r="AH361" s="753"/>
      <c r="AI361" s="753"/>
    </row>
    <row r="362" spans="2:35">
      <c r="L362" s="765"/>
      <c r="X362" s="753"/>
      <c r="Y362" s="753"/>
      <c r="Z362" s="753"/>
      <c r="AA362" s="753"/>
      <c r="AB362" s="753"/>
      <c r="AC362" s="753"/>
      <c r="AD362" s="753"/>
      <c r="AE362" s="753"/>
      <c r="AF362" s="753"/>
      <c r="AG362" s="753"/>
      <c r="AH362" s="753"/>
      <c r="AI362" s="753"/>
    </row>
    <row r="363" spans="2:35">
      <c r="L363" s="765"/>
      <c r="X363" s="753"/>
      <c r="Y363" s="753"/>
      <c r="Z363" s="753"/>
      <c r="AA363" s="753"/>
      <c r="AB363" s="753"/>
      <c r="AC363" s="753"/>
      <c r="AD363" s="753"/>
      <c r="AE363" s="753"/>
      <c r="AF363" s="753"/>
      <c r="AG363" s="753"/>
      <c r="AH363" s="753"/>
      <c r="AI363" s="753"/>
    </row>
    <row r="364" spans="2:35">
      <c r="L364" s="765"/>
      <c r="X364" s="753"/>
      <c r="Y364" s="753"/>
      <c r="Z364" s="753"/>
      <c r="AA364" s="753"/>
      <c r="AB364" s="753"/>
      <c r="AC364" s="753"/>
      <c r="AD364" s="753"/>
      <c r="AE364" s="753"/>
      <c r="AF364" s="753"/>
      <c r="AG364" s="753"/>
      <c r="AH364" s="753"/>
      <c r="AI364" s="753"/>
    </row>
    <row r="365" spans="2:35">
      <c r="L365" s="765"/>
      <c r="X365" s="753"/>
      <c r="Y365" s="753"/>
      <c r="Z365" s="753"/>
      <c r="AA365" s="753"/>
      <c r="AB365" s="753"/>
      <c r="AC365" s="753"/>
      <c r="AD365" s="753"/>
      <c r="AE365" s="753"/>
      <c r="AF365" s="753"/>
      <c r="AG365" s="753"/>
      <c r="AH365" s="753"/>
      <c r="AI365" s="753"/>
    </row>
    <row r="366" spans="2:35">
      <c r="L366" s="765"/>
      <c r="X366" s="753"/>
      <c r="Y366" s="753"/>
      <c r="Z366" s="753"/>
      <c r="AA366" s="753"/>
      <c r="AB366" s="753"/>
      <c r="AC366" s="753"/>
      <c r="AD366" s="753"/>
      <c r="AE366" s="753"/>
      <c r="AF366" s="753"/>
      <c r="AG366" s="753"/>
      <c r="AH366" s="753"/>
      <c r="AI366" s="753"/>
    </row>
    <row r="367" spans="2:35">
      <c r="L367" s="765"/>
      <c r="X367" s="753"/>
      <c r="Y367" s="753"/>
      <c r="Z367" s="753"/>
      <c r="AA367" s="753"/>
      <c r="AB367" s="753"/>
      <c r="AC367" s="753"/>
      <c r="AD367" s="753"/>
      <c r="AE367" s="753"/>
      <c r="AF367" s="753"/>
      <c r="AG367" s="753"/>
      <c r="AH367" s="753"/>
      <c r="AI367" s="753"/>
    </row>
    <row r="368" spans="2:35">
      <c r="L368" s="765"/>
      <c r="X368" s="753"/>
      <c r="Y368" s="753"/>
      <c r="Z368" s="753"/>
      <c r="AA368" s="753"/>
      <c r="AB368" s="753"/>
      <c r="AC368" s="753"/>
      <c r="AD368" s="753"/>
      <c r="AE368" s="753"/>
      <c r="AF368" s="753"/>
      <c r="AG368" s="753"/>
      <c r="AH368" s="753"/>
      <c r="AI368" s="753"/>
    </row>
    <row r="369" spans="12:35">
      <c r="L369" s="765"/>
      <c r="X369" s="753"/>
      <c r="Y369" s="753"/>
      <c r="Z369" s="753"/>
      <c r="AA369" s="753"/>
      <c r="AB369" s="753"/>
      <c r="AC369" s="753"/>
      <c r="AD369" s="753"/>
      <c r="AE369" s="753"/>
      <c r="AF369" s="753"/>
      <c r="AG369" s="753"/>
      <c r="AH369" s="753"/>
      <c r="AI369" s="753"/>
    </row>
    <row r="370" spans="12:35">
      <c r="L370" s="765"/>
      <c r="X370" s="753"/>
      <c r="Y370" s="753"/>
      <c r="Z370" s="753"/>
      <c r="AA370" s="753"/>
      <c r="AB370" s="753"/>
      <c r="AC370" s="753"/>
      <c r="AD370" s="753"/>
      <c r="AE370" s="753"/>
      <c r="AF370" s="753"/>
      <c r="AG370" s="753"/>
      <c r="AH370" s="753"/>
      <c r="AI370" s="753"/>
    </row>
    <row r="371" spans="12:35">
      <c r="L371" s="765"/>
      <c r="X371" s="753"/>
      <c r="Y371" s="753"/>
      <c r="Z371" s="753"/>
      <c r="AA371" s="753"/>
      <c r="AB371" s="753"/>
      <c r="AC371" s="753"/>
      <c r="AD371" s="753"/>
      <c r="AE371" s="753"/>
      <c r="AF371" s="753"/>
      <c r="AG371" s="753"/>
      <c r="AH371" s="753"/>
      <c r="AI371" s="753"/>
    </row>
    <row r="372" spans="12:35">
      <c r="L372" s="765"/>
      <c r="X372" s="753"/>
      <c r="Y372" s="753"/>
      <c r="Z372" s="753"/>
      <c r="AA372" s="753"/>
      <c r="AB372" s="753"/>
      <c r="AC372" s="753"/>
      <c r="AD372" s="753"/>
      <c r="AE372" s="753"/>
      <c r="AF372" s="753"/>
      <c r="AG372" s="753"/>
      <c r="AH372" s="753"/>
      <c r="AI372" s="753"/>
    </row>
    <row r="373" spans="12:35">
      <c r="L373" s="765"/>
      <c r="X373" s="753"/>
      <c r="Y373" s="753"/>
      <c r="Z373" s="753"/>
      <c r="AA373" s="753"/>
      <c r="AB373" s="753"/>
      <c r="AC373" s="753"/>
      <c r="AD373" s="753"/>
      <c r="AE373" s="753"/>
      <c r="AF373" s="753"/>
      <c r="AG373" s="753"/>
      <c r="AH373" s="753"/>
      <c r="AI373" s="753"/>
    </row>
    <row r="374" spans="12:35">
      <c r="L374" s="765"/>
      <c r="X374" s="753"/>
      <c r="Y374" s="753"/>
      <c r="Z374" s="753"/>
      <c r="AA374" s="753"/>
      <c r="AB374" s="753"/>
      <c r="AC374" s="753"/>
      <c r="AD374" s="753"/>
      <c r="AE374" s="753"/>
      <c r="AF374" s="753"/>
      <c r="AG374" s="753"/>
      <c r="AH374" s="753"/>
      <c r="AI374" s="753"/>
    </row>
    <row r="375" spans="12:35">
      <c r="L375" s="765"/>
      <c r="X375" s="753"/>
      <c r="Y375" s="753"/>
      <c r="Z375" s="753"/>
      <c r="AA375" s="753"/>
      <c r="AB375" s="753"/>
      <c r="AC375" s="753"/>
      <c r="AD375" s="753"/>
      <c r="AE375" s="753"/>
      <c r="AF375" s="753"/>
      <c r="AG375" s="753"/>
      <c r="AH375" s="753"/>
      <c r="AI375" s="753"/>
    </row>
    <row r="376" spans="12:35">
      <c r="L376" s="765"/>
      <c r="X376" s="753"/>
      <c r="Y376" s="753"/>
      <c r="Z376" s="753"/>
      <c r="AA376" s="753"/>
      <c r="AB376" s="753"/>
      <c r="AC376" s="753"/>
      <c r="AD376" s="753"/>
      <c r="AE376" s="753"/>
      <c r="AF376" s="753"/>
      <c r="AG376" s="753"/>
      <c r="AH376" s="753"/>
      <c r="AI376" s="753"/>
    </row>
    <row r="377" spans="12:35">
      <c r="L377" s="765"/>
      <c r="X377" s="753"/>
      <c r="Y377" s="753"/>
      <c r="Z377" s="753"/>
      <c r="AA377" s="753"/>
      <c r="AB377" s="753"/>
      <c r="AC377" s="753"/>
      <c r="AD377" s="753"/>
      <c r="AE377" s="753"/>
      <c r="AF377" s="753"/>
      <c r="AG377" s="753"/>
      <c r="AH377" s="753"/>
      <c r="AI377" s="753"/>
    </row>
    <row r="378" spans="12:35">
      <c r="L378" s="765"/>
      <c r="X378" s="753"/>
      <c r="Y378" s="753"/>
      <c r="Z378" s="753"/>
      <c r="AA378" s="753"/>
      <c r="AB378" s="753"/>
      <c r="AC378" s="753"/>
      <c r="AD378" s="753"/>
      <c r="AE378" s="753"/>
      <c r="AF378" s="753"/>
      <c r="AG378" s="753"/>
      <c r="AH378" s="753"/>
      <c r="AI378" s="753"/>
    </row>
    <row r="379" spans="12:35">
      <c r="X379" s="753"/>
      <c r="Y379" s="753"/>
      <c r="Z379" s="753"/>
      <c r="AA379" s="753"/>
      <c r="AB379" s="753"/>
      <c r="AC379" s="753"/>
      <c r="AD379" s="753"/>
      <c r="AE379" s="753"/>
      <c r="AF379" s="753"/>
      <c r="AG379" s="753"/>
      <c r="AH379" s="753"/>
      <c r="AI379" s="753"/>
    </row>
    <row r="380" spans="12:35">
      <c r="X380" s="753"/>
      <c r="Y380" s="753"/>
      <c r="Z380" s="753"/>
      <c r="AA380" s="753"/>
      <c r="AB380" s="753"/>
      <c r="AC380" s="753"/>
      <c r="AD380" s="753"/>
      <c r="AE380" s="753"/>
      <c r="AF380" s="753"/>
      <c r="AG380" s="753"/>
      <c r="AH380" s="753"/>
      <c r="AI380" s="753"/>
    </row>
    <row r="381" spans="12:35">
      <c r="X381" s="753"/>
      <c r="Y381" s="753"/>
      <c r="Z381" s="753"/>
      <c r="AA381" s="753"/>
      <c r="AB381" s="753"/>
      <c r="AC381" s="753"/>
      <c r="AD381" s="753"/>
      <c r="AE381" s="753"/>
      <c r="AF381" s="753"/>
      <c r="AG381" s="753"/>
      <c r="AH381" s="753"/>
      <c r="AI381" s="753"/>
    </row>
    <row r="382" spans="12:35">
      <c r="X382" s="753"/>
      <c r="Y382" s="753"/>
      <c r="Z382" s="753"/>
      <c r="AA382" s="753"/>
      <c r="AB382" s="753"/>
      <c r="AC382" s="753"/>
      <c r="AD382" s="753"/>
      <c r="AE382" s="753"/>
      <c r="AF382" s="753"/>
      <c r="AG382" s="753"/>
      <c r="AH382" s="753"/>
      <c r="AI382" s="753"/>
    </row>
    <row r="383" spans="12:35">
      <c r="X383" s="753"/>
      <c r="Y383" s="753"/>
      <c r="Z383" s="753"/>
      <c r="AA383" s="753"/>
      <c r="AB383" s="753"/>
      <c r="AC383" s="753"/>
      <c r="AD383" s="753"/>
      <c r="AE383" s="753"/>
      <c r="AF383" s="753"/>
      <c r="AG383" s="753"/>
      <c r="AH383" s="753"/>
      <c r="AI383" s="753"/>
    </row>
    <row r="384" spans="12:35">
      <c r="X384" s="753"/>
      <c r="Y384" s="753"/>
      <c r="Z384" s="753"/>
      <c r="AA384" s="753"/>
      <c r="AB384" s="753"/>
      <c r="AC384" s="753"/>
      <c r="AD384" s="753"/>
      <c r="AE384" s="753"/>
      <c r="AF384" s="753"/>
      <c r="AG384" s="753"/>
      <c r="AH384" s="753"/>
      <c r="AI384" s="753"/>
    </row>
    <row r="385" spans="24:35">
      <c r="X385" s="753"/>
      <c r="Y385" s="753"/>
      <c r="Z385" s="753"/>
      <c r="AA385" s="753"/>
      <c r="AB385" s="753"/>
      <c r="AC385" s="753"/>
      <c r="AD385" s="753"/>
      <c r="AE385" s="753"/>
      <c r="AF385" s="753"/>
      <c r="AG385" s="753"/>
      <c r="AH385" s="753"/>
      <c r="AI385" s="753"/>
    </row>
    <row r="386" spans="24:35">
      <c r="X386" s="753"/>
      <c r="Y386" s="753"/>
      <c r="Z386" s="753"/>
      <c r="AA386" s="753"/>
      <c r="AB386" s="753"/>
      <c r="AC386" s="753"/>
      <c r="AD386" s="753"/>
      <c r="AE386" s="753"/>
      <c r="AF386" s="753"/>
      <c r="AG386" s="753"/>
      <c r="AH386" s="753"/>
      <c r="AI386" s="753"/>
    </row>
    <row r="387" spans="24:35">
      <c r="X387" s="753"/>
      <c r="Y387" s="753"/>
      <c r="Z387" s="753"/>
      <c r="AA387" s="753"/>
      <c r="AB387" s="753"/>
      <c r="AC387" s="753"/>
      <c r="AD387" s="753"/>
      <c r="AE387" s="753"/>
      <c r="AF387" s="753"/>
      <c r="AG387" s="753"/>
      <c r="AH387" s="753"/>
      <c r="AI387" s="753"/>
    </row>
    <row r="388" spans="24:35">
      <c r="X388" s="753"/>
      <c r="Y388" s="753"/>
      <c r="Z388" s="753"/>
      <c r="AA388" s="753"/>
      <c r="AB388" s="753"/>
      <c r="AC388" s="753"/>
      <c r="AD388" s="753"/>
      <c r="AE388" s="753"/>
      <c r="AF388" s="753"/>
      <c r="AG388" s="753"/>
      <c r="AH388" s="753"/>
      <c r="AI388" s="753"/>
    </row>
    <row r="389" spans="24:35">
      <c r="X389" s="753"/>
      <c r="Y389" s="753"/>
      <c r="Z389" s="753"/>
      <c r="AA389" s="753"/>
      <c r="AB389" s="753"/>
      <c r="AC389" s="753"/>
      <c r="AD389" s="753"/>
      <c r="AE389" s="753"/>
      <c r="AF389" s="753"/>
      <c r="AG389" s="753"/>
      <c r="AH389" s="753"/>
      <c r="AI389" s="753"/>
    </row>
    <row r="390" spans="24:35">
      <c r="X390" s="753"/>
      <c r="Y390" s="753"/>
      <c r="Z390" s="753"/>
      <c r="AA390" s="753"/>
      <c r="AB390" s="753"/>
      <c r="AC390" s="753"/>
      <c r="AD390" s="753"/>
      <c r="AE390" s="753"/>
      <c r="AF390" s="753"/>
      <c r="AG390" s="753"/>
      <c r="AH390" s="753"/>
      <c r="AI390" s="753"/>
    </row>
    <row r="391" spans="24:35">
      <c r="X391" s="753"/>
      <c r="Y391" s="753"/>
      <c r="Z391" s="753"/>
      <c r="AA391" s="753"/>
      <c r="AB391" s="753"/>
      <c r="AC391" s="753"/>
      <c r="AD391" s="753"/>
      <c r="AE391" s="753"/>
      <c r="AF391" s="753"/>
      <c r="AG391" s="753"/>
      <c r="AH391" s="753"/>
      <c r="AI391" s="753"/>
    </row>
    <row r="392" spans="24:35">
      <c r="X392" s="753"/>
      <c r="Y392" s="753"/>
      <c r="Z392" s="753"/>
      <c r="AA392" s="753"/>
      <c r="AB392" s="753"/>
      <c r="AC392" s="753"/>
      <c r="AD392" s="753"/>
      <c r="AE392" s="753"/>
      <c r="AF392" s="753"/>
      <c r="AG392" s="753"/>
      <c r="AH392" s="753"/>
      <c r="AI392" s="753"/>
    </row>
    <row r="393" spans="24:35">
      <c r="X393" s="753"/>
      <c r="Y393" s="753"/>
      <c r="Z393" s="753"/>
      <c r="AA393" s="753"/>
      <c r="AB393" s="753"/>
      <c r="AC393" s="753"/>
      <c r="AD393" s="753"/>
      <c r="AE393" s="753"/>
      <c r="AF393" s="753"/>
      <c r="AG393" s="753"/>
      <c r="AH393" s="753"/>
      <c r="AI393" s="753"/>
    </row>
    <row r="394" spans="24:35">
      <c r="X394" s="753"/>
      <c r="Y394" s="753"/>
      <c r="Z394" s="753"/>
      <c r="AA394" s="753"/>
      <c r="AB394" s="753"/>
      <c r="AC394" s="753"/>
      <c r="AD394" s="753"/>
      <c r="AE394" s="753"/>
      <c r="AF394" s="753"/>
      <c r="AG394" s="753"/>
      <c r="AH394" s="753"/>
      <c r="AI394" s="753"/>
    </row>
    <row r="395" spans="24:35">
      <c r="X395" s="753"/>
      <c r="Y395" s="753"/>
      <c r="Z395" s="753"/>
      <c r="AA395" s="753"/>
      <c r="AB395" s="753"/>
      <c r="AC395" s="753"/>
      <c r="AD395" s="753"/>
      <c r="AE395" s="753"/>
      <c r="AF395" s="753"/>
      <c r="AG395" s="753"/>
      <c r="AH395" s="753"/>
      <c r="AI395" s="753"/>
    </row>
    <row r="396" spans="24:35">
      <c r="X396" s="753"/>
      <c r="Y396" s="753"/>
      <c r="Z396" s="753"/>
      <c r="AA396" s="753"/>
      <c r="AB396" s="753"/>
      <c r="AC396" s="753"/>
      <c r="AD396" s="753"/>
      <c r="AE396" s="753"/>
      <c r="AF396" s="753"/>
      <c r="AG396" s="753"/>
      <c r="AH396" s="753"/>
      <c r="AI396" s="753"/>
    </row>
    <row r="397" spans="24:35">
      <c r="X397" s="753"/>
      <c r="Y397" s="753"/>
      <c r="Z397" s="753"/>
      <c r="AA397" s="753"/>
      <c r="AB397" s="753"/>
      <c r="AC397" s="753"/>
      <c r="AD397" s="753"/>
      <c r="AE397" s="753"/>
      <c r="AF397" s="753"/>
      <c r="AG397" s="753"/>
      <c r="AH397" s="753"/>
      <c r="AI397" s="753"/>
    </row>
    <row r="398" spans="24:35">
      <c r="X398" s="753"/>
      <c r="Y398" s="753"/>
      <c r="Z398" s="753"/>
      <c r="AA398" s="753"/>
      <c r="AB398" s="753"/>
      <c r="AC398" s="753"/>
      <c r="AD398" s="753"/>
      <c r="AE398" s="753"/>
      <c r="AF398" s="753"/>
      <c r="AG398" s="753"/>
      <c r="AH398" s="753"/>
      <c r="AI398" s="753"/>
    </row>
    <row r="399" spans="24:35">
      <c r="X399" s="753"/>
      <c r="Y399" s="753"/>
      <c r="Z399" s="753"/>
      <c r="AA399" s="753"/>
      <c r="AB399" s="753"/>
      <c r="AC399" s="753"/>
      <c r="AD399" s="753"/>
      <c r="AE399" s="753"/>
      <c r="AF399" s="753"/>
      <c r="AG399" s="753"/>
      <c r="AH399" s="753"/>
      <c r="AI399" s="753"/>
    </row>
    <row r="400" spans="24:35">
      <c r="X400" s="753"/>
      <c r="Y400" s="753"/>
      <c r="Z400" s="753"/>
      <c r="AA400" s="753"/>
      <c r="AB400" s="753"/>
      <c r="AC400" s="753"/>
      <c r="AD400" s="753"/>
      <c r="AE400" s="753"/>
      <c r="AF400" s="753"/>
      <c r="AG400" s="753"/>
      <c r="AH400" s="753"/>
      <c r="AI400" s="753"/>
    </row>
    <row r="401" spans="24:35">
      <c r="X401" s="753"/>
      <c r="Y401" s="753"/>
      <c r="Z401" s="753"/>
      <c r="AA401" s="753"/>
      <c r="AB401" s="753"/>
      <c r="AC401" s="753"/>
      <c r="AD401" s="753"/>
      <c r="AE401" s="753"/>
      <c r="AF401" s="753"/>
      <c r="AG401" s="753"/>
      <c r="AH401" s="753"/>
      <c r="AI401" s="753"/>
    </row>
    <row r="402" spans="24:35">
      <c r="X402" s="753"/>
      <c r="Y402" s="753"/>
      <c r="Z402" s="753"/>
      <c r="AA402" s="753"/>
      <c r="AB402" s="753"/>
      <c r="AC402" s="753"/>
      <c r="AD402" s="753"/>
      <c r="AE402" s="753"/>
      <c r="AF402" s="753"/>
      <c r="AG402" s="753"/>
      <c r="AH402" s="753"/>
      <c r="AI402" s="753"/>
    </row>
    <row r="403" spans="24:35">
      <c r="X403" s="753"/>
      <c r="Y403" s="753"/>
      <c r="Z403" s="753"/>
      <c r="AA403" s="753"/>
      <c r="AB403" s="753"/>
      <c r="AC403" s="753"/>
      <c r="AD403" s="753"/>
      <c r="AE403" s="753"/>
      <c r="AF403" s="753"/>
      <c r="AG403" s="753"/>
      <c r="AH403" s="753"/>
      <c r="AI403" s="753"/>
    </row>
    <row r="404" spans="24:35">
      <c r="X404" s="753"/>
      <c r="Y404" s="753"/>
      <c r="Z404" s="753"/>
      <c r="AA404" s="753"/>
      <c r="AB404" s="753"/>
      <c r="AC404" s="753"/>
      <c r="AD404" s="753"/>
      <c r="AE404" s="753"/>
      <c r="AF404" s="753"/>
      <c r="AG404" s="753"/>
      <c r="AH404" s="753"/>
      <c r="AI404" s="753"/>
    </row>
    <row r="405" spans="24:35">
      <c r="X405" s="753"/>
      <c r="Y405" s="753"/>
      <c r="Z405" s="753"/>
      <c r="AA405" s="753"/>
      <c r="AB405" s="753"/>
      <c r="AC405" s="753"/>
      <c r="AD405" s="753"/>
      <c r="AE405" s="753"/>
      <c r="AF405" s="753"/>
      <c r="AG405" s="753"/>
      <c r="AH405" s="753"/>
      <c r="AI405" s="753"/>
    </row>
    <row r="406" spans="24:35">
      <c r="X406" s="753"/>
      <c r="Y406" s="753"/>
      <c r="Z406" s="753"/>
      <c r="AA406" s="753"/>
      <c r="AB406" s="753"/>
      <c r="AC406" s="753"/>
      <c r="AD406" s="753"/>
      <c r="AE406" s="753"/>
      <c r="AF406" s="753"/>
      <c r="AG406" s="753"/>
      <c r="AH406" s="753"/>
      <c r="AI406" s="753"/>
    </row>
    <row r="407" spans="24:35">
      <c r="X407" s="753"/>
      <c r="Y407" s="753"/>
      <c r="Z407" s="753"/>
      <c r="AA407" s="753"/>
      <c r="AB407" s="753"/>
      <c r="AC407" s="753"/>
      <c r="AD407" s="753"/>
      <c r="AE407" s="753"/>
      <c r="AF407" s="753"/>
      <c r="AG407" s="753"/>
      <c r="AH407" s="753"/>
      <c r="AI407" s="753"/>
    </row>
    <row r="408" spans="24:35">
      <c r="X408" s="753"/>
      <c r="Y408" s="753"/>
      <c r="Z408" s="753"/>
      <c r="AA408" s="753"/>
      <c r="AB408" s="753"/>
      <c r="AC408" s="753"/>
      <c r="AD408" s="753"/>
      <c r="AE408" s="753"/>
      <c r="AF408" s="753"/>
      <c r="AG408" s="753"/>
      <c r="AH408" s="753"/>
      <c r="AI408" s="753"/>
    </row>
    <row r="409" spans="24:35">
      <c r="X409" s="753"/>
      <c r="Y409" s="753"/>
      <c r="Z409" s="753"/>
      <c r="AA409" s="753"/>
      <c r="AB409" s="753"/>
      <c r="AC409" s="753"/>
      <c r="AD409" s="753"/>
      <c r="AE409" s="753"/>
      <c r="AF409" s="753"/>
      <c r="AG409" s="753"/>
      <c r="AH409" s="753"/>
      <c r="AI409" s="753"/>
    </row>
    <row r="410" spans="24:35">
      <c r="X410" s="753"/>
      <c r="Y410" s="753"/>
      <c r="Z410" s="753"/>
      <c r="AA410" s="753"/>
      <c r="AB410" s="753"/>
      <c r="AC410" s="753"/>
      <c r="AD410" s="753"/>
      <c r="AE410" s="753"/>
      <c r="AF410" s="753"/>
      <c r="AG410" s="753"/>
      <c r="AH410" s="753"/>
      <c r="AI410" s="753"/>
    </row>
    <row r="411" spans="24:35">
      <c r="X411" s="753"/>
      <c r="Y411" s="753"/>
      <c r="Z411" s="753"/>
      <c r="AA411" s="753"/>
      <c r="AB411" s="753"/>
      <c r="AC411" s="753"/>
      <c r="AD411" s="753"/>
      <c r="AE411" s="753"/>
      <c r="AF411" s="753"/>
      <c r="AG411" s="753"/>
      <c r="AH411" s="753"/>
      <c r="AI411" s="753"/>
    </row>
    <row r="412" spans="24:35">
      <c r="X412" s="753"/>
      <c r="Y412" s="753"/>
      <c r="Z412" s="753"/>
      <c r="AA412" s="753"/>
      <c r="AB412" s="753"/>
      <c r="AC412" s="753"/>
      <c r="AD412" s="753"/>
      <c r="AE412" s="753"/>
      <c r="AF412" s="753"/>
      <c r="AG412" s="753"/>
      <c r="AH412" s="753"/>
      <c r="AI412" s="753"/>
    </row>
    <row r="413" spans="24:35">
      <c r="X413" s="753"/>
      <c r="Y413" s="753"/>
      <c r="Z413" s="753"/>
      <c r="AA413" s="753"/>
      <c r="AB413" s="753"/>
      <c r="AC413" s="753"/>
      <c r="AD413" s="753"/>
      <c r="AE413" s="753"/>
      <c r="AF413" s="753"/>
      <c r="AG413" s="753"/>
      <c r="AH413" s="753"/>
      <c r="AI413" s="753"/>
    </row>
    <row r="414" spans="24:35">
      <c r="X414" s="753"/>
      <c r="Y414" s="753"/>
      <c r="Z414" s="753"/>
      <c r="AA414" s="753"/>
      <c r="AB414" s="753"/>
      <c r="AC414" s="753"/>
      <c r="AD414" s="753"/>
      <c r="AE414" s="753"/>
      <c r="AF414" s="753"/>
      <c r="AG414" s="753"/>
      <c r="AH414" s="753"/>
      <c r="AI414" s="753"/>
    </row>
    <row r="415" spans="24:35">
      <c r="X415" s="753"/>
      <c r="Y415" s="753"/>
      <c r="Z415" s="753"/>
      <c r="AA415" s="753"/>
      <c r="AB415" s="753"/>
      <c r="AC415" s="753"/>
      <c r="AD415" s="753"/>
      <c r="AE415" s="753"/>
      <c r="AF415" s="753"/>
      <c r="AG415" s="753"/>
      <c r="AH415" s="753"/>
      <c r="AI415" s="753"/>
    </row>
    <row r="416" spans="24:35">
      <c r="X416" s="753"/>
      <c r="Y416" s="753"/>
      <c r="Z416" s="753"/>
      <c r="AA416" s="753"/>
      <c r="AB416" s="753"/>
      <c r="AC416" s="753"/>
      <c r="AD416" s="753"/>
      <c r="AE416" s="753"/>
      <c r="AF416" s="753"/>
      <c r="AG416" s="753"/>
      <c r="AH416" s="753"/>
      <c r="AI416" s="753"/>
    </row>
    <row r="417" spans="24:35">
      <c r="X417" s="753"/>
      <c r="Y417" s="753"/>
      <c r="Z417" s="753"/>
      <c r="AA417" s="753"/>
      <c r="AB417" s="753"/>
      <c r="AC417" s="753"/>
      <c r="AD417" s="753"/>
      <c r="AE417" s="753"/>
      <c r="AF417" s="753"/>
      <c r="AG417" s="753"/>
      <c r="AH417" s="753"/>
      <c r="AI417" s="753"/>
    </row>
    <row r="418" spans="24:35">
      <c r="X418" s="753"/>
      <c r="Y418" s="753"/>
      <c r="Z418" s="753"/>
      <c r="AA418" s="753"/>
      <c r="AB418" s="753"/>
      <c r="AC418" s="753"/>
      <c r="AD418" s="753"/>
      <c r="AE418" s="753"/>
      <c r="AF418" s="753"/>
      <c r="AG418" s="753"/>
      <c r="AH418" s="753"/>
      <c r="AI418" s="753"/>
    </row>
    <row r="419" spans="24:35">
      <c r="X419" s="753"/>
      <c r="Y419" s="753"/>
      <c r="Z419" s="753"/>
      <c r="AA419" s="753"/>
      <c r="AB419" s="753"/>
      <c r="AC419" s="753"/>
      <c r="AD419" s="753"/>
      <c r="AE419" s="753"/>
      <c r="AF419" s="753"/>
      <c r="AG419" s="753"/>
      <c r="AH419" s="753"/>
      <c r="AI419" s="753"/>
    </row>
    <row r="420" spans="24:35">
      <c r="X420" s="753"/>
      <c r="Y420" s="753"/>
      <c r="Z420" s="753"/>
      <c r="AA420" s="753"/>
      <c r="AB420" s="753"/>
      <c r="AC420" s="753"/>
      <c r="AD420" s="753"/>
      <c r="AE420" s="753"/>
      <c r="AF420" s="753"/>
      <c r="AG420" s="753"/>
      <c r="AH420" s="753"/>
      <c r="AI420" s="753"/>
    </row>
    <row r="421" spans="24:35">
      <c r="X421" s="753"/>
      <c r="Y421" s="753"/>
      <c r="Z421" s="753"/>
      <c r="AA421" s="753"/>
      <c r="AB421" s="753"/>
      <c r="AC421" s="753"/>
      <c r="AD421" s="753"/>
      <c r="AE421" s="753"/>
      <c r="AF421" s="753"/>
      <c r="AG421" s="753"/>
      <c r="AH421" s="753"/>
      <c r="AI421" s="753"/>
    </row>
    <row r="422" spans="24:35">
      <c r="X422" s="753"/>
      <c r="Y422" s="753"/>
      <c r="Z422" s="753"/>
      <c r="AA422" s="753"/>
      <c r="AB422" s="753"/>
      <c r="AC422" s="753"/>
      <c r="AD422" s="753"/>
      <c r="AE422" s="753"/>
      <c r="AF422" s="753"/>
      <c r="AG422" s="753"/>
      <c r="AH422" s="753"/>
      <c r="AI422" s="753"/>
    </row>
    <row r="423" spans="24:35">
      <c r="X423" s="753"/>
      <c r="Y423" s="753"/>
      <c r="Z423" s="753"/>
      <c r="AA423" s="753"/>
      <c r="AB423" s="753"/>
      <c r="AC423" s="753"/>
      <c r="AD423" s="753"/>
      <c r="AE423" s="753"/>
      <c r="AF423" s="753"/>
      <c r="AG423" s="753"/>
      <c r="AH423" s="753"/>
      <c r="AI423" s="753"/>
    </row>
    <row r="424" spans="24:35">
      <c r="X424" s="753"/>
      <c r="Y424" s="753"/>
      <c r="Z424" s="753"/>
      <c r="AA424" s="753"/>
      <c r="AB424" s="753"/>
      <c r="AC424" s="753"/>
      <c r="AD424" s="753"/>
      <c r="AE424" s="753"/>
      <c r="AF424" s="753"/>
      <c r="AG424" s="753"/>
      <c r="AH424" s="753"/>
      <c r="AI424" s="753"/>
    </row>
    <row r="425" spans="24:35">
      <c r="X425" s="753"/>
      <c r="Y425" s="753"/>
      <c r="Z425" s="753"/>
      <c r="AA425" s="753"/>
      <c r="AB425" s="753"/>
      <c r="AC425" s="753"/>
      <c r="AD425" s="753"/>
      <c r="AE425" s="753"/>
      <c r="AF425" s="753"/>
      <c r="AG425" s="753"/>
      <c r="AH425" s="753"/>
      <c r="AI425" s="753"/>
    </row>
    <row r="426" spans="24:35">
      <c r="X426" s="753"/>
      <c r="Y426" s="753"/>
      <c r="Z426" s="753"/>
      <c r="AA426" s="753"/>
      <c r="AB426" s="753"/>
      <c r="AC426" s="753"/>
      <c r="AD426" s="753"/>
      <c r="AE426" s="753"/>
      <c r="AF426" s="753"/>
      <c r="AG426" s="753"/>
      <c r="AH426" s="753"/>
      <c r="AI426" s="753"/>
    </row>
    <row r="427" spans="24:35">
      <c r="X427" s="753"/>
      <c r="Y427" s="753"/>
      <c r="Z427" s="753"/>
      <c r="AA427" s="753"/>
      <c r="AB427" s="753"/>
      <c r="AC427" s="753"/>
      <c r="AD427" s="753"/>
      <c r="AE427" s="753"/>
      <c r="AF427" s="753"/>
      <c r="AG427" s="753"/>
      <c r="AH427" s="753"/>
      <c r="AI427" s="753"/>
    </row>
    <row r="428" spans="24:35">
      <c r="X428" s="753"/>
      <c r="Y428" s="753"/>
      <c r="Z428" s="753"/>
      <c r="AA428" s="753"/>
      <c r="AB428" s="753"/>
      <c r="AC428" s="753"/>
      <c r="AD428" s="753"/>
      <c r="AE428" s="753"/>
      <c r="AF428" s="753"/>
      <c r="AG428" s="753"/>
      <c r="AH428" s="753"/>
      <c r="AI428" s="753"/>
    </row>
    <row r="429" spans="24:35">
      <c r="X429" s="753"/>
      <c r="Y429" s="753"/>
      <c r="Z429" s="753"/>
      <c r="AA429" s="753"/>
      <c r="AB429" s="753"/>
      <c r="AC429" s="753"/>
      <c r="AD429" s="753"/>
      <c r="AE429" s="753"/>
      <c r="AF429" s="753"/>
      <c r="AG429" s="753"/>
      <c r="AH429" s="753"/>
      <c r="AI429" s="753"/>
    </row>
    <row r="430" spans="24:35">
      <c r="X430" s="753"/>
      <c r="Y430" s="753"/>
      <c r="Z430" s="753"/>
      <c r="AA430" s="753"/>
      <c r="AB430" s="753"/>
      <c r="AC430" s="753"/>
      <c r="AD430" s="753"/>
      <c r="AE430" s="753"/>
      <c r="AF430" s="753"/>
      <c r="AG430" s="753"/>
      <c r="AH430" s="753"/>
      <c r="AI430" s="753"/>
    </row>
    <row r="431" spans="24:35">
      <c r="X431" s="753"/>
      <c r="Y431" s="753"/>
      <c r="Z431" s="753"/>
      <c r="AA431" s="753"/>
      <c r="AB431" s="753"/>
      <c r="AC431" s="753"/>
      <c r="AD431" s="753"/>
      <c r="AE431" s="753"/>
      <c r="AF431" s="753"/>
      <c r="AG431" s="753"/>
      <c r="AH431" s="753"/>
      <c r="AI431" s="753"/>
    </row>
    <row r="432" spans="24:35">
      <c r="X432" s="753"/>
      <c r="Y432" s="753"/>
      <c r="Z432" s="753"/>
      <c r="AA432" s="753"/>
      <c r="AB432" s="753"/>
      <c r="AC432" s="753"/>
      <c r="AD432" s="753"/>
      <c r="AE432" s="753"/>
      <c r="AF432" s="753"/>
      <c r="AG432" s="753"/>
      <c r="AH432" s="753"/>
      <c r="AI432" s="753"/>
    </row>
    <row r="433" spans="24:35">
      <c r="X433" s="753"/>
      <c r="Y433" s="753"/>
      <c r="Z433" s="753"/>
      <c r="AA433" s="753"/>
      <c r="AB433" s="753"/>
      <c r="AC433" s="753"/>
      <c r="AD433" s="753"/>
      <c r="AE433" s="753"/>
      <c r="AF433" s="753"/>
      <c r="AG433" s="753"/>
      <c r="AH433" s="753"/>
      <c r="AI433" s="753"/>
    </row>
    <row r="434" spans="24:35">
      <c r="X434" s="753"/>
      <c r="Y434" s="753"/>
      <c r="Z434" s="753"/>
      <c r="AA434" s="753"/>
      <c r="AB434" s="753"/>
      <c r="AC434" s="753"/>
      <c r="AD434" s="753"/>
      <c r="AE434" s="753"/>
      <c r="AF434" s="753"/>
      <c r="AG434" s="753"/>
      <c r="AH434" s="753"/>
      <c r="AI434" s="753"/>
    </row>
    <row r="435" spans="24:35">
      <c r="X435" s="753"/>
      <c r="Y435" s="753"/>
      <c r="Z435" s="753"/>
      <c r="AA435" s="753"/>
      <c r="AB435" s="753"/>
      <c r="AC435" s="753"/>
      <c r="AD435" s="753"/>
      <c r="AE435" s="753"/>
      <c r="AF435" s="753"/>
      <c r="AG435" s="753"/>
      <c r="AH435" s="753"/>
      <c r="AI435" s="753"/>
    </row>
    <row r="436" spans="24:35">
      <c r="X436" s="753"/>
      <c r="Y436" s="753"/>
      <c r="Z436" s="753"/>
      <c r="AA436" s="753"/>
      <c r="AB436" s="753"/>
      <c r="AC436" s="753"/>
      <c r="AD436" s="753"/>
      <c r="AE436" s="753"/>
      <c r="AF436" s="753"/>
      <c r="AG436" s="753"/>
      <c r="AH436" s="753"/>
      <c r="AI436" s="753"/>
    </row>
    <row r="437" spans="24:35">
      <c r="X437" s="753"/>
      <c r="Y437" s="753"/>
      <c r="Z437" s="753"/>
      <c r="AA437" s="753"/>
      <c r="AB437" s="753"/>
      <c r="AC437" s="753"/>
      <c r="AD437" s="753"/>
      <c r="AE437" s="753"/>
      <c r="AF437" s="753"/>
      <c r="AG437" s="753"/>
      <c r="AH437" s="753"/>
      <c r="AI437" s="753"/>
    </row>
    <row r="438" spans="24:35">
      <c r="X438" s="753"/>
      <c r="Y438" s="753"/>
      <c r="Z438" s="753"/>
      <c r="AA438" s="753"/>
      <c r="AB438" s="753"/>
      <c r="AC438" s="753"/>
      <c r="AD438" s="753"/>
      <c r="AE438" s="753"/>
      <c r="AF438" s="753"/>
      <c r="AG438" s="753"/>
      <c r="AH438" s="753"/>
      <c r="AI438" s="753"/>
    </row>
    <row r="439" spans="24:35">
      <c r="X439" s="753"/>
      <c r="Y439" s="753"/>
      <c r="Z439" s="753"/>
      <c r="AA439" s="753"/>
      <c r="AB439" s="753"/>
      <c r="AC439" s="753"/>
      <c r="AD439" s="753"/>
      <c r="AE439" s="753"/>
      <c r="AF439" s="753"/>
      <c r="AG439" s="753"/>
      <c r="AH439" s="753"/>
      <c r="AI439" s="753"/>
    </row>
    <row r="440" spans="24:35">
      <c r="X440" s="753"/>
      <c r="Y440" s="753"/>
      <c r="Z440" s="753"/>
      <c r="AA440" s="753"/>
      <c r="AB440" s="753"/>
      <c r="AC440" s="753"/>
      <c r="AD440" s="753"/>
      <c r="AE440" s="753"/>
      <c r="AF440" s="753"/>
      <c r="AG440" s="753"/>
      <c r="AH440" s="753"/>
      <c r="AI440" s="753"/>
    </row>
    <row r="441" spans="24:35">
      <c r="X441" s="753"/>
      <c r="Y441" s="753"/>
      <c r="Z441" s="753"/>
      <c r="AA441" s="753"/>
      <c r="AB441" s="753"/>
      <c r="AC441" s="753"/>
      <c r="AD441" s="753"/>
      <c r="AE441" s="753"/>
      <c r="AF441" s="753"/>
      <c r="AG441" s="753"/>
      <c r="AH441" s="753"/>
      <c r="AI441" s="753"/>
    </row>
    <row r="442" spans="24:35">
      <c r="X442" s="753"/>
      <c r="Y442" s="753"/>
      <c r="Z442" s="753"/>
      <c r="AA442" s="753"/>
      <c r="AB442" s="753"/>
      <c r="AC442" s="753"/>
      <c r="AD442" s="753"/>
      <c r="AE442" s="753"/>
      <c r="AF442" s="753"/>
      <c r="AG442" s="753"/>
      <c r="AH442" s="753"/>
      <c r="AI442" s="753"/>
    </row>
    <row r="443" spans="24:35">
      <c r="X443" s="753"/>
      <c r="Y443" s="753"/>
      <c r="Z443" s="753"/>
      <c r="AA443" s="753"/>
      <c r="AB443" s="753"/>
      <c r="AC443" s="753"/>
      <c r="AD443" s="753"/>
      <c r="AE443" s="753"/>
      <c r="AF443" s="753"/>
      <c r="AG443" s="753"/>
      <c r="AH443" s="753"/>
      <c r="AI443" s="753"/>
    </row>
    <row r="444" spans="24:35">
      <c r="X444" s="753"/>
      <c r="Y444" s="753"/>
      <c r="Z444" s="753"/>
      <c r="AA444" s="753"/>
      <c r="AB444" s="753"/>
      <c r="AC444" s="753"/>
      <c r="AD444" s="753"/>
      <c r="AE444" s="753"/>
      <c r="AF444" s="753"/>
      <c r="AG444" s="753"/>
      <c r="AH444" s="753"/>
      <c r="AI444" s="753"/>
    </row>
    <row r="445" spans="24:35">
      <c r="X445" s="753"/>
      <c r="Y445" s="753"/>
      <c r="Z445" s="753"/>
      <c r="AA445" s="753"/>
      <c r="AB445" s="753"/>
      <c r="AC445" s="753"/>
      <c r="AD445" s="753"/>
      <c r="AE445" s="753"/>
      <c r="AF445" s="753"/>
      <c r="AG445" s="753"/>
      <c r="AH445" s="753"/>
      <c r="AI445" s="753"/>
    </row>
    <row r="446" spans="24:35">
      <c r="X446" s="753"/>
      <c r="Y446" s="753"/>
      <c r="Z446" s="753"/>
      <c r="AA446" s="753"/>
      <c r="AB446" s="753"/>
      <c r="AC446" s="753"/>
      <c r="AD446" s="753"/>
      <c r="AE446" s="753"/>
      <c r="AF446" s="753"/>
      <c r="AG446" s="753"/>
      <c r="AH446" s="753"/>
      <c r="AI446" s="753"/>
    </row>
    <row r="447" spans="24:35">
      <c r="X447" s="753"/>
      <c r="Y447" s="753"/>
      <c r="Z447" s="753"/>
      <c r="AA447" s="753"/>
      <c r="AB447" s="753"/>
      <c r="AC447" s="753"/>
      <c r="AD447" s="753"/>
      <c r="AE447" s="753"/>
      <c r="AF447" s="753"/>
      <c r="AG447" s="753"/>
      <c r="AH447" s="753"/>
      <c r="AI447" s="753"/>
    </row>
    <row r="448" spans="24:35">
      <c r="X448" s="753"/>
      <c r="Y448" s="753"/>
      <c r="Z448" s="753"/>
      <c r="AA448" s="753"/>
      <c r="AB448" s="753"/>
      <c r="AC448" s="753"/>
      <c r="AD448" s="753"/>
      <c r="AE448" s="753"/>
      <c r="AF448" s="753"/>
      <c r="AG448" s="753"/>
      <c r="AH448" s="753"/>
      <c r="AI448" s="753"/>
    </row>
    <row r="449" spans="24:35">
      <c r="X449" s="753"/>
      <c r="Y449" s="753"/>
      <c r="Z449" s="753"/>
      <c r="AA449" s="753"/>
      <c r="AB449" s="753"/>
      <c r="AC449" s="753"/>
      <c r="AD449" s="753"/>
      <c r="AE449" s="753"/>
      <c r="AF449" s="753"/>
      <c r="AG449" s="753"/>
      <c r="AH449" s="753"/>
      <c r="AI449" s="753"/>
    </row>
    <row r="450" spans="24:35">
      <c r="X450" s="753"/>
      <c r="Y450" s="753"/>
      <c r="Z450" s="753"/>
      <c r="AA450" s="753"/>
      <c r="AB450" s="753"/>
      <c r="AC450" s="753"/>
      <c r="AD450" s="753"/>
      <c r="AE450" s="753"/>
      <c r="AF450" s="753"/>
      <c r="AG450" s="753"/>
      <c r="AH450" s="753"/>
      <c r="AI450" s="753"/>
    </row>
    <row r="451" spans="24:35">
      <c r="X451" s="753"/>
      <c r="Y451" s="753"/>
      <c r="Z451" s="753"/>
      <c r="AA451" s="753"/>
      <c r="AB451" s="753"/>
      <c r="AC451" s="753"/>
      <c r="AD451" s="753"/>
      <c r="AE451" s="753"/>
      <c r="AF451" s="753"/>
      <c r="AG451" s="753"/>
      <c r="AH451" s="753"/>
      <c r="AI451" s="753"/>
    </row>
    <row r="452" spans="24:35">
      <c r="X452" s="753"/>
      <c r="Y452" s="753"/>
      <c r="Z452" s="753"/>
      <c r="AA452" s="753"/>
      <c r="AB452" s="753"/>
      <c r="AC452" s="753"/>
      <c r="AD452" s="753"/>
      <c r="AE452" s="753"/>
      <c r="AF452" s="753"/>
      <c r="AG452" s="753"/>
      <c r="AH452" s="753"/>
      <c r="AI452" s="753"/>
    </row>
    <row r="453" spans="24:35">
      <c r="X453" s="753"/>
      <c r="Y453" s="753"/>
      <c r="Z453" s="753"/>
      <c r="AA453" s="753"/>
      <c r="AB453" s="753"/>
      <c r="AC453" s="753"/>
      <c r="AD453" s="753"/>
      <c r="AE453" s="753"/>
      <c r="AF453" s="753"/>
      <c r="AG453" s="753"/>
      <c r="AH453" s="753"/>
      <c r="AI453" s="753"/>
    </row>
    <row r="454" spans="24:35">
      <c r="X454" s="753"/>
      <c r="Y454" s="753"/>
      <c r="Z454" s="753"/>
      <c r="AA454" s="753"/>
      <c r="AB454" s="753"/>
      <c r="AC454" s="753"/>
      <c r="AD454" s="753"/>
      <c r="AE454" s="753"/>
      <c r="AF454" s="753"/>
      <c r="AG454" s="753"/>
      <c r="AH454" s="753"/>
      <c r="AI454" s="753"/>
    </row>
    <row r="455" spans="24:35">
      <c r="X455" s="753"/>
      <c r="Y455" s="753"/>
      <c r="Z455" s="753"/>
      <c r="AA455" s="753"/>
      <c r="AB455" s="753"/>
      <c r="AC455" s="753"/>
      <c r="AD455" s="753"/>
      <c r="AE455" s="753"/>
      <c r="AF455" s="753"/>
      <c r="AG455" s="753"/>
      <c r="AH455" s="753"/>
      <c r="AI455" s="753"/>
    </row>
    <row r="456" spans="24:35">
      <c r="X456" s="753"/>
      <c r="Y456" s="753"/>
      <c r="Z456" s="753"/>
      <c r="AA456" s="753"/>
      <c r="AB456" s="753"/>
      <c r="AC456" s="753"/>
      <c r="AD456" s="753"/>
      <c r="AE456" s="753"/>
      <c r="AF456" s="753"/>
      <c r="AG456" s="753"/>
      <c r="AH456" s="753"/>
      <c r="AI456" s="753"/>
    </row>
    <row r="457" spans="24:35">
      <c r="X457" s="753"/>
      <c r="Y457" s="753"/>
      <c r="Z457" s="753"/>
      <c r="AA457" s="753"/>
      <c r="AB457" s="753"/>
      <c r="AC457" s="753"/>
      <c r="AD457" s="753"/>
      <c r="AE457" s="753"/>
      <c r="AF457" s="753"/>
      <c r="AG457" s="753"/>
      <c r="AH457" s="753"/>
      <c r="AI457" s="753"/>
    </row>
    <row r="458" spans="24:35">
      <c r="X458" s="753"/>
      <c r="Y458" s="753"/>
      <c r="Z458" s="753"/>
      <c r="AA458" s="753"/>
      <c r="AB458" s="753"/>
      <c r="AC458" s="753"/>
      <c r="AD458" s="753"/>
      <c r="AE458" s="753"/>
      <c r="AF458" s="753"/>
      <c r="AG458" s="753"/>
      <c r="AH458" s="753"/>
      <c r="AI458" s="753"/>
    </row>
    <row r="459" spans="24:35">
      <c r="X459" s="753"/>
      <c r="Y459" s="753"/>
      <c r="Z459" s="753"/>
      <c r="AA459" s="753"/>
      <c r="AB459" s="753"/>
      <c r="AC459" s="753"/>
      <c r="AD459" s="753"/>
      <c r="AE459" s="753"/>
      <c r="AF459" s="753"/>
      <c r="AG459" s="753"/>
      <c r="AH459" s="753"/>
      <c r="AI459" s="753"/>
    </row>
    <row r="460" spans="24:35">
      <c r="X460" s="753"/>
      <c r="Y460" s="753"/>
      <c r="Z460" s="753"/>
      <c r="AA460" s="753"/>
      <c r="AB460" s="753"/>
      <c r="AC460" s="753"/>
      <c r="AD460" s="753"/>
      <c r="AE460" s="753"/>
      <c r="AF460" s="753"/>
      <c r="AG460" s="753"/>
      <c r="AH460" s="753"/>
      <c r="AI460" s="753"/>
    </row>
    <row r="461" spans="24:35">
      <c r="X461" s="753"/>
      <c r="Y461" s="753"/>
      <c r="Z461" s="753"/>
      <c r="AA461" s="753"/>
      <c r="AB461" s="753"/>
      <c r="AC461" s="753"/>
      <c r="AD461" s="753"/>
      <c r="AE461" s="753"/>
      <c r="AF461" s="753"/>
      <c r="AG461" s="753"/>
      <c r="AH461" s="753"/>
      <c r="AI461" s="753"/>
    </row>
    <row r="462" spans="24:35">
      <c r="X462" s="753"/>
      <c r="Y462" s="753"/>
      <c r="Z462" s="753"/>
      <c r="AA462" s="753"/>
      <c r="AB462" s="753"/>
      <c r="AC462" s="753"/>
      <c r="AD462" s="753"/>
      <c r="AE462" s="753"/>
      <c r="AF462" s="753"/>
      <c r="AG462" s="753"/>
      <c r="AH462" s="753"/>
      <c r="AI462" s="753"/>
    </row>
    <row r="463" spans="24:35">
      <c r="X463" s="753"/>
      <c r="Y463" s="753"/>
      <c r="Z463" s="753"/>
      <c r="AA463" s="753"/>
      <c r="AB463" s="753"/>
      <c r="AC463" s="753"/>
      <c r="AD463" s="753"/>
      <c r="AE463" s="753"/>
      <c r="AF463" s="753"/>
      <c r="AG463" s="753"/>
      <c r="AH463" s="753"/>
      <c r="AI463" s="753"/>
    </row>
    <row r="464" spans="24:35">
      <c r="X464" s="753"/>
      <c r="Y464" s="753"/>
      <c r="Z464" s="753"/>
      <c r="AA464" s="753"/>
      <c r="AB464" s="753"/>
      <c r="AC464" s="753"/>
      <c r="AD464" s="753"/>
      <c r="AE464" s="753"/>
      <c r="AF464" s="753"/>
      <c r="AG464" s="753"/>
      <c r="AH464" s="753"/>
      <c r="AI464" s="753"/>
    </row>
    <row r="465" spans="24:35">
      <c r="X465" s="753"/>
      <c r="Y465" s="753"/>
      <c r="Z465" s="753"/>
      <c r="AA465" s="753"/>
      <c r="AB465" s="753"/>
      <c r="AC465" s="753"/>
      <c r="AD465" s="753"/>
      <c r="AE465" s="753"/>
      <c r="AF465" s="753"/>
      <c r="AG465" s="753"/>
      <c r="AH465" s="753"/>
      <c r="AI465" s="753"/>
    </row>
    <row r="466" spans="24:35">
      <c r="X466" s="753"/>
      <c r="Y466" s="753"/>
      <c r="Z466" s="753"/>
      <c r="AA466" s="753"/>
      <c r="AB466" s="753"/>
      <c r="AC466" s="753"/>
      <c r="AD466" s="753"/>
      <c r="AE466" s="753"/>
      <c r="AF466" s="753"/>
      <c r="AG466" s="753"/>
      <c r="AH466" s="753"/>
      <c r="AI466" s="753"/>
    </row>
    <row r="467" spans="24:35">
      <c r="X467" s="753"/>
      <c r="Y467" s="753"/>
      <c r="Z467" s="753"/>
      <c r="AA467" s="753"/>
      <c r="AB467" s="753"/>
      <c r="AC467" s="753"/>
      <c r="AD467" s="753"/>
      <c r="AE467" s="753"/>
      <c r="AF467" s="753"/>
      <c r="AG467" s="753"/>
      <c r="AH467" s="753"/>
      <c r="AI467" s="753"/>
    </row>
    <row r="468" spans="24:35">
      <c r="X468" s="753"/>
      <c r="Y468" s="753"/>
      <c r="Z468" s="753"/>
      <c r="AA468" s="753"/>
      <c r="AB468" s="753"/>
      <c r="AC468" s="753"/>
      <c r="AD468" s="753"/>
      <c r="AE468" s="753"/>
      <c r="AF468" s="753"/>
      <c r="AG468" s="753"/>
      <c r="AH468" s="753"/>
      <c r="AI468" s="753"/>
    </row>
    <row r="469" spans="24:35">
      <c r="X469" s="753"/>
      <c r="Y469" s="753"/>
      <c r="Z469" s="753"/>
      <c r="AA469" s="753"/>
      <c r="AB469" s="753"/>
      <c r="AC469" s="753"/>
      <c r="AD469" s="753"/>
      <c r="AE469" s="753"/>
      <c r="AF469" s="753"/>
      <c r="AG469" s="753"/>
      <c r="AH469" s="753"/>
      <c r="AI469" s="753"/>
    </row>
    <row r="470" spans="24:35">
      <c r="X470" s="753"/>
      <c r="Y470" s="753"/>
      <c r="Z470" s="753"/>
      <c r="AA470" s="753"/>
      <c r="AB470" s="753"/>
      <c r="AC470" s="753"/>
      <c r="AD470" s="753"/>
      <c r="AE470" s="753"/>
      <c r="AF470" s="753"/>
      <c r="AG470" s="753"/>
      <c r="AH470" s="753"/>
      <c r="AI470" s="753"/>
    </row>
    <row r="471" spans="24:35">
      <c r="X471" s="753"/>
      <c r="Y471" s="753"/>
      <c r="Z471" s="753"/>
      <c r="AA471" s="753"/>
      <c r="AB471" s="753"/>
      <c r="AC471" s="753"/>
      <c r="AD471" s="753"/>
      <c r="AE471" s="753"/>
      <c r="AF471" s="753"/>
      <c r="AG471" s="753"/>
      <c r="AH471" s="753"/>
      <c r="AI471" s="753"/>
    </row>
    <row r="472" spans="24:35">
      <c r="X472" s="753"/>
      <c r="Y472" s="753"/>
      <c r="Z472" s="753"/>
      <c r="AA472" s="753"/>
      <c r="AB472" s="753"/>
      <c r="AC472" s="753"/>
      <c r="AD472" s="753"/>
      <c r="AE472" s="753"/>
      <c r="AF472" s="753"/>
      <c r="AG472" s="753"/>
      <c r="AH472" s="753"/>
      <c r="AI472" s="753"/>
    </row>
    <row r="473" spans="24:35">
      <c r="X473" s="753"/>
      <c r="Y473" s="753"/>
      <c r="Z473" s="753"/>
      <c r="AA473" s="753"/>
      <c r="AB473" s="753"/>
      <c r="AC473" s="753"/>
      <c r="AD473" s="753"/>
      <c r="AE473" s="753"/>
      <c r="AF473" s="753"/>
      <c r="AG473" s="753"/>
      <c r="AH473" s="753"/>
      <c r="AI473" s="753"/>
    </row>
    <row r="474" spans="24:35">
      <c r="X474" s="753"/>
      <c r="Y474" s="753"/>
      <c r="Z474" s="753"/>
      <c r="AA474" s="753"/>
      <c r="AB474" s="753"/>
      <c r="AC474" s="753"/>
      <c r="AD474" s="753"/>
      <c r="AE474" s="753"/>
      <c r="AF474" s="753"/>
      <c r="AG474" s="753"/>
      <c r="AH474" s="753"/>
      <c r="AI474" s="753"/>
    </row>
    <row r="475" spans="24:35">
      <c r="X475" s="753"/>
      <c r="Y475" s="753"/>
      <c r="Z475" s="753"/>
      <c r="AA475" s="753"/>
      <c r="AB475" s="753"/>
      <c r="AC475" s="753"/>
      <c r="AD475" s="753"/>
      <c r="AE475" s="753"/>
      <c r="AF475" s="753"/>
      <c r="AG475" s="753"/>
      <c r="AH475" s="753"/>
      <c r="AI475" s="753"/>
    </row>
    <row r="476" spans="24:35">
      <c r="X476" s="753"/>
      <c r="Y476" s="753"/>
      <c r="Z476" s="753"/>
      <c r="AA476" s="753"/>
      <c r="AB476" s="753"/>
      <c r="AC476" s="753"/>
      <c r="AD476" s="753"/>
      <c r="AE476" s="753"/>
      <c r="AF476" s="753"/>
      <c r="AG476" s="753"/>
      <c r="AH476" s="753"/>
      <c r="AI476" s="753"/>
    </row>
    <row r="477" spans="24:35">
      <c r="X477" s="753"/>
      <c r="Y477" s="753"/>
      <c r="Z477" s="753"/>
      <c r="AA477" s="753"/>
      <c r="AB477" s="753"/>
      <c r="AC477" s="753"/>
      <c r="AD477" s="753"/>
      <c r="AE477" s="753"/>
      <c r="AF477" s="753"/>
      <c r="AG477" s="753"/>
      <c r="AH477" s="753"/>
      <c r="AI477" s="753"/>
    </row>
    <row r="478" spans="24:35">
      <c r="X478" s="753"/>
      <c r="Y478" s="753"/>
      <c r="Z478" s="753"/>
      <c r="AA478" s="753"/>
      <c r="AB478" s="753"/>
      <c r="AC478" s="753"/>
      <c r="AD478" s="753"/>
      <c r="AE478" s="753"/>
      <c r="AF478" s="753"/>
      <c r="AG478" s="753"/>
      <c r="AH478" s="753"/>
      <c r="AI478" s="753"/>
    </row>
    <row r="479" spans="24:35">
      <c r="X479" s="753"/>
      <c r="Y479" s="753"/>
      <c r="Z479" s="753"/>
      <c r="AA479" s="753"/>
      <c r="AB479" s="753"/>
      <c r="AC479" s="753"/>
      <c r="AD479" s="753"/>
      <c r="AE479" s="753"/>
      <c r="AF479" s="753"/>
      <c r="AG479" s="753"/>
      <c r="AH479" s="753"/>
      <c r="AI479" s="753"/>
    </row>
    <row r="480" spans="24:35">
      <c r="X480" s="753"/>
      <c r="Y480" s="753"/>
      <c r="Z480" s="753"/>
      <c r="AA480" s="753"/>
      <c r="AB480" s="753"/>
      <c r="AC480" s="753"/>
      <c r="AD480" s="753"/>
      <c r="AE480" s="753"/>
      <c r="AF480" s="753"/>
      <c r="AG480" s="753"/>
      <c r="AH480" s="753"/>
      <c r="AI480" s="753"/>
    </row>
    <row r="481" spans="24:35">
      <c r="X481" s="753"/>
      <c r="Y481" s="753"/>
      <c r="Z481" s="753"/>
      <c r="AA481" s="753"/>
      <c r="AB481" s="753"/>
      <c r="AC481" s="753"/>
      <c r="AD481" s="753"/>
      <c r="AE481" s="753"/>
      <c r="AF481" s="753"/>
      <c r="AG481" s="753"/>
      <c r="AH481" s="753"/>
      <c r="AI481" s="753"/>
    </row>
    <row r="482" spans="24:35">
      <c r="X482" s="753"/>
      <c r="Y482" s="753"/>
      <c r="Z482" s="753"/>
      <c r="AA482" s="753"/>
      <c r="AB482" s="753"/>
      <c r="AC482" s="753"/>
      <c r="AD482" s="753"/>
      <c r="AE482" s="753"/>
      <c r="AF482" s="753"/>
      <c r="AG482" s="753"/>
      <c r="AH482" s="753"/>
      <c r="AI482" s="753"/>
    </row>
    <row r="483" spans="24:35">
      <c r="X483" s="753"/>
      <c r="Y483" s="753"/>
      <c r="Z483" s="753"/>
      <c r="AA483" s="753"/>
      <c r="AB483" s="753"/>
      <c r="AC483" s="753"/>
      <c r="AD483" s="753"/>
      <c r="AE483" s="753"/>
      <c r="AF483" s="753"/>
      <c r="AG483" s="753"/>
      <c r="AH483" s="753"/>
      <c r="AI483" s="753"/>
    </row>
    <row r="484" spans="24:35">
      <c r="X484" s="753"/>
      <c r="Y484" s="753"/>
      <c r="Z484" s="753"/>
      <c r="AA484" s="753"/>
      <c r="AB484" s="753"/>
      <c r="AC484" s="753"/>
      <c r="AD484" s="753"/>
      <c r="AE484" s="753"/>
      <c r="AF484" s="753"/>
      <c r="AG484" s="753"/>
      <c r="AH484" s="753"/>
      <c r="AI484" s="753"/>
    </row>
    <row r="485" spans="24:35">
      <c r="X485" s="753"/>
      <c r="Y485" s="753"/>
      <c r="Z485" s="753"/>
      <c r="AA485" s="753"/>
      <c r="AB485" s="753"/>
      <c r="AC485" s="753"/>
      <c r="AD485" s="753"/>
      <c r="AE485" s="753"/>
      <c r="AF485" s="753"/>
      <c r="AG485" s="753"/>
      <c r="AH485" s="753"/>
      <c r="AI485" s="753"/>
    </row>
    <row r="486" spans="24:35">
      <c r="X486" s="753"/>
      <c r="Y486" s="753"/>
      <c r="Z486" s="753"/>
      <c r="AA486" s="753"/>
      <c r="AB486" s="753"/>
      <c r="AC486" s="753"/>
      <c r="AD486" s="753"/>
      <c r="AE486" s="753"/>
      <c r="AF486" s="753"/>
      <c r="AG486" s="753"/>
      <c r="AH486" s="753"/>
      <c r="AI486" s="753"/>
    </row>
    <row r="487" spans="24:35">
      <c r="X487" s="753"/>
      <c r="Y487" s="753"/>
      <c r="Z487" s="753"/>
      <c r="AA487" s="753"/>
      <c r="AB487" s="753"/>
      <c r="AC487" s="753"/>
      <c r="AD487" s="753"/>
      <c r="AE487" s="753"/>
      <c r="AF487" s="753"/>
      <c r="AG487" s="753"/>
      <c r="AH487" s="753"/>
      <c r="AI487" s="753"/>
    </row>
    <row r="488" spans="24:35">
      <c r="X488" s="753"/>
      <c r="Y488" s="753"/>
      <c r="Z488" s="753"/>
      <c r="AA488" s="753"/>
      <c r="AB488" s="753"/>
      <c r="AC488" s="753"/>
      <c r="AD488" s="753"/>
      <c r="AE488" s="753"/>
      <c r="AF488" s="753"/>
      <c r="AG488" s="753"/>
      <c r="AH488" s="753"/>
      <c r="AI488" s="753"/>
    </row>
    <row r="489" spans="24:35">
      <c r="X489" s="753"/>
      <c r="Y489" s="753"/>
      <c r="Z489" s="753"/>
      <c r="AA489" s="753"/>
      <c r="AB489" s="753"/>
      <c r="AC489" s="753"/>
      <c r="AD489" s="753"/>
      <c r="AE489" s="753"/>
      <c r="AF489" s="753"/>
      <c r="AG489" s="753"/>
      <c r="AH489" s="753"/>
      <c r="AI489" s="753"/>
    </row>
    <row r="490" spans="24:35">
      <c r="X490" s="753"/>
      <c r="Y490" s="753"/>
      <c r="Z490" s="753"/>
      <c r="AA490" s="753"/>
      <c r="AB490" s="753"/>
      <c r="AC490" s="753"/>
      <c r="AD490" s="753"/>
      <c r="AE490" s="753"/>
      <c r="AF490" s="753"/>
      <c r="AG490" s="753"/>
      <c r="AH490" s="753"/>
      <c r="AI490" s="753"/>
    </row>
    <row r="491" spans="24:35">
      <c r="X491" s="753"/>
      <c r="Y491" s="753"/>
      <c r="Z491" s="753"/>
      <c r="AA491" s="753"/>
      <c r="AB491" s="753"/>
      <c r="AC491" s="753"/>
      <c r="AD491" s="753"/>
      <c r="AE491" s="753"/>
      <c r="AF491" s="753"/>
      <c r="AG491" s="753"/>
      <c r="AH491" s="753"/>
      <c r="AI491" s="753"/>
    </row>
    <row r="492" spans="24:35">
      <c r="X492" s="753"/>
      <c r="Y492" s="753"/>
      <c r="Z492" s="753"/>
      <c r="AA492" s="753"/>
      <c r="AB492" s="753"/>
      <c r="AC492" s="753"/>
      <c r="AD492" s="753"/>
      <c r="AE492" s="753"/>
      <c r="AF492" s="753"/>
      <c r="AG492" s="753"/>
      <c r="AH492" s="753"/>
      <c r="AI492" s="753"/>
    </row>
    <row r="493" spans="24:35">
      <c r="X493" s="753"/>
      <c r="Y493" s="753"/>
      <c r="Z493" s="753"/>
      <c r="AA493" s="753"/>
      <c r="AB493" s="753"/>
      <c r="AC493" s="753"/>
      <c r="AD493" s="753"/>
      <c r="AE493" s="753"/>
      <c r="AF493" s="753"/>
      <c r="AG493" s="753"/>
      <c r="AH493" s="753"/>
      <c r="AI493" s="753"/>
    </row>
    <row r="494" spans="24:35">
      <c r="X494" s="753"/>
      <c r="Y494" s="753"/>
      <c r="Z494" s="753"/>
      <c r="AA494" s="753"/>
      <c r="AB494" s="753"/>
      <c r="AC494" s="753"/>
      <c r="AD494" s="753"/>
      <c r="AE494" s="753"/>
      <c r="AF494" s="753"/>
      <c r="AG494" s="753"/>
      <c r="AH494" s="753"/>
      <c r="AI494" s="753"/>
    </row>
    <row r="495" spans="24:35">
      <c r="X495" s="753"/>
      <c r="Y495" s="753"/>
      <c r="Z495" s="753"/>
      <c r="AA495" s="753"/>
      <c r="AB495" s="753"/>
      <c r="AC495" s="753"/>
      <c r="AD495" s="753"/>
      <c r="AE495" s="753"/>
      <c r="AF495" s="753"/>
      <c r="AG495" s="753"/>
      <c r="AH495" s="753"/>
      <c r="AI495" s="753"/>
    </row>
    <row r="496" spans="24:35">
      <c r="X496" s="753"/>
      <c r="Y496" s="753"/>
      <c r="Z496" s="753"/>
      <c r="AA496" s="753"/>
      <c r="AB496" s="753"/>
      <c r="AC496" s="753"/>
      <c r="AD496" s="753"/>
      <c r="AE496" s="753"/>
      <c r="AF496" s="753"/>
      <c r="AG496" s="753"/>
      <c r="AH496" s="753"/>
      <c r="AI496" s="753"/>
    </row>
    <row r="497" spans="24:35">
      <c r="X497" s="753"/>
      <c r="Y497" s="753"/>
      <c r="Z497" s="753"/>
      <c r="AA497" s="753"/>
      <c r="AB497" s="753"/>
      <c r="AC497" s="753"/>
      <c r="AD497" s="753"/>
      <c r="AE497" s="753"/>
      <c r="AF497" s="753"/>
      <c r="AG497" s="753"/>
      <c r="AH497" s="753"/>
      <c r="AI497" s="753"/>
    </row>
    <row r="498" spans="24:35">
      <c r="X498" s="753"/>
      <c r="Y498" s="753"/>
      <c r="Z498" s="753"/>
      <c r="AA498" s="753"/>
      <c r="AB498" s="753"/>
      <c r="AC498" s="753"/>
      <c r="AD498" s="753"/>
      <c r="AE498" s="753"/>
      <c r="AF498" s="753"/>
      <c r="AG498" s="753"/>
      <c r="AH498" s="753"/>
      <c r="AI498" s="753"/>
    </row>
    <row r="499" spans="24:35">
      <c r="X499" s="753"/>
      <c r="Y499" s="753"/>
      <c r="Z499" s="753"/>
      <c r="AA499" s="753"/>
      <c r="AB499" s="753"/>
      <c r="AC499" s="753"/>
      <c r="AD499" s="753"/>
      <c r="AE499" s="753"/>
      <c r="AF499" s="753"/>
      <c r="AG499" s="753"/>
      <c r="AH499" s="753"/>
      <c r="AI499" s="753"/>
    </row>
    <row r="500" spans="24:35">
      <c r="X500" s="753"/>
      <c r="Y500" s="753"/>
      <c r="Z500" s="753"/>
      <c r="AA500" s="753"/>
      <c r="AB500" s="753"/>
      <c r="AC500" s="753"/>
      <c r="AD500" s="753"/>
      <c r="AE500" s="753"/>
      <c r="AF500" s="753"/>
      <c r="AG500" s="753"/>
      <c r="AH500" s="753"/>
      <c r="AI500" s="753"/>
    </row>
    <row r="501" spans="24:35">
      <c r="X501" s="753"/>
      <c r="Y501" s="753"/>
      <c r="Z501" s="753"/>
      <c r="AA501" s="753"/>
      <c r="AB501" s="753"/>
      <c r="AC501" s="753"/>
      <c r="AD501" s="753"/>
      <c r="AE501" s="753"/>
      <c r="AF501" s="753"/>
      <c r="AG501" s="753"/>
      <c r="AH501" s="753"/>
      <c r="AI501" s="753"/>
    </row>
    <row r="502" spans="24:35">
      <c r="X502" s="753"/>
      <c r="Y502" s="753"/>
      <c r="Z502" s="753"/>
      <c r="AA502" s="753"/>
      <c r="AB502" s="753"/>
      <c r="AC502" s="753"/>
      <c r="AD502" s="753"/>
      <c r="AE502" s="753"/>
      <c r="AF502" s="753"/>
      <c r="AG502" s="753"/>
      <c r="AH502" s="753"/>
      <c r="AI502" s="753"/>
    </row>
    <row r="503" spans="24:35">
      <c r="X503" s="753"/>
      <c r="Y503" s="753"/>
      <c r="Z503" s="753"/>
      <c r="AA503" s="753"/>
      <c r="AB503" s="753"/>
      <c r="AC503" s="753"/>
      <c r="AD503" s="753"/>
      <c r="AE503" s="753"/>
      <c r="AF503" s="753"/>
      <c r="AG503" s="753"/>
      <c r="AH503" s="753"/>
      <c r="AI503" s="753"/>
    </row>
    <row r="504" spans="24:35">
      <c r="X504" s="753"/>
      <c r="Y504" s="753"/>
      <c r="Z504" s="753"/>
      <c r="AA504" s="753"/>
      <c r="AB504" s="753"/>
      <c r="AC504" s="753"/>
      <c r="AD504" s="753"/>
      <c r="AE504" s="753"/>
      <c r="AF504" s="753"/>
      <c r="AG504" s="753"/>
      <c r="AH504" s="753"/>
      <c r="AI504" s="753"/>
    </row>
    <row r="505" spans="24:35">
      <c r="X505" s="753"/>
      <c r="Y505" s="753"/>
      <c r="Z505" s="753"/>
      <c r="AA505" s="753"/>
      <c r="AB505" s="753"/>
      <c r="AC505" s="753"/>
      <c r="AD505" s="753"/>
      <c r="AE505" s="753"/>
      <c r="AF505" s="753"/>
      <c r="AG505" s="753"/>
      <c r="AH505" s="753"/>
      <c r="AI505" s="753"/>
    </row>
    <row r="506" spans="24:35">
      <c r="X506" s="753"/>
      <c r="Y506" s="753"/>
      <c r="Z506" s="753"/>
      <c r="AA506" s="753"/>
      <c r="AB506" s="753"/>
      <c r="AC506" s="753"/>
      <c r="AD506" s="753"/>
      <c r="AE506" s="753"/>
      <c r="AF506" s="753"/>
      <c r="AG506" s="753"/>
      <c r="AH506" s="753"/>
      <c r="AI506" s="753"/>
    </row>
    <row r="507" spans="24:35">
      <c r="X507" s="753"/>
      <c r="Y507" s="753"/>
      <c r="Z507" s="753"/>
      <c r="AA507" s="753"/>
      <c r="AB507" s="753"/>
      <c r="AC507" s="753"/>
      <c r="AD507" s="753"/>
      <c r="AE507" s="753"/>
      <c r="AF507" s="753"/>
      <c r="AG507" s="753"/>
      <c r="AH507" s="753"/>
      <c r="AI507" s="753"/>
    </row>
    <row r="508" spans="24:35">
      <c r="X508" s="753"/>
      <c r="Y508" s="753"/>
      <c r="Z508" s="753"/>
      <c r="AA508" s="753"/>
      <c r="AB508" s="753"/>
      <c r="AC508" s="753"/>
      <c r="AD508" s="753"/>
      <c r="AE508" s="753"/>
      <c r="AF508" s="753"/>
      <c r="AG508" s="753"/>
      <c r="AH508" s="753"/>
      <c r="AI508" s="753"/>
    </row>
    <row r="509" spans="24:35">
      <c r="X509" s="753"/>
      <c r="Y509" s="753"/>
      <c r="Z509" s="753"/>
      <c r="AA509" s="753"/>
      <c r="AB509" s="753"/>
      <c r="AC509" s="753"/>
      <c r="AD509" s="753"/>
      <c r="AE509" s="753"/>
      <c r="AF509" s="753"/>
      <c r="AG509" s="753"/>
      <c r="AH509" s="753"/>
      <c r="AI509" s="753"/>
    </row>
    <row r="510" spans="24:35">
      <c r="X510" s="753"/>
      <c r="Y510" s="753"/>
      <c r="Z510" s="753"/>
      <c r="AA510" s="753"/>
      <c r="AB510" s="753"/>
      <c r="AC510" s="753"/>
      <c r="AD510" s="753"/>
      <c r="AE510" s="753"/>
      <c r="AF510" s="753"/>
      <c r="AG510" s="753"/>
      <c r="AH510" s="753"/>
      <c r="AI510" s="753"/>
    </row>
    <row r="511" spans="24:35">
      <c r="X511" s="753"/>
      <c r="Y511" s="753"/>
      <c r="Z511" s="753"/>
      <c r="AA511" s="753"/>
      <c r="AB511" s="753"/>
      <c r="AC511" s="753"/>
      <c r="AD511" s="753"/>
      <c r="AE511" s="753"/>
      <c r="AF511" s="753"/>
      <c r="AG511" s="753"/>
      <c r="AH511" s="753"/>
      <c r="AI511" s="753"/>
    </row>
    <row r="512" spans="24:35">
      <c r="X512" s="753"/>
      <c r="Y512" s="753"/>
      <c r="Z512" s="753"/>
      <c r="AA512" s="753"/>
      <c r="AB512" s="753"/>
      <c r="AC512" s="753"/>
      <c r="AD512" s="753"/>
      <c r="AE512" s="753"/>
      <c r="AF512" s="753"/>
      <c r="AG512" s="753"/>
      <c r="AH512" s="753"/>
      <c r="AI512" s="753"/>
    </row>
    <row r="513" spans="24:35">
      <c r="X513" s="753"/>
      <c r="Y513" s="753"/>
      <c r="Z513" s="753"/>
      <c r="AA513" s="753"/>
      <c r="AB513" s="753"/>
      <c r="AC513" s="753"/>
      <c r="AD513" s="753"/>
      <c r="AE513" s="753"/>
      <c r="AF513" s="753"/>
      <c r="AG513" s="753"/>
      <c r="AH513" s="753"/>
      <c r="AI513" s="753"/>
    </row>
    <row r="514" spans="24:35">
      <c r="X514" s="753"/>
      <c r="Y514" s="753"/>
      <c r="Z514" s="753"/>
      <c r="AA514" s="753"/>
      <c r="AB514" s="753"/>
      <c r="AC514" s="753"/>
      <c r="AD514" s="753"/>
      <c r="AE514" s="753"/>
      <c r="AF514" s="753"/>
      <c r="AG514" s="753"/>
      <c r="AH514" s="753"/>
      <c r="AI514" s="753"/>
    </row>
    <row r="515" spans="24:35">
      <c r="X515" s="753"/>
      <c r="Y515" s="753"/>
      <c r="Z515" s="753"/>
      <c r="AA515" s="753"/>
      <c r="AB515" s="753"/>
      <c r="AC515" s="753"/>
      <c r="AD515" s="753"/>
      <c r="AE515" s="753"/>
      <c r="AF515" s="753"/>
      <c r="AG515" s="753"/>
      <c r="AH515" s="753"/>
      <c r="AI515" s="753"/>
    </row>
    <row r="516" spans="24:35">
      <c r="X516" s="753"/>
      <c r="Y516" s="753"/>
      <c r="Z516" s="753"/>
      <c r="AA516" s="753"/>
      <c r="AB516" s="753"/>
      <c r="AC516" s="753"/>
      <c r="AD516" s="753"/>
      <c r="AE516" s="753"/>
      <c r="AF516" s="753"/>
      <c r="AG516" s="753"/>
      <c r="AH516" s="753"/>
      <c r="AI516" s="753"/>
    </row>
    <row r="517" spans="24:35">
      <c r="X517" s="753"/>
      <c r="Y517" s="753"/>
      <c r="Z517" s="753"/>
      <c r="AA517" s="753"/>
      <c r="AB517" s="753"/>
      <c r="AC517" s="753"/>
      <c r="AD517" s="753"/>
      <c r="AE517" s="753"/>
      <c r="AF517" s="753"/>
      <c r="AG517" s="753"/>
      <c r="AH517" s="753"/>
      <c r="AI517" s="753"/>
    </row>
    <row r="518" spans="24:35">
      <c r="X518" s="753"/>
      <c r="Y518" s="753"/>
      <c r="Z518" s="753"/>
      <c r="AA518" s="753"/>
      <c r="AB518" s="753"/>
      <c r="AC518" s="753"/>
      <c r="AD518" s="753"/>
      <c r="AE518" s="753"/>
      <c r="AF518" s="753"/>
      <c r="AG518" s="753"/>
      <c r="AH518" s="753"/>
      <c r="AI518" s="753"/>
    </row>
    <row r="519" spans="24:35">
      <c r="X519" s="753"/>
      <c r="Y519" s="753"/>
      <c r="Z519" s="753"/>
      <c r="AA519" s="753"/>
      <c r="AB519" s="753"/>
      <c r="AC519" s="753"/>
      <c r="AD519" s="753"/>
      <c r="AE519" s="753"/>
      <c r="AF519" s="753"/>
      <c r="AG519" s="753"/>
      <c r="AH519" s="753"/>
      <c r="AI519" s="753"/>
    </row>
    <row r="520" spans="24:35">
      <c r="X520" s="753"/>
      <c r="Y520" s="753"/>
      <c r="Z520" s="753"/>
      <c r="AA520" s="753"/>
      <c r="AB520" s="753"/>
      <c r="AC520" s="753"/>
      <c r="AD520" s="753"/>
      <c r="AE520" s="753"/>
      <c r="AF520" s="753"/>
      <c r="AG520" s="753"/>
      <c r="AH520" s="753"/>
      <c r="AI520" s="753"/>
    </row>
    <row r="521" spans="24:35">
      <c r="X521" s="753"/>
      <c r="Y521" s="753"/>
      <c r="Z521" s="753"/>
      <c r="AA521" s="753"/>
      <c r="AB521" s="753"/>
      <c r="AC521" s="753"/>
      <c r="AD521" s="753"/>
      <c r="AE521" s="753"/>
      <c r="AF521" s="753"/>
      <c r="AG521" s="753"/>
      <c r="AH521" s="753"/>
      <c r="AI521" s="753"/>
    </row>
    <row r="522" spans="24:35">
      <c r="X522" s="753"/>
      <c r="Y522" s="753"/>
      <c r="Z522" s="753"/>
      <c r="AA522" s="753"/>
      <c r="AB522" s="753"/>
      <c r="AC522" s="753"/>
      <c r="AD522" s="753"/>
      <c r="AE522" s="753"/>
      <c r="AF522" s="753"/>
      <c r="AG522" s="753"/>
      <c r="AH522" s="753"/>
      <c r="AI522" s="753"/>
    </row>
    <row r="523" spans="24:35">
      <c r="X523" s="753"/>
      <c r="Y523" s="753"/>
      <c r="Z523" s="753"/>
      <c r="AA523" s="753"/>
      <c r="AB523" s="753"/>
      <c r="AC523" s="753"/>
      <c r="AD523" s="753"/>
      <c r="AE523" s="753"/>
      <c r="AF523" s="753"/>
      <c r="AG523" s="753"/>
      <c r="AH523" s="753"/>
      <c r="AI523" s="753"/>
    </row>
    <row r="524" spans="24:35">
      <c r="X524" s="753"/>
      <c r="Y524" s="753"/>
      <c r="Z524" s="753"/>
      <c r="AA524" s="753"/>
      <c r="AB524" s="753"/>
      <c r="AC524" s="753"/>
      <c r="AD524" s="753"/>
      <c r="AE524" s="753"/>
      <c r="AF524" s="753"/>
      <c r="AG524" s="753"/>
      <c r="AH524" s="753"/>
      <c r="AI524" s="753"/>
    </row>
    <row r="525" spans="24:35">
      <c r="X525" s="753"/>
      <c r="Y525" s="753"/>
      <c r="Z525" s="753"/>
      <c r="AA525" s="753"/>
      <c r="AB525" s="753"/>
      <c r="AC525" s="753"/>
      <c r="AD525" s="753"/>
      <c r="AE525" s="753"/>
      <c r="AF525" s="753"/>
      <c r="AG525" s="753"/>
      <c r="AH525" s="753"/>
      <c r="AI525" s="753"/>
    </row>
    <row r="526" spans="24:35">
      <c r="X526" s="753"/>
      <c r="Y526" s="753"/>
      <c r="Z526" s="753"/>
      <c r="AA526" s="753"/>
      <c r="AB526" s="753"/>
      <c r="AC526" s="753"/>
      <c r="AD526" s="753"/>
      <c r="AE526" s="753"/>
      <c r="AF526" s="753"/>
      <c r="AG526" s="753"/>
      <c r="AH526" s="753"/>
      <c r="AI526" s="753"/>
    </row>
    <row r="527" spans="24:35">
      <c r="X527" s="753"/>
      <c r="Y527" s="753"/>
      <c r="Z527" s="753"/>
      <c r="AA527" s="753"/>
      <c r="AB527" s="753"/>
      <c r="AC527" s="753"/>
      <c r="AD527" s="753"/>
      <c r="AE527" s="753"/>
      <c r="AF527" s="753"/>
      <c r="AG527" s="753"/>
      <c r="AH527" s="753"/>
      <c r="AI527" s="753"/>
    </row>
    <row r="528" spans="24:35">
      <c r="X528" s="753"/>
      <c r="Y528" s="753"/>
      <c r="Z528" s="753"/>
      <c r="AA528" s="753"/>
      <c r="AB528" s="753"/>
      <c r="AC528" s="753"/>
      <c r="AD528" s="753"/>
      <c r="AE528" s="753"/>
      <c r="AF528" s="753"/>
      <c r="AG528" s="753"/>
      <c r="AH528" s="753"/>
      <c r="AI528" s="753"/>
    </row>
    <row r="529" spans="24:35">
      <c r="X529" s="753"/>
      <c r="Y529" s="753"/>
      <c r="Z529" s="753"/>
      <c r="AA529" s="753"/>
      <c r="AB529" s="753"/>
      <c r="AC529" s="753"/>
      <c r="AD529" s="753"/>
      <c r="AE529" s="753"/>
      <c r="AF529" s="753"/>
      <c r="AG529" s="753"/>
      <c r="AH529" s="753"/>
      <c r="AI529" s="753"/>
    </row>
    <row r="530" spans="24:35">
      <c r="X530" s="753"/>
      <c r="Y530" s="753"/>
      <c r="Z530" s="753"/>
      <c r="AA530" s="753"/>
      <c r="AB530" s="753"/>
      <c r="AC530" s="753"/>
      <c r="AD530" s="753"/>
      <c r="AE530" s="753"/>
      <c r="AF530" s="753"/>
      <c r="AG530" s="753"/>
      <c r="AH530" s="753"/>
      <c r="AI530" s="753"/>
    </row>
    <row r="531" spans="24:35">
      <c r="X531" s="753"/>
      <c r="Y531" s="753"/>
      <c r="Z531" s="753"/>
      <c r="AA531" s="753"/>
      <c r="AB531" s="753"/>
      <c r="AC531" s="753"/>
      <c r="AD531" s="753"/>
      <c r="AE531" s="753"/>
      <c r="AF531" s="753"/>
      <c r="AG531" s="753"/>
      <c r="AH531" s="753"/>
      <c r="AI531" s="753"/>
    </row>
    <row r="532" spans="24:35">
      <c r="X532" s="753"/>
      <c r="Y532" s="753"/>
      <c r="Z532" s="753"/>
      <c r="AA532" s="753"/>
      <c r="AB532" s="753"/>
      <c r="AC532" s="753"/>
      <c r="AD532" s="753"/>
      <c r="AE532" s="753"/>
      <c r="AF532" s="753"/>
      <c r="AG532" s="753"/>
      <c r="AH532" s="753"/>
      <c r="AI532" s="753"/>
    </row>
    <row r="533" spans="24:35">
      <c r="X533" s="753"/>
      <c r="Y533" s="753"/>
      <c r="Z533" s="753"/>
      <c r="AA533" s="753"/>
      <c r="AB533" s="753"/>
      <c r="AC533" s="753"/>
      <c r="AD533" s="753"/>
      <c r="AE533" s="753"/>
      <c r="AF533" s="753"/>
      <c r="AG533" s="753"/>
      <c r="AH533" s="753"/>
      <c r="AI533" s="753"/>
    </row>
    <row r="534" spans="24:35">
      <c r="X534" s="753"/>
      <c r="Y534" s="753"/>
      <c r="Z534" s="753"/>
      <c r="AA534" s="753"/>
      <c r="AB534" s="753"/>
      <c r="AC534" s="753"/>
      <c r="AD534" s="753"/>
      <c r="AE534" s="753"/>
      <c r="AF534" s="753"/>
      <c r="AG534" s="753"/>
      <c r="AH534" s="753"/>
      <c r="AI534" s="753"/>
    </row>
    <row r="535" spans="24:35">
      <c r="X535" s="753"/>
      <c r="Y535" s="753"/>
      <c r="Z535" s="753"/>
      <c r="AA535" s="753"/>
      <c r="AB535" s="753"/>
      <c r="AC535" s="753"/>
      <c r="AD535" s="753"/>
      <c r="AE535" s="753"/>
      <c r="AF535" s="753"/>
      <c r="AG535" s="753"/>
      <c r="AH535" s="753"/>
      <c r="AI535" s="753"/>
    </row>
    <row r="536" spans="24:35">
      <c r="X536" s="753"/>
      <c r="Y536" s="753"/>
      <c r="Z536" s="753"/>
      <c r="AA536" s="753"/>
      <c r="AB536" s="753"/>
      <c r="AC536" s="753"/>
      <c r="AD536" s="753"/>
      <c r="AE536" s="753"/>
      <c r="AF536" s="753"/>
      <c r="AG536" s="753"/>
      <c r="AH536" s="753"/>
      <c r="AI536" s="753"/>
    </row>
    <row r="537" spans="24:35">
      <c r="X537" s="753"/>
      <c r="Y537" s="753"/>
      <c r="Z537" s="753"/>
      <c r="AA537" s="753"/>
      <c r="AB537" s="753"/>
      <c r="AC537" s="753"/>
      <c r="AD537" s="753"/>
      <c r="AE537" s="753"/>
      <c r="AF537" s="753"/>
      <c r="AG537" s="753"/>
      <c r="AH537" s="753"/>
      <c r="AI537" s="753"/>
    </row>
    <row r="538" spans="24:35">
      <c r="X538" s="753"/>
      <c r="Y538" s="753"/>
      <c r="Z538" s="753"/>
      <c r="AA538" s="753"/>
      <c r="AB538" s="753"/>
      <c r="AC538" s="753"/>
      <c r="AD538" s="753"/>
      <c r="AE538" s="753"/>
      <c r="AF538" s="753"/>
      <c r="AG538" s="753"/>
      <c r="AH538" s="753"/>
      <c r="AI538" s="753"/>
    </row>
    <row r="539" spans="24:35">
      <c r="X539" s="753"/>
      <c r="Y539" s="753"/>
      <c r="Z539" s="753"/>
      <c r="AA539" s="753"/>
      <c r="AB539" s="753"/>
      <c r="AC539" s="753"/>
      <c r="AD539" s="753"/>
      <c r="AE539" s="753"/>
      <c r="AF539" s="753"/>
      <c r="AG539" s="753"/>
      <c r="AH539" s="753"/>
      <c r="AI539" s="753"/>
    </row>
    <row r="540" spans="24:35">
      <c r="X540" s="753"/>
      <c r="Y540" s="753"/>
      <c r="Z540" s="753"/>
      <c r="AA540" s="753"/>
      <c r="AB540" s="753"/>
      <c r="AC540" s="753"/>
      <c r="AD540" s="753"/>
      <c r="AE540" s="753"/>
      <c r="AF540" s="753"/>
      <c r="AG540" s="753"/>
      <c r="AH540" s="753"/>
      <c r="AI540" s="753"/>
    </row>
    <row r="541" spans="24:35">
      <c r="X541" s="753"/>
      <c r="Y541" s="753"/>
      <c r="Z541" s="753"/>
      <c r="AA541" s="753"/>
      <c r="AB541" s="753"/>
      <c r="AC541" s="753"/>
      <c r="AD541" s="753"/>
      <c r="AE541" s="753"/>
      <c r="AF541" s="753"/>
      <c r="AG541" s="753"/>
      <c r="AH541" s="753"/>
      <c r="AI541" s="753"/>
    </row>
    <row r="542" spans="24:35">
      <c r="X542" s="753"/>
      <c r="Y542" s="753"/>
      <c r="Z542" s="753"/>
      <c r="AA542" s="753"/>
      <c r="AB542" s="753"/>
      <c r="AC542" s="753"/>
      <c r="AD542" s="753"/>
      <c r="AE542" s="753"/>
      <c r="AF542" s="753"/>
      <c r="AG542" s="753"/>
      <c r="AH542" s="753"/>
      <c r="AI542" s="753"/>
    </row>
    <row r="543" spans="24:35">
      <c r="X543" s="753"/>
      <c r="Y543" s="753"/>
      <c r="Z543" s="753"/>
      <c r="AA543" s="753"/>
      <c r="AB543" s="753"/>
      <c r="AC543" s="753"/>
      <c r="AD543" s="753"/>
      <c r="AE543" s="753"/>
      <c r="AF543" s="753"/>
      <c r="AG543" s="753"/>
      <c r="AH543" s="753"/>
      <c r="AI543" s="753"/>
    </row>
    <row r="544" spans="24:35">
      <c r="X544" s="753"/>
      <c r="Y544" s="753"/>
      <c r="Z544" s="753"/>
      <c r="AA544" s="753"/>
      <c r="AB544" s="753"/>
      <c r="AC544" s="753"/>
      <c r="AD544" s="753"/>
      <c r="AE544" s="753"/>
      <c r="AF544" s="753"/>
      <c r="AG544" s="753"/>
      <c r="AH544" s="753"/>
      <c r="AI544" s="753"/>
    </row>
    <row r="545" spans="24:35">
      <c r="X545" s="753"/>
      <c r="Y545" s="753"/>
      <c r="Z545" s="753"/>
      <c r="AA545" s="753"/>
      <c r="AB545" s="753"/>
      <c r="AC545" s="753"/>
      <c r="AD545" s="753"/>
      <c r="AE545" s="753"/>
      <c r="AF545" s="753"/>
      <c r="AG545" s="753"/>
      <c r="AH545" s="753"/>
      <c r="AI545" s="753"/>
    </row>
    <row r="546" spans="24:35">
      <c r="X546" s="753"/>
      <c r="Y546" s="753"/>
      <c r="Z546" s="753"/>
      <c r="AA546" s="753"/>
      <c r="AB546" s="753"/>
      <c r="AC546" s="753"/>
      <c r="AD546" s="753"/>
      <c r="AE546" s="753"/>
      <c r="AF546" s="753"/>
      <c r="AG546" s="753"/>
      <c r="AH546" s="753"/>
      <c r="AI546" s="753"/>
    </row>
    <row r="547" spans="24:35">
      <c r="X547" s="753"/>
      <c r="Y547" s="753"/>
      <c r="Z547" s="753"/>
      <c r="AA547" s="753"/>
      <c r="AB547" s="753"/>
      <c r="AC547" s="753"/>
      <c r="AD547" s="753"/>
      <c r="AE547" s="753"/>
      <c r="AF547" s="753"/>
      <c r="AG547" s="753"/>
      <c r="AH547" s="753"/>
      <c r="AI547" s="753"/>
    </row>
    <row r="548" spans="24:35">
      <c r="X548" s="753"/>
      <c r="Y548" s="753"/>
      <c r="Z548" s="753"/>
      <c r="AA548" s="753"/>
      <c r="AB548" s="753"/>
      <c r="AC548" s="753"/>
      <c r="AD548" s="753"/>
      <c r="AE548" s="753"/>
      <c r="AF548" s="753"/>
      <c r="AG548" s="753"/>
      <c r="AH548" s="753"/>
      <c r="AI548" s="753"/>
    </row>
    <row r="549" spans="24:35">
      <c r="X549" s="753"/>
      <c r="Y549" s="753"/>
      <c r="Z549" s="753"/>
      <c r="AA549" s="753"/>
      <c r="AB549" s="753"/>
      <c r="AC549" s="753"/>
      <c r="AD549" s="753"/>
      <c r="AE549" s="753"/>
      <c r="AF549" s="753"/>
      <c r="AG549" s="753"/>
      <c r="AH549" s="753"/>
      <c r="AI549" s="753"/>
    </row>
    <row r="550" spans="24:35">
      <c r="X550" s="753"/>
      <c r="Y550" s="753"/>
      <c r="Z550" s="753"/>
      <c r="AA550" s="753"/>
      <c r="AB550" s="753"/>
      <c r="AC550" s="753"/>
      <c r="AD550" s="753"/>
      <c r="AE550" s="753"/>
      <c r="AF550" s="753"/>
      <c r="AG550" s="753"/>
      <c r="AH550" s="753"/>
      <c r="AI550" s="753"/>
    </row>
    <row r="551" spans="24:35">
      <c r="X551" s="753"/>
      <c r="Y551" s="753"/>
      <c r="Z551" s="753"/>
      <c r="AA551" s="753"/>
      <c r="AB551" s="753"/>
      <c r="AC551" s="753"/>
      <c r="AD551" s="753"/>
      <c r="AE551" s="753"/>
      <c r="AF551" s="753"/>
      <c r="AG551" s="753"/>
      <c r="AH551" s="753"/>
      <c r="AI551" s="753"/>
    </row>
    <row r="552" spans="24:35">
      <c r="X552" s="753"/>
      <c r="Y552" s="753"/>
      <c r="Z552" s="753"/>
      <c r="AA552" s="753"/>
      <c r="AB552" s="753"/>
      <c r="AC552" s="753"/>
      <c r="AD552" s="753"/>
      <c r="AE552" s="753"/>
      <c r="AF552" s="753"/>
      <c r="AG552" s="753"/>
      <c r="AH552" s="753"/>
      <c r="AI552" s="753"/>
    </row>
    <row r="553" spans="24:35">
      <c r="X553" s="753"/>
      <c r="Y553" s="753"/>
      <c r="Z553" s="753"/>
      <c r="AA553" s="753"/>
      <c r="AB553" s="753"/>
      <c r="AC553" s="753"/>
      <c r="AD553" s="753"/>
      <c r="AE553" s="753"/>
      <c r="AF553" s="753"/>
      <c r="AG553" s="753"/>
      <c r="AH553" s="753"/>
      <c r="AI553" s="753"/>
    </row>
    <row r="554" spans="24:35">
      <c r="X554" s="753"/>
      <c r="Y554" s="753"/>
      <c r="Z554" s="753"/>
      <c r="AA554" s="753"/>
      <c r="AB554" s="753"/>
      <c r="AC554" s="753"/>
      <c r="AD554" s="753"/>
      <c r="AE554" s="753"/>
      <c r="AF554" s="753"/>
      <c r="AG554" s="753"/>
      <c r="AH554" s="753"/>
      <c r="AI554" s="753"/>
    </row>
    <row r="555" spans="24:35">
      <c r="X555" s="753"/>
      <c r="Y555" s="753"/>
      <c r="Z555" s="753"/>
      <c r="AA555" s="753"/>
      <c r="AB555" s="753"/>
      <c r="AC555" s="753"/>
      <c r="AD555" s="753"/>
      <c r="AE555" s="753"/>
      <c r="AF555" s="753"/>
      <c r="AG555" s="753"/>
      <c r="AH555" s="753"/>
      <c r="AI555" s="753"/>
    </row>
    <row r="556" spans="24:35">
      <c r="X556" s="753"/>
      <c r="Y556" s="753"/>
      <c r="Z556" s="753"/>
      <c r="AA556" s="753"/>
      <c r="AB556" s="753"/>
      <c r="AC556" s="753"/>
      <c r="AD556" s="753"/>
      <c r="AE556" s="753"/>
      <c r="AF556" s="753"/>
      <c r="AG556" s="753"/>
      <c r="AH556" s="753"/>
      <c r="AI556" s="753"/>
    </row>
    <row r="557" spans="24:35">
      <c r="X557" s="753"/>
      <c r="Y557" s="753"/>
      <c r="Z557" s="753"/>
      <c r="AA557" s="753"/>
      <c r="AB557" s="753"/>
      <c r="AC557" s="753"/>
      <c r="AD557" s="753"/>
      <c r="AE557" s="753"/>
      <c r="AF557" s="753"/>
      <c r="AG557" s="753"/>
      <c r="AH557" s="753"/>
      <c r="AI557" s="753"/>
    </row>
    <row r="558" spans="24:35">
      <c r="X558" s="753"/>
      <c r="Y558" s="753"/>
      <c r="Z558" s="753"/>
      <c r="AA558" s="753"/>
      <c r="AB558" s="753"/>
      <c r="AC558" s="753"/>
      <c r="AD558" s="753"/>
      <c r="AE558" s="753"/>
      <c r="AF558" s="753"/>
      <c r="AG558" s="753"/>
      <c r="AH558" s="753"/>
      <c r="AI558" s="753"/>
    </row>
    <row r="559" spans="24:35">
      <c r="X559" s="753"/>
      <c r="Y559" s="753"/>
      <c r="Z559" s="753"/>
      <c r="AA559" s="753"/>
      <c r="AB559" s="753"/>
      <c r="AC559" s="753"/>
      <c r="AD559" s="753"/>
      <c r="AE559" s="753"/>
      <c r="AF559" s="753"/>
      <c r="AG559" s="753"/>
      <c r="AH559" s="753"/>
      <c r="AI559" s="753"/>
    </row>
    <row r="560" spans="24:35">
      <c r="X560" s="753"/>
      <c r="Y560" s="753"/>
      <c r="Z560" s="753"/>
      <c r="AA560" s="753"/>
      <c r="AB560" s="753"/>
      <c r="AC560" s="753"/>
      <c r="AD560" s="753"/>
      <c r="AE560" s="753"/>
      <c r="AF560" s="753"/>
      <c r="AG560" s="753"/>
      <c r="AH560" s="753"/>
      <c r="AI560" s="753"/>
    </row>
    <row r="561" spans="24:35">
      <c r="X561" s="753"/>
      <c r="Y561" s="753"/>
      <c r="Z561" s="753"/>
      <c r="AA561" s="753"/>
      <c r="AB561" s="753"/>
      <c r="AC561" s="753"/>
      <c r="AD561" s="753"/>
      <c r="AE561" s="753"/>
      <c r="AF561" s="753"/>
      <c r="AG561" s="753"/>
      <c r="AH561" s="753"/>
      <c r="AI561" s="753"/>
    </row>
    <row r="562" spans="24:35">
      <c r="X562" s="753"/>
      <c r="Y562" s="753"/>
      <c r="Z562" s="753"/>
      <c r="AA562" s="753"/>
      <c r="AB562" s="753"/>
      <c r="AC562" s="753"/>
      <c r="AD562" s="753"/>
      <c r="AE562" s="753"/>
      <c r="AF562" s="753"/>
      <c r="AG562" s="753"/>
      <c r="AH562" s="753"/>
      <c r="AI562" s="753"/>
    </row>
    <row r="563" spans="24:35">
      <c r="X563" s="753"/>
      <c r="Y563" s="753"/>
      <c r="Z563" s="753"/>
      <c r="AA563" s="753"/>
      <c r="AB563" s="753"/>
      <c r="AC563" s="753"/>
      <c r="AD563" s="753"/>
      <c r="AE563" s="753"/>
      <c r="AF563" s="753"/>
      <c r="AG563" s="753"/>
      <c r="AH563" s="753"/>
      <c r="AI563" s="753"/>
    </row>
    <row r="564" spans="24:35">
      <c r="X564" s="753"/>
      <c r="Y564" s="753"/>
      <c r="Z564" s="753"/>
      <c r="AA564" s="753"/>
      <c r="AB564" s="753"/>
      <c r="AC564" s="753"/>
      <c r="AD564" s="753"/>
      <c r="AE564" s="753"/>
      <c r="AF564" s="753"/>
      <c r="AG564" s="753"/>
      <c r="AH564" s="753"/>
      <c r="AI564" s="753"/>
    </row>
    <row r="565" spans="24:35">
      <c r="X565" s="753"/>
      <c r="Y565" s="753"/>
      <c r="Z565" s="753"/>
      <c r="AA565" s="753"/>
      <c r="AB565" s="753"/>
      <c r="AC565" s="753"/>
      <c r="AD565" s="753"/>
      <c r="AE565" s="753"/>
      <c r="AF565" s="753"/>
      <c r="AG565" s="753"/>
      <c r="AH565" s="753"/>
      <c r="AI565" s="753"/>
    </row>
    <row r="566" spans="24:35">
      <c r="X566" s="753"/>
      <c r="Y566" s="753"/>
      <c r="Z566" s="753"/>
      <c r="AA566" s="753"/>
      <c r="AB566" s="753"/>
      <c r="AC566" s="753"/>
      <c r="AD566" s="753"/>
      <c r="AE566" s="753"/>
      <c r="AF566" s="753"/>
      <c r="AG566" s="753"/>
      <c r="AH566" s="753"/>
      <c r="AI566" s="753"/>
    </row>
    <row r="567" spans="24:35">
      <c r="X567" s="753"/>
      <c r="Y567" s="753"/>
      <c r="Z567" s="753"/>
      <c r="AA567" s="753"/>
      <c r="AB567" s="753"/>
      <c r="AC567" s="753"/>
      <c r="AD567" s="753"/>
      <c r="AE567" s="753"/>
      <c r="AF567" s="753"/>
      <c r="AG567" s="753"/>
      <c r="AH567" s="753"/>
      <c r="AI567" s="753"/>
    </row>
    <row r="568" spans="24:35">
      <c r="X568" s="753"/>
      <c r="Y568" s="753"/>
      <c r="Z568" s="753"/>
      <c r="AA568" s="753"/>
      <c r="AB568" s="753"/>
      <c r="AC568" s="753"/>
      <c r="AD568" s="753"/>
      <c r="AE568" s="753"/>
      <c r="AF568" s="753"/>
      <c r="AG568" s="753"/>
      <c r="AH568" s="753"/>
      <c r="AI568" s="753"/>
    </row>
    <row r="569" spans="24:35">
      <c r="X569" s="753"/>
      <c r="Y569" s="753"/>
      <c r="Z569" s="753"/>
      <c r="AA569" s="753"/>
      <c r="AB569" s="753"/>
      <c r="AC569" s="753"/>
      <c r="AD569" s="753"/>
      <c r="AE569" s="753"/>
      <c r="AF569" s="753"/>
      <c r="AG569" s="753"/>
      <c r="AH569" s="753"/>
      <c r="AI569" s="753"/>
    </row>
    <row r="570" spans="24:35">
      <c r="X570" s="753"/>
      <c r="Y570" s="753"/>
      <c r="Z570" s="753"/>
      <c r="AA570" s="753"/>
      <c r="AB570" s="753"/>
      <c r="AC570" s="753"/>
      <c r="AD570" s="753"/>
      <c r="AE570" s="753"/>
      <c r="AF570" s="753"/>
      <c r="AG570" s="753"/>
      <c r="AH570" s="753"/>
      <c r="AI570" s="753"/>
    </row>
    <row r="571" spans="24:35">
      <c r="X571" s="753"/>
      <c r="Y571" s="753"/>
      <c r="Z571" s="753"/>
      <c r="AA571" s="753"/>
      <c r="AB571" s="753"/>
      <c r="AC571" s="753"/>
      <c r="AD571" s="753"/>
      <c r="AE571" s="753"/>
      <c r="AF571" s="753"/>
      <c r="AG571" s="753"/>
      <c r="AH571" s="753"/>
      <c r="AI571" s="753"/>
    </row>
    <row r="572" spans="24:35">
      <c r="X572" s="753"/>
      <c r="Y572" s="753"/>
      <c r="Z572" s="753"/>
      <c r="AA572" s="753"/>
      <c r="AB572" s="753"/>
      <c r="AC572" s="753"/>
      <c r="AD572" s="753"/>
      <c r="AE572" s="753"/>
      <c r="AF572" s="753"/>
      <c r="AG572" s="753"/>
      <c r="AH572" s="753"/>
      <c r="AI572" s="753"/>
    </row>
    <row r="573" spans="24:35">
      <c r="X573" s="753"/>
      <c r="Y573" s="753"/>
      <c r="Z573" s="753"/>
      <c r="AA573" s="753"/>
      <c r="AB573" s="753"/>
      <c r="AC573" s="753"/>
      <c r="AD573" s="753"/>
      <c r="AE573" s="753"/>
      <c r="AF573" s="753"/>
      <c r="AG573" s="753"/>
      <c r="AH573" s="753"/>
      <c r="AI573" s="753"/>
    </row>
    <row r="574" spans="24:35">
      <c r="X574" s="753"/>
      <c r="Y574" s="753"/>
      <c r="Z574" s="753"/>
      <c r="AA574" s="753"/>
      <c r="AB574" s="753"/>
      <c r="AC574" s="753"/>
      <c r="AD574" s="753"/>
      <c r="AE574" s="753"/>
      <c r="AF574" s="753"/>
      <c r="AG574" s="753"/>
      <c r="AH574" s="753"/>
      <c r="AI574" s="753"/>
    </row>
    <row r="575" spans="24:35">
      <c r="X575" s="753"/>
      <c r="Y575" s="753"/>
      <c r="Z575" s="753"/>
      <c r="AA575" s="753"/>
      <c r="AB575" s="753"/>
      <c r="AC575" s="753"/>
      <c r="AD575" s="753"/>
      <c r="AE575" s="753"/>
      <c r="AF575" s="753"/>
      <c r="AG575" s="753"/>
      <c r="AH575" s="753"/>
      <c r="AI575" s="753"/>
    </row>
    <row r="576" spans="24:35">
      <c r="X576" s="753"/>
      <c r="Y576" s="753"/>
      <c r="Z576" s="753"/>
      <c r="AA576" s="753"/>
      <c r="AB576" s="753"/>
      <c r="AC576" s="753"/>
      <c r="AD576" s="753"/>
      <c r="AE576" s="753"/>
      <c r="AF576" s="753"/>
      <c r="AG576" s="753"/>
      <c r="AH576" s="753"/>
      <c r="AI576" s="753"/>
    </row>
    <row r="577" spans="24:35">
      <c r="X577" s="753"/>
      <c r="Y577" s="753"/>
      <c r="Z577" s="753"/>
      <c r="AA577" s="753"/>
      <c r="AB577" s="753"/>
      <c r="AC577" s="753"/>
      <c r="AD577" s="753"/>
      <c r="AE577" s="753"/>
      <c r="AF577" s="753"/>
      <c r="AG577" s="753"/>
      <c r="AH577" s="753"/>
      <c r="AI577" s="753"/>
    </row>
    <row r="578" spans="24:35">
      <c r="X578" s="753"/>
      <c r="Y578" s="753"/>
      <c r="Z578" s="753"/>
      <c r="AA578" s="753"/>
      <c r="AB578" s="753"/>
      <c r="AC578" s="753"/>
      <c r="AD578" s="753"/>
      <c r="AE578" s="753"/>
      <c r="AF578" s="753"/>
      <c r="AG578" s="753"/>
      <c r="AH578" s="753"/>
      <c r="AI578" s="753"/>
    </row>
    <row r="579" spans="24:35">
      <c r="X579" s="753"/>
      <c r="Y579" s="753"/>
      <c r="Z579" s="753"/>
      <c r="AA579" s="753"/>
      <c r="AB579" s="753"/>
      <c r="AC579" s="753"/>
      <c r="AD579" s="753"/>
      <c r="AE579" s="753"/>
      <c r="AF579" s="753"/>
      <c r="AG579" s="753"/>
      <c r="AH579" s="753"/>
      <c r="AI579" s="753"/>
    </row>
    <row r="580" spans="24:35">
      <c r="X580" s="753"/>
      <c r="Y580" s="753"/>
      <c r="Z580" s="753"/>
      <c r="AA580" s="753"/>
      <c r="AB580" s="753"/>
      <c r="AC580" s="753"/>
      <c r="AD580" s="753"/>
      <c r="AE580" s="753"/>
      <c r="AF580" s="753"/>
      <c r="AG580" s="753"/>
      <c r="AH580" s="753"/>
      <c r="AI580" s="753"/>
    </row>
    <row r="581" spans="24:35">
      <c r="X581" s="753"/>
      <c r="Y581" s="753"/>
      <c r="Z581" s="753"/>
      <c r="AA581" s="753"/>
      <c r="AB581" s="753"/>
      <c r="AC581" s="753"/>
      <c r="AD581" s="753"/>
      <c r="AE581" s="753"/>
      <c r="AF581" s="753"/>
      <c r="AG581" s="753"/>
      <c r="AH581" s="753"/>
      <c r="AI581" s="753"/>
    </row>
    <row r="582" spans="24:35">
      <c r="X582" s="753"/>
      <c r="Y582" s="753"/>
      <c r="Z582" s="753"/>
      <c r="AA582" s="753"/>
      <c r="AB582" s="753"/>
      <c r="AC582" s="753"/>
      <c r="AD582" s="753"/>
      <c r="AE582" s="753"/>
      <c r="AF582" s="753"/>
      <c r="AG582" s="753"/>
      <c r="AH582" s="753"/>
      <c r="AI582" s="753"/>
    </row>
    <row r="583" spans="24:35">
      <c r="X583" s="753"/>
      <c r="Y583" s="753"/>
      <c r="Z583" s="753"/>
      <c r="AA583" s="753"/>
      <c r="AB583" s="753"/>
      <c r="AC583" s="753"/>
      <c r="AD583" s="753"/>
      <c r="AE583" s="753"/>
      <c r="AF583" s="753"/>
      <c r="AG583" s="753"/>
      <c r="AH583" s="753"/>
      <c r="AI583" s="753"/>
    </row>
    <row r="584" spans="24:35">
      <c r="X584" s="753"/>
      <c r="Y584" s="753"/>
      <c r="Z584" s="753"/>
      <c r="AA584" s="753"/>
      <c r="AB584" s="753"/>
      <c r="AC584" s="753"/>
      <c r="AD584" s="753"/>
      <c r="AE584" s="753"/>
      <c r="AF584" s="753"/>
      <c r="AG584" s="753"/>
      <c r="AH584" s="753"/>
      <c r="AI584" s="753"/>
    </row>
    <row r="585" spans="24:35">
      <c r="X585" s="753"/>
      <c r="Y585" s="753"/>
      <c r="Z585" s="753"/>
      <c r="AA585" s="753"/>
      <c r="AB585" s="753"/>
      <c r="AC585" s="753"/>
      <c r="AD585" s="753"/>
      <c r="AE585" s="753"/>
      <c r="AF585" s="753"/>
      <c r="AG585" s="753"/>
      <c r="AH585" s="753"/>
      <c r="AI585" s="753"/>
    </row>
    <row r="586" spans="24:35">
      <c r="X586" s="753"/>
      <c r="Y586" s="753"/>
      <c r="Z586" s="753"/>
      <c r="AA586" s="753"/>
      <c r="AB586" s="753"/>
      <c r="AC586" s="753"/>
      <c r="AD586" s="753"/>
      <c r="AE586" s="753"/>
      <c r="AF586" s="753"/>
      <c r="AG586" s="753"/>
      <c r="AH586" s="753"/>
      <c r="AI586" s="753"/>
    </row>
    <row r="587" spans="24:35">
      <c r="X587" s="753"/>
      <c r="Y587" s="753"/>
      <c r="Z587" s="753"/>
      <c r="AA587" s="753"/>
      <c r="AB587" s="753"/>
      <c r="AC587" s="753"/>
      <c r="AD587" s="753"/>
      <c r="AE587" s="753"/>
      <c r="AF587" s="753"/>
      <c r="AG587" s="753"/>
      <c r="AH587" s="753"/>
      <c r="AI587" s="753"/>
    </row>
    <row r="588" spans="24:35">
      <c r="X588" s="753"/>
      <c r="Y588" s="753"/>
      <c r="Z588" s="753"/>
      <c r="AA588" s="753"/>
      <c r="AB588" s="753"/>
      <c r="AC588" s="753"/>
      <c r="AD588" s="753"/>
      <c r="AE588" s="753"/>
      <c r="AF588" s="753"/>
      <c r="AG588" s="753"/>
      <c r="AH588" s="753"/>
      <c r="AI588" s="753"/>
    </row>
    <row r="589" spans="24:35">
      <c r="X589" s="753"/>
      <c r="Y589" s="753"/>
      <c r="Z589" s="753"/>
      <c r="AA589" s="753"/>
      <c r="AB589" s="753"/>
      <c r="AC589" s="753"/>
      <c r="AD589" s="753"/>
      <c r="AE589" s="753"/>
      <c r="AF589" s="753"/>
      <c r="AG589" s="753"/>
      <c r="AH589" s="753"/>
      <c r="AI589" s="753"/>
    </row>
    <row r="590" spans="24:35">
      <c r="X590" s="753"/>
      <c r="Y590" s="753"/>
      <c r="Z590" s="753"/>
      <c r="AA590" s="753"/>
      <c r="AB590" s="753"/>
      <c r="AC590" s="753"/>
      <c r="AD590" s="753"/>
      <c r="AE590" s="753"/>
      <c r="AF590" s="753"/>
      <c r="AG590" s="753"/>
      <c r="AH590" s="753"/>
      <c r="AI590" s="753"/>
    </row>
    <row r="591" spans="24:35">
      <c r="X591" s="753"/>
      <c r="Y591" s="753"/>
      <c r="Z591" s="753"/>
      <c r="AA591" s="753"/>
      <c r="AB591" s="753"/>
      <c r="AC591" s="753"/>
      <c r="AD591" s="753"/>
      <c r="AE591" s="753"/>
      <c r="AF591" s="753"/>
      <c r="AG591" s="753"/>
      <c r="AH591" s="753"/>
      <c r="AI591" s="753"/>
    </row>
    <row r="592" spans="24:35">
      <c r="X592" s="753"/>
      <c r="Y592" s="753"/>
      <c r="Z592" s="753"/>
      <c r="AA592" s="753"/>
      <c r="AB592" s="753"/>
      <c r="AC592" s="753"/>
      <c r="AD592" s="753"/>
      <c r="AE592" s="753"/>
      <c r="AF592" s="753"/>
      <c r="AG592" s="753"/>
      <c r="AH592" s="753"/>
      <c r="AI592" s="753"/>
    </row>
    <row r="593" spans="24:35">
      <c r="X593" s="753"/>
      <c r="Y593" s="753"/>
      <c r="Z593" s="753"/>
      <c r="AA593" s="753"/>
      <c r="AB593" s="753"/>
      <c r="AC593" s="753"/>
      <c r="AD593" s="753"/>
      <c r="AE593" s="753"/>
      <c r="AF593" s="753"/>
      <c r="AG593" s="753"/>
      <c r="AH593" s="753"/>
      <c r="AI593" s="753"/>
    </row>
    <row r="594" spans="24:35">
      <c r="X594" s="753"/>
      <c r="Y594" s="753"/>
      <c r="Z594" s="753"/>
      <c r="AA594" s="753"/>
      <c r="AB594" s="753"/>
      <c r="AC594" s="753"/>
      <c r="AD594" s="753"/>
      <c r="AE594" s="753"/>
      <c r="AF594" s="753"/>
      <c r="AG594" s="753"/>
      <c r="AH594" s="753"/>
      <c r="AI594" s="753"/>
    </row>
    <row r="595" spans="24:35">
      <c r="X595" s="753"/>
      <c r="Y595" s="753"/>
      <c r="Z595" s="753"/>
      <c r="AA595" s="753"/>
      <c r="AB595" s="753"/>
      <c r="AC595" s="753"/>
      <c r="AD595" s="753"/>
      <c r="AE595" s="753"/>
      <c r="AF595" s="753"/>
      <c r="AG595" s="753"/>
      <c r="AH595" s="753"/>
      <c r="AI595" s="753"/>
    </row>
    <row r="596" spans="24:35">
      <c r="X596" s="753"/>
      <c r="Y596" s="753"/>
      <c r="Z596" s="753"/>
      <c r="AA596" s="753"/>
      <c r="AB596" s="753"/>
      <c r="AC596" s="753"/>
      <c r="AD596" s="753"/>
      <c r="AE596" s="753"/>
      <c r="AF596" s="753"/>
      <c r="AG596" s="753"/>
      <c r="AH596" s="753"/>
      <c r="AI596" s="753"/>
    </row>
    <row r="597" spans="24:35">
      <c r="X597" s="753"/>
      <c r="Y597" s="753"/>
      <c r="Z597" s="753"/>
      <c r="AA597" s="753"/>
      <c r="AB597" s="753"/>
      <c r="AC597" s="753"/>
      <c r="AD597" s="753"/>
      <c r="AE597" s="753"/>
      <c r="AF597" s="753"/>
      <c r="AG597" s="753"/>
      <c r="AH597" s="753"/>
      <c r="AI597" s="753"/>
    </row>
    <row r="598" spans="24:35">
      <c r="X598" s="753"/>
      <c r="Y598" s="753"/>
      <c r="Z598" s="753"/>
      <c r="AA598" s="753"/>
      <c r="AB598" s="753"/>
      <c r="AC598" s="753"/>
      <c r="AD598" s="753"/>
      <c r="AE598" s="753"/>
      <c r="AF598" s="753"/>
      <c r="AG598" s="753"/>
      <c r="AH598" s="753"/>
      <c r="AI598" s="753"/>
    </row>
    <row r="599" spans="24:35">
      <c r="X599" s="753"/>
      <c r="Y599" s="753"/>
      <c r="Z599" s="753"/>
      <c r="AA599" s="753"/>
      <c r="AB599" s="753"/>
      <c r="AC599" s="753"/>
      <c r="AD599" s="753"/>
      <c r="AE599" s="753"/>
      <c r="AF599" s="753"/>
      <c r="AG599" s="753"/>
      <c r="AH599" s="753"/>
      <c r="AI599" s="753"/>
    </row>
    <row r="600" spans="24:35">
      <c r="X600" s="753"/>
      <c r="Y600" s="753"/>
      <c r="Z600" s="753"/>
      <c r="AA600" s="753"/>
      <c r="AB600" s="753"/>
      <c r="AC600" s="753"/>
      <c r="AD600" s="753"/>
      <c r="AE600" s="753"/>
      <c r="AF600" s="753"/>
      <c r="AG600" s="753"/>
      <c r="AH600" s="753"/>
      <c r="AI600" s="753"/>
    </row>
    <row r="601" spans="24:35">
      <c r="X601" s="753"/>
      <c r="Y601" s="753"/>
      <c r="Z601" s="753"/>
      <c r="AA601" s="753"/>
      <c r="AB601" s="753"/>
      <c r="AC601" s="753"/>
      <c r="AD601" s="753"/>
      <c r="AE601" s="753"/>
      <c r="AF601" s="753"/>
      <c r="AG601" s="753"/>
      <c r="AH601" s="753"/>
      <c r="AI601" s="753"/>
    </row>
    <row r="602" spans="24:35">
      <c r="X602" s="753"/>
      <c r="Y602" s="753"/>
      <c r="Z602" s="753"/>
      <c r="AA602" s="753"/>
      <c r="AB602" s="753"/>
      <c r="AC602" s="753"/>
      <c r="AD602" s="753"/>
      <c r="AE602" s="753"/>
      <c r="AF602" s="753"/>
      <c r="AG602" s="753"/>
      <c r="AH602" s="753"/>
      <c r="AI602" s="753"/>
    </row>
    <row r="603" spans="24:35">
      <c r="X603" s="753"/>
      <c r="Y603" s="753"/>
      <c r="Z603" s="753"/>
      <c r="AA603" s="753"/>
      <c r="AB603" s="753"/>
      <c r="AC603" s="753"/>
      <c r="AD603" s="753"/>
      <c r="AE603" s="753"/>
      <c r="AF603" s="753"/>
      <c r="AG603" s="753"/>
      <c r="AH603" s="753"/>
      <c r="AI603" s="753"/>
    </row>
    <row r="604" spans="24:35">
      <c r="X604" s="753"/>
      <c r="Y604" s="753"/>
      <c r="Z604" s="753"/>
      <c r="AA604" s="753"/>
      <c r="AB604" s="753"/>
      <c r="AC604" s="753"/>
      <c r="AD604" s="753"/>
      <c r="AE604" s="753"/>
      <c r="AF604" s="753"/>
      <c r="AG604" s="753"/>
      <c r="AH604" s="753"/>
      <c r="AI604" s="753"/>
    </row>
    <row r="605" spans="24:35">
      <c r="X605" s="753"/>
      <c r="Y605" s="753"/>
      <c r="Z605" s="753"/>
      <c r="AA605" s="753"/>
      <c r="AB605" s="753"/>
      <c r="AC605" s="753"/>
      <c r="AD605" s="753"/>
      <c r="AE605" s="753"/>
      <c r="AF605" s="753"/>
      <c r="AG605" s="753"/>
      <c r="AH605" s="753"/>
      <c r="AI605" s="753"/>
    </row>
    <row r="606" spans="24:35">
      <c r="X606" s="753"/>
      <c r="Y606" s="753"/>
      <c r="Z606" s="753"/>
      <c r="AA606" s="753"/>
      <c r="AB606" s="753"/>
      <c r="AC606" s="753"/>
      <c r="AD606" s="753"/>
      <c r="AE606" s="753"/>
      <c r="AF606" s="753"/>
      <c r="AG606" s="753"/>
      <c r="AH606" s="753"/>
      <c r="AI606" s="753"/>
    </row>
    <row r="607" spans="24:35">
      <c r="X607" s="753"/>
      <c r="Y607" s="753"/>
      <c r="Z607" s="753"/>
      <c r="AA607" s="753"/>
      <c r="AB607" s="753"/>
      <c r="AC607" s="753"/>
      <c r="AD607" s="753"/>
      <c r="AE607" s="753"/>
      <c r="AF607" s="753"/>
      <c r="AG607" s="753"/>
      <c r="AH607" s="753"/>
      <c r="AI607" s="753"/>
    </row>
    <row r="608" spans="24:35">
      <c r="X608" s="753"/>
      <c r="Y608" s="753"/>
      <c r="Z608" s="753"/>
      <c r="AA608" s="753"/>
      <c r="AB608" s="753"/>
      <c r="AC608" s="753"/>
      <c r="AD608" s="753"/>
      <c r="AE608" s="753"/>
      <c r="AF608" s="753"/>
      <c r="AG608" s="753"/>
      <c r="AH608" s="753"/>
      <c r="AI608" s="753"/>
    </row>
    <row r="609" spans="24:35">
      <c r="X609" s="753"/>
      <c r="Y609" s="753"/>
      <c r="Z609" s="753"/>
      <c r="AA609" s="753"/>
      <c r="AB609" s="753"/>
      <c r="AC609" s="753"/>
      <c r="AD609" s="753"/>
      <c r="AE609" s="753"/>
      <c r="AF609" s="753"/>
      <c r="AG609" s="753"/>
      <c r="AH609" s="753"/>
      <c r="AI609" s="753"/>
    </row>
    <row r="610" spans="24:35">
      <c r="X610" s="753"/>
      <c r="Y610" s="753"/>
      <c r="Z610" s="753"/>
      <c r="AA610" s="753"/>
      <c r="AB610" s="753"/>
      <c r="AC610" s="753"/>
      <c r="AD610" s="753"/>
      <c r="AE610" s="753"/>
      <c r="AF610" s="753"/>
      <c r="AG610" s="753"/>
      <c r="AH610" s="753"/>
      <c r="AI610" s="753"/>
    </row>
    <row r="611" spans="24:35">
      <c r="X611" s="753"/>
      <c r="Y611" s="753"/>
      <c r="Z611" s="753"/>
      <c r="AA611" s="753"/>
      <c r="AB611" s="753"/>
      <c r="AC611" s="753"/>
      <c r="AD611" s="753"/>
      <c r="AE611" s="753"/>
      <c r="AF611" s="753"/>
      <c r="AG611" s="753"/>
      <c r="AH611" s="753"/>
      <c r="AI611" s="753"/>
    </row>
    <row r="612" spans="24:35">
      <c r="X612" s="753"/>
      <c r="Y612" s="753"/>
      <c r="Z612" s="753"/>
      <c r="AA612" s="753"/>
      <c r="AB612" s="753"/>
      <c r="AC612" s="753"/>
      <c r="AD612" s="753"/>
      <c r="AE612" s="753"/>
      <c r="AF612" s="753"/>
      <c r="AG612" s="753"/>
      <c r="AH612" s="753"/>
      <c r="AI612" s="753"/>
    </row>
    <row r="613" spans="24:35">
      <c r="X613" s="753"/>
      <c r="Y613" s="753"/>
      <c r="Z613" s="753"/>
      <c r="AA613" s="753"/>
      <c r="AB613" s="753"/>
      <c r="AC613" s="753"/>
      <c r="AD613" s="753"/>
      <c r="AE613" s="753"/>
      <c r="AF613" s="753"/>
      <c r="AG613" s="753"/>
      <c r="AH613" s="753"/>
      <c r="AI613" s="753"/>
    </row>
    <row r="614" spans="24:35">
      <c r="X614" s="753"/>
      <c r="Y614" s="753"/>
      <c r="Z614" s="753"/>
      <c r="AA614" s="753"/>
      <c r="AB614" s="753"/>
      <c r="AC614" s="753"/>
      <c r="AD614" s="753"/>
      <c r="AE614" s="753"/>
      <c r="AF614" s="753"/>
      <c r="AG614" s="753"/>
      <c r="AH614" s="753"/>
      <c r="AI614" s="753"/>
    </row>
    <row r="615" spans="24:35">
      <c r="X615" s="753"/>
      <c r="Y615" s="753"/>
      <c r="Z615" s="753"/>
      <c r="AA615" s="753"/>
      <c r="AB615" s="753"/>
      <c r="AC615" s="753"/>
      <c r="AD615" s="753"/>
      <c r="AE615" s="753"/>
      <c r="AF615" s="753"/>
      <c r="AG615" s="753"/>
      <c r="AH615" s="753"/>
      <c r="AI615" s="753"/>
    </row>
    <row r="616" spans="24:35">
      <c r="X616" s="753"/>
      <c r="Y616" s="753"/>
      <c r="Z616" s="753"/>
      <c r="AA616" s="753"/>
      <c r="AB616" s="753"/>
      <c r="AC616" s="753"/>
      <c r="AD616" s="753"/>
      <c r="AE616" s="753"/>
      <c r="AF616" s="753"/>
      <c r="AG616" s="753"/>
      <c r="AH616" s="753"/>
      <c r="AI616" s="753"/>
    </row>
    <row r="617" spans="24:35">
      <c r="X617" s="753"/>
      <c r="Y617" s="753"/>
      <c r="Z617" s="753"/>
      <c r="AA617" s="753"/>
      <c r="AB617" s="753"/>
      <c r="AC617" s="753"/>
      <c r="AD617" s="753"/>
      <c r="AE617" s="753"/>
      <c r="AF617" s="753"/>
      <c r="AG617" s="753"/>
      <c r="AH617" s="753"/>
      <c r="AI617" s="753"/>
    </row>
    <row r="618" spans="24:35">
      <c r="X618" s="753"/>
      <c r="Y618" s="753"/>
      <c r="Z618" s="753"/>
      <c r="AA618" s="753"/>
      <c r="AB618" s="753"/>
      <c r="AC618" s="753"/>
      <c r="AD618" s="753"/>
      <c r="AE618" s="753"/>
      <c r="AF618" s="753"/>
      <c r="AG618" s="753"/>
      <c r="AH618" s="753"/>
      <c r="AI618" s="753"/>
    </row>
    <row r="619" spans="24:35">
      <c r="X619" s="753"/>
      <c r="Y619" s="753"/>
      <c r="Z619" s="753"/>
      <c r="AA619" s="753"/>
      <c r="AB619" s="753"/>
      <c r="AC619" s="753"/>
      <c r="AD619" s="753"/>
      <c r="AE619" s="753"/>
      <c r="AF619" s="753"/>
      <c r="AG619" s="753"/>
      <c r="AH619" s="753"/>
      <c r="AI619" s="753"/>
    </row>
    <row r="620" spans="24:35">
      <c r="X620" s="753"/>
      <c r="Y620" s="753"/>
      <c r="Z620" s="753"/>
      <c r="AA620" s="753"/>
      <c r="AB620" s="753"/>
      <c r="AC620" s="753"/>
      <c r="AD620" s="753"/>
      <c r="AE620" s="753"/>
      <c r="AF620" s="753"/>
      <c r="AG620" s="753"/>
      <c r="AH620" s="753"/>
      <c r="AI620" s="753"/>
    </row>
    <row r="621" spans="24:35">
      <c r="X621" s="753"/>
      <c r="Y621" s="753"/>
      <c r="Z621" s="753"/>
      <c r="AA621" s="753"/>
      <c r="AB621" s="753"/>
      <c r="AC621" s="753"/>
      <c r="AD621" s="753"/>
      <c r="AE621" s="753"/>
      <c r="AF621" s="753"/>
      <c r="AG621" s="753"/>
      <c r="AH621" s="753"/>
      <c r="AI621" s="753"/>
    </row>
    <row r="622" spans="24:35">
      <c r="X622" s="753"/>
      <c r="Y622" s="753"/>
      <c r="Z622" s="753"/>
      <c r="AA622" s="753"/>
      <c r="AB622" s="753"/>
      <c r="AC622" s="753"/>
      <c r="AD622" s="753"/>
      <c r="AE622" s="753"/>
      <c r="AF622" s="753"/>
      <c r="AG622" s="753"/>
      <c r="AH622" s="753"/>
      <c r="AI622" s="753"/>
    </row>
    <row r="623" spans="24:35">
      <c r="X623" s="753"/>
      <c r="Y623" s="753"/>
      <c r="Z623" s="753"/>
      <c r="AA623" s="753"/>
      <c r="AB623" s="753"/>
      <c r="AC623" s="753"/>
      <c r="AD623" s="753"/>
      <c r="AE623" s="753"/>
      <c r="AF623" s="753"/>
      <c r="AG623" s="753"/>
      <c r="AH623" s="753"/>
      <c r="AI623" s="753"/>
    </row>
    <row r="624" spans="24:35">
      <c r="X624" s="753"/>
      <c r="Y624" s="753"/>
      <c r="Z624" s="753"/>
      <c r="AA624" s="753"/>
      <c r="AB624" s="753"/>
      <c r="AC624" s="753"/>
      <c r="AD624" s="753"/>
      <c r="AE624" s="753"/>
      <c r="AF624" s="753"/>
      <c r="AG624" s="753"/>
      <c r="AH624" s="753"/>
      <c r="AI624" s="753"/>
    </row>
    <row r="625" spans="24:35">
      <c r="X625" s="753"/>
      <c r="Y625" s="753"/>
      <c r="Z625" s="753"/>
      <c r="AA625" s="753"/>
      <c r="AB625" s="753"/>
      <c r="AC625" s="753"/>
      <c r="AD625" s="753"/>
      <c r="AE625" s="753"/>
      <c r="AF625" s="753"/>
      <c r="AG625" s="753"/>
      <c r="AH625" s="753"/>
      <c r="AI625" s="753"/>
    </row>
    <row r="626" spans="24:35">
      <c r="X626" s="753"/>
      <c r="Y626" s="753"/>
      <c r="Z626" s="753"/>
      <c r="AA626" s="753"/>
      <c r="AB626" s="753"/>
      <c r="AC626" s="753"/>
      <c r="AD626" s="753"/>
      <c r="AE626" s="753"/>
      <c r="AF626" s="753"/>
      <c r="AG626" s="753"/>
      <c r="AH626" s="753"/>
      <c r="AI626" s="753"/>
    </row>
    <row r="627" spans="24:35">
      <c r="X627" s="753"/>
      <c r="Y627" s="753"/>
      <c r="Z627" s="753"/>
      <c r="AA627" s="753"/>
      <c r="AB627" s="753"/>
      <c r="AC627" s="753"/>
      <c r="AD627" s="753"/>
      <c r="AE627" s="753"/>
      <c r="AF627" s="753"/>
      <c r="AG627" s="753"/>
      <c r="AH627" s="753"/>
      <c r="AI627" s="753"/>
    </row>
    <row r="628" spans="24:35">
      <c r="X628" s="753"/>
      <c r="Y628" s="753"/>
      <c r="Z628" s="753"/>
      <c r="AA628" s="753"/>
      <c r="AB628" s="753"/>
      <c r="AC628" s="753"/>
      <c r="AD628" s="753"/>
      <c r="AE628" s="753"/>
      <c r="AF628" s="753"/>
      <c r="AG628" s="753"/>
      <c r="AH628" s="753"/>
      <c r="AI628" s="753"/>
    </row>
    <row r="629" spans="24:35">
      <c r="X629" s="753"/>
      <c r="Y629" s="753"/>
      <c r="Z629" s="753"/>
      <c r="AA629" s="753"/>
      <c r="AB629" s="753"/>
      <c r="AC629" s="753"/>
      <c r="AD629" s="753"/>
      <c r="AE629" s="753"/>
      <c r="AF629" s="753"/>
      <c r="AG629" s="753"/>
      <c r="AH629" s="753"/>
      <c r="AI629" s="753"/>
    </row>
    <row r="630" spans="24:35">
      <c r="X630" s="753"/>
      <c r="Y630" s="753"/>
      <c r="Z630" s="753"/>
      <c r="AA630" s="753"/>
      <c r="AB630" s="753"/>
      <c r="AC630" s="753"/>
      <c r="AD630" s="753"/>
      <c r="AE630" s="753"/>
      <c r="AF630" s="753"/>
      <c r="AG630" s="753"/>
      <c r="AH630" s="753"/>
      <c r="AI630" s="753"/>
    </row>
    <row r="631" spans="24:35">
      <c r="X631" s="753"/>
      <c r="Y631" s="753"/>
      <c r="Z631" s="753"/>
      <c r="AA631" s="753"/>
      <c r="AB631" s="753"/>
      <c r="AC631" s="753"/>
      <c r="AD631" s="753"/>
      <c r="AE631" s="753"/>
      <c r="AF631" s="753"/>
      <c r="AG631" s="753"/>
      <c r="AH631" s="753"/>
      <c r="AI631" s="753"/>
    </row>
    <row r="632" spans="24:35">
      <c r="X632" s="753"/>
      <c r="Y632" s="753"/>
      <c r="Z632" s="753"/>
      <c r="AA632" s="753"/>
      <c r="AB632" s="753"/>
      <c r="AC632" s="753"/>
      <c r="AD632" s="753"/>
      <c r="AE632" s="753"/>
      <c r="AF632" s="753"/>
      <c r="AG632" s="753"/>
      <c r="AH632" s="753"/>
      <c r="AI632" s="753"/>
    </row>
    <row r="633" spans="24:35">
      <c r="X633" s="753"/>
      <c r="Y633" s="753"/>
      <c r="Z633" s="753"/>
      <c r="AA633" s="753"/>
      <c r="AB633" s="753"/>
      <c r="AC633" s="753"/>
      <c r="AD633" s="753"/>
      <c r="AE633" s="753"/>
      <c r="AF633" s="753"/>
      <c r="AG633" s="753"/>
      <c r="AH633" s="753"/>
      <c r="AI633" s="753"/>
    </row>
    <row r="634" spans="24:35">
      <c r="X634" s="753"/>
      <c r="Y634" s="753"/>
      <c r="Z634" s="753"/>
      <c r="AA634" s="753"/>
      <c r="AB634" s="753"/>
      <c r="AC634" s="753"/>
      <c r="AD634" s="753"/>
      <c r="AE634" s="753"/>
      <c r="AF634" s="753"/>
      <c r="AG634" s="753"/>
      <c r="AH634" s="753"/>
      <c r="AI634" s="753"/>
    </row>
    <row r="635" spans="24:35">
      <c r="X635" s="753"/>
      <c r="Y635" s="753"/>
      <c r="Z635" s="753"/>
      <c r="AA635" s="753"/>
      <c r="AB635" s="753"/>
      <c r="AC635" s="753"/>
      <c r="AD635" s="753"/>
      <c r="AE635" s="753"/>
      <c r="AF635" s="753"/>
      <c r="AG635" s="753"/>
      <c r="AH635" s="753"/>
      <c r="AI635" s="753"/>
    </row>
    <row r="636" spans="24:35">
      <c r="X636" s="753"/>
      <c r="Y636" s="753"/>
      <c r="Z636" s="753"/>
      <c r="AA636" s="753"/>
      <c r="AB636" s="753"/>
      <c r="AC636" s="753"/>
      <c r="AD636" s="753"/>
      <c r="AE636" s="753"/>
      <c r="AF636" s="753"/>
      <c r="AG636" s="753"/>
      <c r="AH636" s="753"/>
      <c r="AI636" s="753"/>
    </row>
    <row r="637" spans="24:35">
      <c r="X637" s="753"/>
      <c r="Y637" s="753"/>
      <c r="Z637" s="753"/>
      <c r="AA637" s="753"/>
      <c r="AB637" s="753"/>
      <c r="AC637" s="753"/>
      <c r="AD637" s="753"/>
      <c r="AE637" s="753"/>
      <c r="AF637" s="753"/>
      <c r="AG637" s="753"/>
      <c r="AH637" s="753"/>
      <c r="AI637" s="753"/>
    </row>
    <row r="638" spans="24:35">
      <c r="X638" s="753"/>
      <c r="Y638" s="753"/>
      <c r="Z638" s="753"/>
      <c r="AA638" s="753"/>
      <c r="AB638" s="753"/>
      <c r="AC638" s="753"/>
      <c r="AD638" s="753"/>
      <c r="AE638" s="753"/>
      <c r="AF638" s="753"/>
      <c r="AG638" s="753"/>
      <c r="AH638" s="753"/>
      <c r="AI638" s="753"/>
    </row>
    <row r="639" spans="24:35">
      <c r="X639" s="753"/>
      <c r="Y639" s="753"/>
      <c r="Z639" s="753"/>
      <c r="AA639" s="753"/>
      <c r="AB639" s="753"/>
      <c r="AC639" s="753"/>
      <c r="AD639" s="753"/>
      <c r="AE639" s="753"/>
      <c r="AF639" s="753"/>
      <c r="AG639" s="753"/>
      <c r="AH639" s="753"/>
      <c r="AI639" s="753"/>
    </row>
    <row r="640" spans="24:35">
      <c r="X640" s="753"/>
      <c r="Y640" s="753"/>
      <c r="Z640" s="753"/>
      <c r="AA640" s="753"/>
      <c r="AB640" s="753"/>
      <c r="AC640" s="753"/>
      <c r="AD640" s="753"/>
      <c r="AE640" s="753"/>
      <c r="AF640" s="753"/>
      <c r="AG640" s="753"/>
      <c r="AH640" s="753"/>
      <c r="AI640" s="753"/>
    </row>
    <row r="641" spans="24:35">
      <c r="X641" s="753"/>
      <c r="Y641" s="753"/>
      <c r="Z641" s="753"/>
      <c r="AA641" s="753"/>
      <c r="AB641" s="753"/>
      <c r="AC641" s="753"/>
      <c r="AD641" s="753"/>
      <c r="AE641" s="753"/>
      <c r="AF641" s="753"/>
      <c r="AG641" s="753"/>
      <c r="AH641" s="753"/>
      <c r="AI641" s="753"/>
    </row>
    <row r="642" spans="24:35">
      <c r="X642" s="753"/>
      <c r="Y642" s="753"/>
      <c r="Z642" s="753"/>
      <c r="AA642" s="753"/>
      <c r="AB642" s="753"/>
      <c r="AC642" s="753"/>
      <c r="AD642" s="753"/>
      <c r="AE642" s="753"/>
      <c r="AF642" s="753"/>
      <c r="AG642" s="753"/>
      <c r="AH642" s="753"/>
      <c r="AI642" s="753"/>
    </row>
    <row r="643" spans="24:35">
      <c r="X643" s="753"/>
      <c r="Y643" s="753"/>
      <c r="Z643" s="753"/>
      <c r="AA643" s="753"/>
      <c r="AB643" s="753"/>
      <c r="AC643" s="753"/>
      <c r="AD643" s="753"/>
      <c r="AE643" s="753"/>
      <c r="AF643" s="753"/>
      <c r="AG643" s="753"/>
      <c r="AH643" s="753"/>
      <c r="AI643" s="753"/>
    </row>
    <row r="644" spans="24:35">
      <c r="X644" s="753"/>
      <c r="Y644" s="753"/>
      <c r="Z644" s="753"/>
      <c r="AA644" s="753"/>
      <c r="AB644" s="753"/>
      <c r="AC644" s="753"/>
      <c r="AD644" s="753"/>
      <c r="AE644" s="753"/>
      <c r="AF644" s="753"/>
      <c r="AG644" s="753"/>
      <c r="AH644" s="753"/>
      <c r="AI644" s="753"/>
    </row>
    <row r="645" spans="24:35">
      <c r="X645" s="753"/>
      <c r="Y645" s="753"/>
      <c r="Z645" s="753"/>
      <c r="AA645" s="753"/>
      <c r="AB645" s="753"/>
      <c r="AC645" s="753"/>
      <c r="AD645" s="753"/>
      <c r="AE645" s="753"/>
      <c r="AF645" s="753"/>
      <c r="AG645" s="753"/>
      <c r="AH645" s="753"/>
      <c r="AI645" s="753"/>
    </row>
    <row r="646" spans="24:35">
      <c r="X646" s="753"/>
      <c r="Y646" s="753"/>
      <c r="Z646" s="753"/>
      <c r="AA646" s="753"/>
      <c r="AB646" s="753"/>
      <c r="AC646" s="753"/>
      <c r="AD646" s="753"/>
      <c r="AE646" s="753"/>
      <c r="AF646" s="753"/>
      <c r="AG646" s="753"/>
      <c r="AH646" s="753"/>
      <c r="AI646" s="753"/>
    </row>
    <row r="647" spans="24:35">
      <c r="X647" s="753"/>
      <c r="Y647" s="753"/>
      <c r="Z647" s="753"/>
      <c r="AA647" s="753"/>
      <c r="AB647" s="753"/>
      <c r="AC647" s="753"/>
      <c r="AD647" s="753"/>
      <c r="AE647" s="753"/>
      <c r="AF647" s="753"/>
      <c r="AG647" s="753"/>
      <c r="AH647" s="753"/>
      <c r="AI647" s="753"/>
    </row>
    <row r="648" spans="24:35">
      <c r="X648" s="753"/>
      <c r="Y648" s="753"/>
      <c r="Z648" s="753"/>
      <c r="AA648" s="753"/>
      <c r="AB648" s="753"/>
      <c r="AC648" s="753"/>
      <c r="AD648" s="753"/>
      <c r="AE648" s="753"/>
      <c r="AF648" s="753"/>
      <c r="AG648" s="753"/>
      <c r="AH648" s="753"/>
      <c r="AI648" s="753"/>
    </row>
    <row r="649" spans="24:35">
      <c r="X649" s="753"/>
      <c r="Y649" s="753"/>
      <c r="Z649" s="753"/>
      <c r="AA649" s="753"/>
      <c r="AB649" s="753"/>
      <c r="AC649" s="753"/>
      <c r="AD649" s="753"/>
      <c r="AE649" s="753"/>
      <c r="AF649" s="753"/>
      <c r="AG649" s="753"/>
      <c r="AH649" s="753"/>
      <c r="AI649" s="753"/>
    </row>
    <row r="650" spans="24:35">
      <c r="X650" s="753"/>
      <c r="Y650" s="753"/>
      <c r="Z650" s="753"/>
      <c r="AA650" s="753"/>
      <c r="AB650" s="753"/>
      <c r="AC650" s="753"/>
      <c r="AD650" s="753"/>
      <c r="AE650" s="753"/>
      <c r="AF650" s="753"/>
      <c r="AG650" s="753"/>
      <c r="AH650" s="753"/>
      <c r="AI650" s="753"/>
    </row>
    <row r="651" spans="24:35">
      <c r="X651" s="753"/>
      <c r="Y651" s="753"/>
      <c r="Z651" s="753"/>
      <c r="AA651" s="753"/>
      <c r="AB651" s="753"/>
      <c r="AC651" s="753"/>
      <c r="AD651" s="753"/>
      <c r="AE651" s="753"/>
      <c r="AF651" s="753"/>
      <c r="AG651" s="753"/>
      <c r="AH651" s="753"/>
      <c r="AI651" s="753"/>
    </row>
    <row r="652" spans="24:35">
      <c r="X652" s="753"/>
      <c r="Y652" s="753"/>
      <c r="Z652" s="753"/>
      <c r="AA652" s="753"/>
      <c r="AB652" s="753"/>
      <c r="AC652" s="753"/>
      <c r="AD652" s="753"/>
      <c r="AE652" s="753"/>
      <c r="AF652" s="753"/>
      <c r="AG652" s="753"/>
      <c r="AH652" s="753"/>
      <c r="AI652" s="753"/>
    </row>
    <row r="653" spans="24:35">
      <c r="X653" s="753"/>
      <c r="Y653" s="753"/>
      <c r="Z653" s="753"/>
      <c r="AA653" s="753"/>
      <c r="AB653" s="753"/>
      <c r="AC653" s="753"/>
      <c r="AD653" s="753"/>
      <c r="AE653" s="753"/>
      <c r="AF653" s="753"/>
      <c r="AG653" s="753"/>
      <c r="AH653" s="753"/>
      <c r="AI653" s="753"/>
    </row>
    <row r="654" spans="24:35">
      <c r="X654" s="753"/>
      <c r="Y654" s="753"/>
      <c r="Z654" s="753"/>
      <c r="AA654" s="753"/>
      <c r="AB654" s="753"/>
      <c r="AC654" s="753"/>
      <c r="AD654" s="753"/>
      <c r="AE654" s="753"/>
      <c r="AF654" s="753"/>
      <c r="AG654" s="753"/>
      <c r="AH654" s="753"/>
      <c r="AI654" s="753"/>
    </row>
    <row r="655" spans="24:35">
      <c r="X655" s="753"/>
      <c r="Y655" s="753"/>
      <c r="Z655" s="753"/>
      <c r="AA655" s="753"/>
      <c r="AB655" s="753"/>
      <c r="AC655" s="753"/>
      <c r="AD655" s="753"/>
      <c r="AE655" s="753"/>
      <c r="AF655" s="753"/>
      <c r="AG655" s="753"/>
      <c r="AH655" s="753"/>
      <c r="AI655" s="753"/>
    </row>
    <row r="656" spans="24:35">
      <c r="X656" s="753"/>
      <c r="Y656" s="753"/>
      <c r="Z656" s="753"/>
      <c r="AA656" s="753"/>
      <c r="AB656" s="753"/>
      <c r="AC656" s="753"/>
      <c r="AD656" s="753"/>
      <c r="AE656" s="753"/>
      <c r="AF656" s="753"/>
      <c r="AG656" s="753"/>
      <c r="AH656" s="753"/>
      <c r="AI656" s="753"/>
    </row>
    <row r="657" spans="24:35">
      <c r="X657" s="753"/>
      <c r="Y657" s="753"/>
      <c r="Z657" s="753"/>
      <c r="AA657" s="753"/>
      <c r="AB657" s="753"/>
      <c r="AC657" s="753"/>
      <c r="AD657" s="753"/>
      <c r="AE657" s="753"/>
      <c r="AF657" s="753"/>
      <c r="AG657" s="753"/>
      <c r="AH657" s="753"/>
      <c r="AI657" s="753"/>
    </row>
    <row r="658" spans="24:35">
      <c r="X658" s="753"/>
      <c r="Y658" s="753"/>
      <c r="Z658" s="753"/>
      <c r="AA658" s="753"/>
      <c r="AB658" s="753"/>
      <c r="AC658" s="753"/>
      <c r="AD658" s="753"/>
      <c r="AE658" s="753"/>
      <c r="AF658" s="753"/>
      <c r="AG658" s="753"/>
      <c r="AH658" s="753"/>
      <c r="AI658" s="753"/>
    </row>
    <row r="659" spans="24:35">
      <c r="X659" s="753"/>
      <c r="Y659" s="753"/>
      <c r="Z659" s="753"/>
      <c r="AA659" s="753"/>
      <c r="AB659" s="753"/>
      <c r="AC659" s="753"/>
      <c r="AD659" s="753"/>
      <c r="AE659" s="753"/>
      <c r="AF659" s="753"/>
      <c r="AG659" s="753"/>
      <c r="AH659" s="753"/>
      <c r="AI659" s="753"/>
    </row>
    <row r="660" spans="24:35">
      <c r="X660" s="753"/>
      <c r="Y660" s="753"/>
      <c r="Z660" s="753"/>
      <c r="AA660" s="753"/>
      <c r="AB660" s="753"/>
      <c r="AC660" s="753"/>
      <c r="AD660" s="753"/>
      <c r="AE660" s="753"/>
      <c r="AF660" s="753"/>
      <c r="AG660" s="753"/>
      <c r="AH660" s="753"/>
      <c r="AI660" s="753"/>
    </row>
    <row r="661" spans="24:35">
      <c r="X661" s="753"/>
      <c r="Y661" s="753"/>
      <c r="Z661" s="753"/>
      <c r="AA661" s="753"/>
      <c r="AB661" s="753"/>
      <c r="AC661" s="753"/>
      <c r="AD661" s="753"/>
      <c r="AE661" s="753"/>
      <c r="AF661" s="753"/>
      <c r="AG661" s="753"/>
      <c r="AH661" s="753"/>
      <c r="AI661" s="753"/>
    </row>
    <row r="662" spans="24:35">
      <c r="X662" s="753"/>
      <c r="Y662" s="753"/>
      <c r="Z662" s="753"/>
      <c r="AA662" s="753"/>
      <c r="AB662" s="753"/>
      <c r="AC662" s="753"/>
      <c r="AD662" s="753"/>
      <c r="AE662" s="753"/>
      <c r="AF662" s="753"/>
      <c r="AG662" s="753"/>
      <c r="AH662" s="753"/>
      <c r="AI662" s="753"/>
    </row>
    <row r="663" spans="24:35">
      <c r="X663" s="753"/>
      <c r="Y663" s="753"/>
      <c r="Z663" s="753"/>
      <c r="AA663" s="753"/>
      <c r="AB663" s="753"/>
      <c r="AC663" s="753"/>
      <c r="AD663" s="753"/>
      <c r="AE663" s="753"/>
      <c r="AF663" s="753"/>
      <c r="AG663" s="753"/>
      <c r="AH663" s="753"/>
      <c r="AI663" s="753"/>
    </row>
    <row r="664" spans="24:35">
      <c r="X664" s="753"/>
      <c r="Y664" s="753"/>
      <c r="Z664" s="753"/>
      <c r="AA664" s="753"/>
      <c r="AB664" s="753"/>
      <c r="AC664" s="753"/>
      <c r="AD664" s="753"/>
      <c r="AE664" s="753"/>
      <c r="AF664" s="753"/>
      <c r="AG664" s="753"/>
      <c r="AH664" s="753"/>
      <c r="AI664" s="753"/>
    </row>
    <row r="665" spans="24:35">
      <c r="X665" s="753"/>
      <c r="Y665" s="753"/>
      <c r="Z665" s="753"/>
      <c r="AA665" s="753"/>
      <c r="AB665" s="753"/>
      <c r="AC665" s="753"/>
      <c r="AD665" s="753"/>
      <c r="AE665" s="753"/>
      <c r="AF665" s="753"/>
      <c r="AG665" s="753"/>
      <c r="AH665" s="753"/>
      <c r="AI665" s="753"/>
    </row>
    <row r="666" spans="24:35">
      <c r="X666" s="753"/>
      <c r="Y666" s="753"/>
      <c r="Z666" s="753"/>
      <c r="AA666" s="753"/>
      <c r="AB666" s="753"/>
      <c r="AC666" s="753"/>
      <c r="AD666" s="753"/>
      <c r="AE666" s="753"/>
      <c r="AF666" s="753"/>
      <c r="AG666" s="753"/>
      <c r="AH666" s="753"/>
      <c r="AI666" s="753"/>
    </row>
    <row r="667" spans="24:35">
      <c r="X667" s="753"/>
      <c r="Y667" s="753"/>
      <c r="Z667" s="753"/>
      <c r="AA667" s="753"/>
      <c r="AB667" s="753"/>
      <c r="AC667" s="753"/>
      <c r="AD667" s="753"/>
      <c r="AE667" s="753"/>
      <c r="AF667" s="753"/>
      <c r="AG667" s="753"/>
      <c r="AH667" s="753"/>
      <c r="AI667" s="753"/>
    </row>
    <row r="668" spans="24:35">
      <c r="X668" s="753"/>
      <c r="Y668" s="753"/>
      <c r="Z668" s="753"/>
      <c r="AA668" s="753"/>
      <c r="AB668" s="753"/>
      <c r="AC668" s="753"/>
      <c r="AD668" s="753"/>
      <c r="AE668" s="753"/>
      <c r="AF668" s="753"/>
      <c r="AG668" s="753"/>
      <c r="AH668" s="753"/>
      <c r="AI668" s="753"/>
    </row>
    <row r="669" spans="24:35">
      <c r="X669" s="753"/>
      <c r="Y669" s="753"/>
      <c r="Z669" s="753"/>
      <c r="AA669" s="753"/>
      <c r="AB669" s="753"/>
      <c r="AC669" s="753"/>
      <c r="AD669" s="753"/>
      <c r="AE669" s="753"/>
      <c r="AF669" s="753"/>
      <c r="AG669" s="753"/>
      <c r="AH669" s="753"/>
      <c r="AI669" s="753"/>
    </row>
    <row r="670" spans="24:35">
      <c r="X670" s="753"/>
      <c r="Y670" s="753"/>
      <c r="Z670" s="753"/>
      <c r="AA670" s="753"/>
      <c r="AB670" s="753"/>
      <c r="AC670" s="753"/>
      <c r="AD670" s="753"/>
      <c r="AE670" s="753"/>
      <c r="AF670" s="753"/>
      <c r="AG670" s="753"/>
      <c r="AH670" s="753"/>
      <c r="AI670" s="753"/>
    </row>
    <row r="671" spans="24:35">
      <c r="X671" s="753"/>
      <c r="Y671" s="753"/>
      <c r="Z671" s="753"/>
      <c r="AA671" s="753"/>
      <c r="AB671" s="753"/>
      <c r="AC671" s="753"/>
      <c r="AD671" s="753"/>
      <c r="AE671" s="753"/>
      <c r="AF671" s="753"/>
      <c r="AG671" s="753"/>
      <c r="AH671" s="753"/>
      <c r="AI671" s="753"/>
    </row>
    <row r="672" spans="24:35">
      <c r="X672" s="753"/>
      <c r="Y672" s="753"/>
      <c r="Z672" s="753"/>
      <c r="AA672" s="753"/>
      <c r="AB672" s="753"/>
      <c r="AC672" s="753"/>
      <c r="AD672" s="753"/>
      <c r="AE672" s="753"/>
      <c r="AF672" s="753"/>
      <c r="AG672" s="753"/>
      <c r="AH672" s="753"/>
      <c r="AI672" s="753"/>
    </row>
    <row r="673" spans="24:35">
      <c r="X673" s="753"/>
      <c r="Y673" s="753"/>
      <c r="Z673" s="753"/>
      <c r="AA673" s="753"/>
      <c r="AB673" s="753"/>
      <c r="AC673" s="753"/>
      <c r="AD673" s="753"/>
      <c r="AE673" s="753"/>
      <c r="AF673" s="753"/>
      <c r="AG673" s="753"/>
      <c r="AH673" s="753"/>
      <c r="AI673" s="753"/>
    </row>
    <row r="674" spans="24:35">
      <c r="X674" s="753"/>
      <c r="Y674" s="753"/>
      <c r="Z674" s="753"/>
      <c r="AA674" s="753"/>
      <c r="AB674" s="753"/>
      <c r="AC674" s="753"/>
      <c r="AD674" s="753"/>
      <c r="AE674" s="753"/>
      <c r="AF674" s="753"/>
      <c r="AG674" s="753"/>
      <c r="AH674" s="753"/>
      <c r="AI674" s="753"/>
    </row>
    <row r="675" spans="24:35">
      <c r="X675" s="753"/>
      <c r="Y675" s="753"/>
      <c r="Z675" s="753"/>
      <c r="AA675" s="753"/>
      <c r="AB675" s="753"/>
      <c r="AC675" s="753"/>
      <c r="AD675" s="753"/>
      <c r="AE675" s="753"/>
      <c r="AF675" s="753"/>
      <c r="AG675" s="753"/>
      <c r="AH675" s="753"/>
      <c r="AI675" s="753"/>
    </row>
    <row r="676" spans="24:35">
      <c r="X676" s="753"/>
      <c r="Y676" s="753"/>
      <c r="Z676" s="753"/>
      <c r="AA676" s="753"/>
      <c r="AB676" s="753"/>
      <c r="AC676" s="753"/>
      <c r="AD676" s="753"/>
      <c r="AE676" s="753"/>
      <c r="AF676" s="753"/>
      <c r="AG676" s="753"/>
      <c r="AH676" s="753"/>
      <c r="AI676" s="753"/>
    </row>
    <row r="677" spans="24:35">
      <c r="X677" s="753"/>
      <c r="Y677" s="753"/>
      <c r="Z677" s="753"/>
      <c r="AA677" s="753"/>
      <c r="AB677" s="753"/>
      <c r="AC677" s="753"/>
      <c r="AD677" s="753"/>
      <c r="AE677" s="753"/>
      <c r="AF677" s="753"/>
      <c r="AG677" s="753"/>
      <c r="AH677" s="753"/>
      <c r="AI677" s="753"/>
    </row>
    <row r="678" spans="24:35">
      <c r="X678" s="753"/>
      <c r="Y678" s="753"/>
      <c r="Z678" s="753"/>
      <c r="AA678" s="753"/>
      <c r="AB678" s="753"/>
      <c r="AC678" s="753"/>
      <c r="AD678" s="753"/>
      <c r="AE678" s="753"/>
      <c r="AF678" s="753"/>
      <c r="AG678" s="753"/>
      <c r="AH678" s="753"/>
      <c r="AI678" s="753"/>
    </row>
    <row r="679" spans="24:35">
      <c r="X679" s="753"/>
      <c r="Y679" s="753"/>
      <c r="Z679" s="753"/>
      <c r="AA679" s="753"/>
      <c r="AB679" s="753"/>
      <c r="AC679" s="753"/>
      <c r="AD679" s="753"/>
      <c r="AE679" s="753"/>
      <c r="AF679" s="753"/>
      <c r="AG679" s="753"/>
      <c r="AH679" s="753"/>
      <c r="AI679" s="753"/>
    </row>
    <row r="680" spans="24:35">
      <c r="X680" s="753"/>
      <c r="Y680" s="753"/>
      <c r="Z680" s="753"/>
      <c r="AA680" s="753"/>
      <c r="AB680" s="753"/>
      <c r="AC680" s="753"/>
      <c r="AD680" s="753"/>
      <c r="AE680" s="753"/>
      <c r="AF680" s="753"/>
      <c r="AG680" s="753"/>
      <c r="AH680" s="753"/>
      <c r="AI680" s="753"/>
    </row>
    <row r="681" spans="24:35">
      <c r="X681" s="753"/>
      <c r="Y681" s="753"/>
      <c r="Z681" s="753"/>
      <c r="AA681" s="753"/>
      <c r="AB681" s="753"/>
      <c r="AC681" s="753"/>
      <c r="AD681" s="753"/>
      <c r="AE681" s="753"/>
      <c r="AF681" s="753"/>
      <c r="AG681" s="753"/>
      <c r="AH681" s="753"/>
      <c r="AI681" s="753"/>
    </row>
    <row r="682" spans="24:35">
      <c r="X682" s="753"/>
      <c r="Y682" s="753"/>
      <c r="Z682" s="753"/>
      <c r="AA682" s="753"/>
      <c r="AB682" s="753"/>
      <c r="AC682" s="753"/>
      <c r="AD682" s="753"/>
      <c r="AE682" s="753"/>
      <c r="AF682" s="753"/>
      <c r="AG682" s="753"/>
      <c r="AH682" s="753"/>
      <c r="AI682" s="753"/>
    </row>
    <row r="683" spans="24:35">
      <c r="X683" s="753"/>
      <c r="Y683" s="753"/>
      <c r="Z683" s="753"/>
      <c r="AA683" s="753"/>
      <c r="AB683" s="753"/>
      <c r="AC683" s="753"/>
      <c r="AD683" s="753"/>
      <c r="AE683" s="753"/>
      <c r="AF683" s="753"/>
      <c r="AG683" s="753"/>
      <c r="AH683" s="753"/>
      <c r="AI683" s="753"/>
    </row>
    <row r="684" spans="24:35">
      <c r="X684" s="753"/>
      <c r="Y684" s="753"/>
      <c r="Z684" s="753"/>
      <c r="AA684" s="753"/>
      <c r="AB684" s="753"/>
      <c r="AC684" s="753"/>
      <c r="AD684" s="753"/>
      <c r="AE684" s="753"/>
      <c r="AF684" s="753"/>
      <c r="AG684" s="753"/>
      <c r="AH684" s="753"/>
      <c r="AI684" s="753"/>
    </row>
    <row r="685" spans="24:35">
      <c r="X685" s="753"/>
      <c r="Y685" s="753"/>
      <c r="Z685" s="753"/>
      <c r="AA685" s="753"/>
      <c r="AB685" s="753"/>
      <c r="AC685" s="753"/>
      <c r="AD685" s="753"/>
      <c r="AE685" s="753"/>
      <c r="AF685" s="753"/>
      <c r="AG685" s="753"/>
      <c r="AH685" s="753"/>
      <c r="AI685" s="753"/>
    </row>
    <row r="686" spans="24:35">
      <c r="X686" s="753"/>
      <c r="Y686" s="753"/>
      <c r="Z686" s="753"/>
      <c r="AA686" s="753"/>
      <c r="AB686" s="753"/>
      <c r="AC686" s="753"/>
      <c r="AD686" s="753"/>
      <c r="AE686" s="753"/>
      <c r="AF686" s="753"/>
      <c r="AG686" s="753"/>
      <c r="AH686" s="753"/>
      <c r="AI686" s="753"/>
    </row>
    <row r="687" spans="24:35">
      <c r="X687" s="753"/>
      <c r="Y687" s="753"/>
      <c r="Z687" s="753"/>
      <c r="AA687" s="753"/>
      <c r="AB687" s="753"/>
      <c r="AC687" s="753"/>
      <c r="AD687" s="753"/>
      <c r="AE687" s="753"/>
      <c r="AF687" s="753"/>
      <c r="AG687" s="753"/>
      <c r="AH687" s="753"/>
      <c r="AI687" s="753"/>
    </row>
    <row r="688" spans="24:35">
      <c r="X688" s="753"/>
      <c r="Y688" s="753"/>
      <c r="Z688" s="753"/>
      <c r="AA688" s="753"/>
      <c r="AB688" s="753"/>
      <c r="AC688" s="753"/>
      <c r="AD688" s="753"/>
      <c r="AE688" s="753"/>
      <c r="AF688" s="753"/>
      <c r="AG688" s="753"/>
      <c r="AH688" s="753"/>
      <c r="AI688" s="753"/>
    </row>
    <row r="689" spans="24:35">
      <c r="X689" s="753"/>
      <c r="Y689" s="753"/>
      <c r="Z689" s="753"/>
      <c r="AA689" s="753"/>
      <c r="AB689" s="753"/>
      <c r="AC689" s="753"/>
      <c r="AD689" s="753"/>
      <c r="AE689" s="753"/>
      <c r="AF689" s="753"/>
      <c r="AG689" s="753"/>
      <c r="AH689" s="753"/>
      <c r="AI689" s="753"/>
    </row>
    <row r="690" spans="24:35">
      <c r="X690" s="753"/>
      <c r="Y690" s="753"/>
      <c r="Z690" s="753"/>
      <c r="AA690" s="753"/>
      <c r="AB690" s="753"/>
      <c r="AC690" s="753"/>
      <c r="AD690" s="753"/>
      <c r="AE690" s="753"/>
      <c r="AF690" s="753"/>
      <c r="AG690" s="753"/>
      <c r="AH690" s="753"/>
      <c r="AI690" s="753"/>
    </row>
    <row r="691" spans="24:35">
      <c r="X691" s="753"/>
      <c r="Y691" s="753"/>
      <c r="Z691" s="753"/>
      <c r="AA691" s="753"/>
      <c r="AB691" s="753"/>
      <c r="AC691" s="753"/>
      <c r="AD691" s="753"/>
      <c r="AE691" s="753"/>
      <c r="AF691" s="753"/>
      <c r="AG691" s="753"/>
      <c r="AH691" s="753"/>
      <c r="AI691" s="753"/>
    </row>
    <row r="692" spans="24:35">
      <c r="X692" s="753"/>
      <c r="Y692" s="753"/>
      <c r="Z692" s="753"/>
      <c r="AA692" s="753"/>
      <c r="AB692" s="753"/>
      <c r="AC692" s="753"/>
      <c r="AD692" s="753"/>
      <c r="AE692" s="753"/>
      <c r="AF692" s="753"/>
      <c r="AG692" s="753"/>
      <c r="AH692" s="753"/>
      <c r="AI692" s="753"/>
    </row>
    <row r="693" spans="24:35">
      <c r="X693" s="753"/>
      <c r="Y693" s="753"/>
      <c r="Z693" s="753"/>
      <c r="AA693" s="753"/>
      <c r="AB693" s="753"/>
      <c r="AC693" s="753"/>
      <c r="AD693" s="753"/>
      <c r="AE693" s="753"/>
      <c r="AF693" s="753"/>
      <c r="AG693" s="753"/>
      <c r="AH693" s="753"/>
      <c r="AI693" s="753"/>
    </row>
    <row r="694" spans="24:35">
      <c r="X694" s="753"/>
      <c r="Y694" s="753"/>
      <c r="Z694" s="753"/>
      <c r="AA694" s="753"/>
      <c r="AB694" s="753"/>
      <c r="AC694" s="753"/>
      <c r="AD694" s="753"/>
      <c r="AE694" s="753"/>
      <c r="AF694" s="753"/>
      <c r="AG694" s="753"/>
      <c r="AH694" s="753"/>
      <c r="AI694" s="753"/>
    </row>
    <row r="695" spans="24:35">
      <c r="X695" s="753"/>
      <c r="Y695" s="753"/>
      <c r="Z695" s="753"/>
      <c r="AA695" s="753"/>
      <c r="AB695" s="753"/>
      <c r="AC695" s="753"/>
      <c r="AD695" s="753"/>
      <c r="AE695" s="753"/>
      <c r="AF695" s="753"/>
      <c r="AG695" s="753"/>
      <c r="AH695" s="753"/>
      <c r="AI695" s="753"/>
    </row>
    <row r="696" spans="24:35">
      <c r="X696" s="753"/>
      <c r="Y696" s="753"/>
      <c r="Z696" s="753"/>
      <c r="AA696" s="753"/>
      <c r="AB696" s="753"/>
      <c r="AC696" s="753"/>
      <c r="AD696" s="753"/>
      <c r="AE696" s="753"/>
      <c r="AF696" s="753"/>
      <c r="AG696" s="753"/>
      <c r="AH696" s="753"/>
      <c r="AI696" s="753"/>
    </row>
    <row r="697" spans="24:35">
      <c r="X697" s="753"/>
      <c r="Y697" s="753"/>
      <c r="Z697" s="753"/>
      <c r="AA697" s="753"/>
      <c r="AB697" s="753"/>
      <c r="AC697" s="753"/>
      <c r="AD697" s="753"/>
      <c r="AE697" s="753"/>
      <c r="AF697" s="753"/>
      <c r="AG697" s="753"/>
      <c r="AH697" s="753"/>
      <c r="AI697" s="753"/>
    </row>
    <row r="698" spans="24:35">
      <c r="X698" s="753"/>
      <c r="Y698" s="753"/>
      <c r="Z698" s="753"/>
      <c r="AA698" s="753"/>
      <c r="AB698" s="753"/>
      <c r="AC698" s="753"/>
      <c r="AD698" s="753"/>
      <c r="AE698" s="753"/>
      <c r="AF698" s="753"/>
      <c r="AG698" s="753"/>
      <c r="AH698" s="753"/>
      <c r="AI698" s="753"/>
    </row>
    <row r="699" spans="24:35">
      <c r="X699" s="753"/>
      <c r="Y699" s="753"/>
      <c r="Z699" s="753"/>
      <c r="AA699" s="753"/>
      <c r="AB699" s="753"/>
      <c r="AC699" s="753"/>
      <c r="AD699" s="753"/>
      <c r="AE699" s="753"/>
      <c r="AF699" s="753"/>
      <c r="AG699" s="753"/>
      <c r="AH699" s="753"/>
      <c r="AI699" s="753"/>
    </row>
    <row r="700" spans="24:35">
      <c r="X700" s="753"/>
      <c r="Y700" s="753"/>
      <c r="Z700" s="753"/>
      <c r="AA700" s="753"/>
      <c r="AB700" s="753"/>
      <c r="AC700" s="753"/>
      <c r="AD700" s="753"/>
      <c r="AE700" s="753"/>
      <c r="AF700" s="753"/>
      <c r="AG700" s="753"/>
      <c r="AH700" s="753"/>
      <c r="AI700" s="753"/>
    </row>
    <row r="701" spans="24:35">
      <c r="X701" s="753"/>
      <c r="Y701" s="753"/>
      <c r="Z701" s="753"/>
      <c r="AA701" s="753"/>
      <c r="AB701" s="753"/>
      <c r="AC701" s="753"/>
      <c r="AD701" s="753"/>
      <c r="AE701" s="753"/>
      <c r="AF701" s="753"/>
      <c r="AG701" s="753"/>
      <c r="AH701" s="753"/>
      <c r="AI701" s="753"/>
    </row>
    <row r="702" spans="24:35">
      <c r="X702" s="753"/>
      <c r="Y702" s="753"/>
      <c r="Z702" s="753"/>
      <c r="AA702" s="753"/>
      <c r="AB702" s="753"/>
      <c r="AC702" s="753"/>
      <c r="AD702" s="753"/>
      <c r="AE702" s="753"/>
      <c r="AF702" s="753"/>
      <c r="AG702" s="753"/>
      <c r="AH702" s="753"/>
      <c r="AI702" s="753"/>
    </row>
    <row r="703" spans="24:35">
      <c r="X703" s="753"/>
      <c r="Y703" s="753"/>
      <c r="Z703" s="753"/>
      <c r="AA703" s="753"/>
      <c r="AB703" s="753"/>
      <c r="AC703" s="753"/>
      <c r="AD703" s="753"/>
      <c r="AE703" s="753"/>
      <c r="AF703" s="753"/>
      <c r="AG703" s="753"/>
      <c r="AH703" s="753"/>
      <c r="AI703" s="753"/>
    </row>
    <row r="704" spans="24:35">
      <c r="X704" s="753"/>
      <c r="Y704" s="753"/>
      <c r="Z704" s="753"/>
      <c r="AA704" s="753"/>
      <c r="AB704" s="753"/>
      <c r="AC704" s="753"/>
      <c r="AD704" s="753"/>
      <c r="AE704" s="753"/>
      <c r="AF704" s="753"/>
      <c r="AG704" s="753"/>
      <c r="AH704" s="753"/>
      <c r="AI704" s="753"/>
    </row>
    <row r="705" spans="24:35">
      <c r="X705" s="753"/>
      <c r="Y705" s="753"/>
      <c r="Z705" s="753"/>
      <c r="AA705" s="753"/>
      <c r="AB705" s="753"/>
      <c r="AC705" s="753"/>
      <c r="AD705" s="753"/>
      <c r="AE705" s="753"/>
      <c r="AF705" s="753"/>
      <c r="AG705" s="753"/>
      <c r="AH705" s="753"/>
      <c r="AI705" s="753"/>
    </row>
    <row r="706" spans="24:35">
      <c r="X706" s="753"/>
      <c r="Y706" s="753"/>
      <c r="Z706" s="753"/>
      <c r="AA706" s="753"/>
      <c r="AB706" s="753"/>
      <c r="AC706" s="753"/>
      <c r="AD706" s="753"/>
      <c r="AE706" s="753"/>
      <c r="AF706" s="753"/>
      <c r="AG706" s="753"/>
      <c r="AH706" s="753"/>
      <c r="AI706" s="753"/>
    </row>
    <row r="707" spans="24:35">
      <c r="X707" s="753"/>
      <c r="Y707" s="753"/>
      <c r="Z707" s="753"/>
      <c r="AA707" s="753"/>
      <c r="AB707" s="753"/>
      <c r="AC707" s="753"/>
      <c r="AD707" s="753"/>
      <c r="AE707" s="753"/>
      <c r="AF707" s="753"/>
      <c r="AG707" s="753"/>
      <c r="AH707" s="753"/>
      <c r="AI707" s="753"/>
    </row>
    <row r="708" spans="24:35">
      <c r="X708" s="753"/>
      <c r="Y708" s="753"/>
      <c r="Z708" s="753"/>
      <c r="AA708" s="753"/>
      <c r="AB708" s="753"/>
      <c r="AC708" s="753"/>
      <c r="AD708" s="753"/>
      <c r="AE708" s="753"/>
      <c r="AF708" s="753"/>
      <c r="AG708" s="753"/>
      <c r="AH708" s="753"/>
      <c r="AI708" s="753"/>
    </row>
    <row r="709" spans="24:35">
      <c r="X709" s="753"/>
      <c r="Y709" s="753"/>
      <c r="Z709" s="753"/>
      <c r="AA709" s="753"/>
      <c r="AB709" s="753"/>
      <c r="AC709" s="753"/>
      <c r="AD709" s="753"/>
      <c r="AE709" s="753"/>
      <c r="AF709" s="753"/>
      <c r="AG709" s="753"/>
      <c r="AH709" s="753"/>
      <c r="AI709" s="753"/>
    </row>
    <row r="710" spans="24:35">
      <c r="X710" s="753"/>
      <c r="Y710" s="753"/>
      <c r="Z710" s="753"/>
      <c r="AA710" s="753"/>
      <c r="AB710" s="753"/>
      <c r="AC710" s="753"/>
      <c r="AD710" s="753"/>
      <c r="AE710" s="753"/>
      <c r="AF710" s="753"/>
      <c r="AG710" s="753"/>
      <c r="AH710" s="753"/>
      <c r="AI710" s="753"/>
    </row>
    <row r="711" spans="24:35">
      <c r="X711" s="753"/>
      <c r="Y711" s="753"/>
      <c r="Z711" s="753"/>
      <c r="AA711" s="753"/>
      <c r="AB711" s="753"/>
      <c r="AC711" s="753"/>
      <c r="AD711" s="753"/>
      <c r="AE711" s="753"/>
      <c r="AF711" s="753"/>
      <c r="AG711" s="753"/>
      <c r="AH711" s="753"/>
      <c r="AI711" s="753"/>
    </row>
    <row r="712" spans="24:35">
      <c r="X712" s="753"/>
      <c r="Y712" s="753"/>
      <c r="Z712" s="753"/>
      <c r="AA712" s="753"/>
      <c r="AB712" s="753"/>
      <c r="AC712" s="753"/>
      <c r="AD712" s="753"/>
      <c r="AE712" s="753"/>
      <c r="AF712" s="753"/>
      <c r="AG712" s="753"/>
      <c r="AH712" s="753"/>
      <c r="AI712" s="753"/>
    </row>
    <row r="713" spans="24:35">
      <c r="X713" s="753"/>
      <c r="Y713" s="753"/>
      <c r="Z713" s="753"/>
      <c r="AA713" s="753"/>
      <c r="AB713" s="753"/>
      <c r="AC713" s="753"/>
      <c r="AD713" s="753"/>
      <c r="AE713" s="753"/>
      <c r="AF713" s="753"/>
      <c r="AG713" s="753"/>
      <c r="AH713" s="753"/>
      <c r="AI713" s="753"/>
    </row>
    <row r="714" spans="24:35">
      <c r="X714" s="753"/>
      <c r="Y714" s="753"/>
      <c r="Z714" s="753"/>
      <c r="AA714" s="753"/>
      <c r="AB714" s="753"/>
      <c r="AC714" s="753"/>
      <c r="AD714" s="753"/>
      <c r="AE714" s="753"/>
      <c r="AF714" s="753"/>
      <c r="AG714" s="753"/>
      <c r="AH714" s="753"/>
      <c r="AI714" s="753"/>
    </row>
    <row r="715" spans="24:35">
      <c r="X715" s="753"/>
      <c r="Y715" s="753"/>
      <c r="Z715" s="753"/>
      <c r="AA715" s="753"/>
      <c r="AB715" s="753"/>
      <c r="AC715" s="753"/>
      <c r="AD715" s="753"/>
      <c r="AE715" s="753"/>
      <c r="AF715" s="753"/>
      <c r="AG715" s="753"/>
      <c r="AH715" s="753"/>
      <c r="AI715" s="753"/>
    </row>
    <row r="716" spans="24:35">
      <c r="X716" s="753"/>
      <c r="Y716" s="753"/>
      <c r="Z716" s="753"/>
      <c r="AA716" s="753"/>
      <c r="AB716" s="753"/>
      <c r="AC716" s="753"/>
      <c r="AD716" s="753"/>
      <c r="AE716" s="753"/>
      <c r="AF716" s="753"/>
      <c r="AG716" s="753"/>
      <c r="AH716" s="753"/>
      <c r="AI716" s="753"/>
    </row>
    <row r="717" spans="24:35">
      <c r="X717" s="753"/>
      <c r="Y717" s="753"/>
      <c r="Z717" s="753"/>
      <c r="AA717" s="753"/>
      <c r="AB717" s="753"/>
      <c r="AC717" s="753"/>
      <c r="AD717" s="753"/>
      <c r="AE717" s="753"/>
      <c r="AF717" s="753"/>
      <c r="AG717" s="753"/>
      <c r="AH717" s="753"/>
      <c r="AI717" s="753"/>
    </row>
    <row r="718" spans="24:35">
      <c r="X718" s="753"/>
      <c r="Y718" s="753"/>
      <c r="Z718" s="753"/>
      <c r="AA718" s="753"/>
      <c r="AB718" s="753"/>
      <c r="AC718" s="753"/>
      <c r="AD718" s="753"/>
      <c r="AE718" s="753"/>
      <c r="AF718" s="753"/>
      <c r="AG718" s="753"/>
      <c r="AH718" s="753"/>
      <c r="AI718" s="753"/>
    </row>
    <row r="719" spans="24:35">
      <c r="X719" s="753"/>
      <c r="Y719" s="753"/>
      <c r="Z719" s="753"/>
      <c r="AA719" s="753"/>
      <c r="AB719" s="753"/>
      <c r="AC719" s="753"/>
      <c r="AD719" s="753"/>
      <c r="AE719" s="753"/>
      <c r="AF719" s="753"/>
      <c r="AG719" s="753"/>
      <c r="AH719" s="753"/>
      <c r="AI719" s="753"/>
    </row>
    <row r="720" spans="24:35">
      <c r="X720" s="753"/>
      <c r="Y720" s="753"/>
      <c r="Z720" s="753"/>
      <c r="AA720" s="753"/>
      <c r="AB720" s="753"/>
      <c r="AC720" s="753"/>
      <c r="AD720" s="753"/>
      <c r="AE720" s="753"/>
      <c r="AF720" s="753"/>
      <c r="AG720" s="753"/>
      <c r="AH720" s="753"/>
      <c r="AI720" s="753"/>
    </row>
    <row r="721" spans="24:35">
      <c r="X721" s="753"/>
      <c r="Y721" s="753"/>
      <c r="Z721" s="753"/>
      <c r="AA721" s="753"/>
      <c r="AB721" s="753"/>
      <c r="AC721" s="753"/>
      <c r="AD721" s="753"/>
      <c r="AE721" s="753"/>
      <c r="AF721" s="753"/>
      <c r="AG721" s="753"/>
      <c r="AH721" s="753"/>
      <c r="AI721" s="753"/>
    </row>
    <row r="722" spans="24:35">
      <c r="X722" s="753"/>
      <c r="Y722" s="753"/>
      <c r="Z722" s="753"/>
      <c r="AA722" s="753"/>
      <c r="AB722" s="753"/>
      <c r="AC722" s="753"/>
      <c r="AD722" s="753"/>
      <c r="AE722" s="753"/>
      <c r="AF722" s="753"/>
      <c r="AG722" s="753"/>
      <c r="AH722" s="753"/>
      <c r="AI722" s="753"/>
    </row>
    <row r="723" spans="24:35">
      <c r="X723" s="753"/>
      <c r="Y723" s="753"/>
      <c r="Z723" s="753"/>
      <c r="AA723" s="753"/>
      <c r="AB723" s="753"/>
      <c r="AC723" s="753"/>
      <c r="AD723" s="753"/>
      <c r="AE723" s="753"/>
      <c r="AF723" s="753"/>
      <c r="AG723" s="753"/>
      <c r="AH723" s="753"/>
      <c r="AI723" s="753"/>
    </row>
    <row r="724" spans="24:35">
      <c r="X724" s="753"/>
      <c r="Y724" s="753"/>
      <c r="Z724" s="753"/>
      <c r="AA724" s="753"/>
      <c r="AB724" s="753"/>
      <c r="AC724" s="753"/>
      <c r="AD724" s="753"/>
      <c r="AE724" s="753"/>
      <c r="AF724" s="753"/>
      <c r="AG724" s="753"/>
      <c r="AH724" s="753"/>
      <c r="AI724" s="753"/>
    </row>
    <row r="725" spans="24:35">
      <c r="X725" s="753"/>
      <c r="Y725" s="753"/>
      <c r="Z725" s="753"/>
      <c r="AA725" s="753"/>
      <c r="AB725" s="753"/>
      <c r="AC725" s="753"/>
      <c r="AD725" s="753"/>
      <c r="AE725" s="753"/>
      <c r="AF725" s="753"/>
      <c r="AG725" s="753"/>
      <c r="AH725" s="753"/>
      <c r="AI725" s="753"/>
    </row>
    <row r="726" spans="24:35">
      <c r="X726" s="753"/>
      <c r="Y726" s="753"/>
      <c r="Z726" s="753"/>
      <c r="AA726" s="753"/>
      <c r="AB726" s="753"/>
      <c r="AC726" s="753"/>
      <c r="AD726" s="753"/>
      <c r="AE726" s="753"/>
      <c r="AF726" s="753"/>
      <c r="AG726" s="753"/>
      <c r="AH726" s="753"/>
      <c r="AI726" s="753"/>
    </row>
    <row r="727" spans="24:35">
      <c r="X727" s="753"/>
      <c r="Y727" s="753"/>
      <c r="Z727" s="753"/>
      <c r="AA727" s="753"/>
      <c r="AB727" s="753"/>
      <c r="AC727" s="753"/>
      <c r="AD727" s="753"/>
      <c r="AE727" s="753"/>
      <c r="AF727" s="753"/>
      <c r="AG727" s="753"/>
      <c r="AH727" s="753"/>
      <c r="AI727" s="753"/>
    </row>
    <row r="728" spans="24:35">
      <c r="X728" s="753"/>
      <c r="Y728" s="753"/>
      <c r="Z728" s="753"/>
      <c r="AA728" s="753"/>
      <c r="AB728" s="753"/>
      <c r="AC728" s="753"/>
      <c r="AD728" s="753"/>
      <c r="AE728" s="753"/>
      <c r="AF728" s="753"/>
      <c r="AG728" s="753"/>
      <c r="AH728" s="753"/>
      <c r="AI728" s="753"/>
    </row>
    <row r="729" spans="24:35">
      <c r="X729" s="753"/>
      <c r="Y729" s="753"/>
      <c r="Z729" s="753"/>
      <c r="AA729" s="753"/>
      <c r="AB729" s="753"/>
      <c r="AC729" s="753"/>
      <c r="AD729" s="753"/>
      <c r="AE729" s="753"/>
      <c r="AF729" s="753"/>
      <c r="AG729" s="753"/>
      <c r="AH729" s="753"/>
      <c r="AI729" s="753"/>
    </row>
    <row r="730" spans="24:35">
      <c r="X730" s="753"/>
      <c r="Y730" s="753"/>
      <c r="Z730" s="753"/>
      <c r="AA730" s="753"/>
      <c r="AB730" s="753"/>
      <c r="AC730" s="753"/>
      <c r="AD730" s="753"/>
      <c r="AE730" s="753"/>
      <c r="AF730" s="753"/>
      <c r="AG730" s="753"/>
      <c r="AH730" s="753"/>
      <c r="AI730" s="753"/>
    </row>
    <row r="731" spans="24:35">
      <c r="X731" s="753"/>
      <c r="Y731" s="753"/>
      <c r="Z731" s="753"/>
      <c r="AA731" s="753"/>
      <c r="AB731" s="753"/>
      <c r="AC731" s="753"/>
      <c r="AD731" s="753"/>
      <c r="AE731" s="753"/>
      <c r="AF731" s="753"/>
      <c r="AG731" s="753"/>
      <c r="AH731" s="753"/>
      <c r="AI731" s="753"/>
    </row>
    <row r="732" spans="24:35">
      <c r="X732" s="753"/>
      <c r="Y732" s="753"/>
      <c r="Z732" s="753"/>
      <c r="AA732" s="753"/>
      <c r="AB732" s="753"/>
      <c r="AC732" s="753"/>
      <c r="AD732" s="753"/>
      <c r="AE732" s="753"/>
      <c r="AF732" s="753"/>
      <c r="AG732" s="753"/>
      <c r="AH732" s="753"/>
      <c r="AI732" s="753"/>
    </row>
    <row r="733" spans="24:35">
      <c r="X733" s="753"/>
      <c r="Y733" s="753"/>
      <c r="Z733" s="753"/>
      <c r="AA733" s="753"/>
      <c r="AB733" s="753"/>
      <c r="AC733" s="753"/>
      <c r="AD733" s="753"/>
      <c r="AE733" s="753"/>
      <c r="AF733" s="753"/>
      <c r="AG733" s="753"/>
      <c r="AH733" s="753"/>
      <c r="AI733" s="753"/>
    </row>
    <row r="734" spans="24:35">
      <c r="X734" s="753"/>
      <c r="Y734" s="753"/>
      <c r="Z734" s="753"/>
      <c r="AA734" s="753"/>
      <c r="AB734" s="753"/>
      <c r="AC734" s="753"/>
      <c r="AD734" s="753"/>
      <c r="AE734" s="753"/>
      <c r="AF734" s="753"/>
      <c r="AG734" s="753"/>
      <c r="AH734" s="753"/>
      <c r="AI734" s="753"/>
    </row>
    <row r="735" spans="24:35">
      <c r="X735" s="753"/>
      <c r="Y735" s="753"/>
      <c r="Z735" s="753"/>
      <c r="AA735" s="753"/>
      <c r="AB735" s="753"/>
      <c r="AC735" s="753"/>
      <c r="AD735" s="753"/>
      <c r="AE735" s="753"/>
      <c r="AF735" s="753"/>
      <c r="AG735" s="753"/>
      <c r="AH735" s="753"/>
      <c r="AI735" s="753"/>
    </row>
    <row r="736" spans="24:35">
      <c r="X736" s="753"/>
      <c r="Y736" s="753"/>
      <c r="Z736" s="753"/>
      <c r="AA736" s="753"/>
      <c r="AB736" s="753"/>
      <c r="AC736" s="753"/>
      <c r="AD736" s="753"/>
      <c r="AE736" s="753"/>
      <c r="AF736" s="753"/>
      <c r="AG736" s="753"/>
      <c r="AH736" s="753"/>
      <c r="AI736" s="753"/>
    </row>
    <row r="737" spans="24:35">
      <c r="X737" s="753"/>
      <c r="Y737" s="753"/>
      <c r="Z737" s="753"/>
      <c r="AA737" s="753"/>
      <c r="AB737" s="753"/>
      <c r="AC737" s="753"/>
      <c r="AD737" s="753"/>
      <c r="AE737" s="753"/>
      <c r="AF737" s="753"/>
      <c r="AG737" s="753"/>
      <c r="AH737" s="753"/>
      <c r="AI737" s="753"/>
    </row>
    <row r="738" spans="24:35">
      <c r="X738" s="753"/>
      <c r="Y738" s="753"/>
      <c r="Z738" s="753"/>
      <c r="AA738" s="753"/>
      <c r="AB738" s="753"/>
      <c r="AC738" s="753"/>
      <c r="AD738" s="753"/>
      <c r="AE738" s="753"/>
      <c r="AF738" s="753"/>
      <c r="AG738" s="753"/>
      <c r="AH738" s="753"/>
      <c r="AI738" s="753"/>
    </row>
    <row r="739" spans="24:35">
      <c r="X739" s="753"/>
      <c r="Y739" s="753"/>
      <c r="Z739" s="753"/>
      <c r="AA739" s="753"/>
      <c r="AB739" s="753"/>
      <c r="AC739" s="753"/>
      <c r="AD739" s="753"/>
      <c r="AE739" s="753"/>
      <c r="AF739" s="753"/>
      <c r="AG739" s="753"/>
      <c r="AH739" s="753"/>
      <c r="AI739" s="753"/>
    </row>
    <row r="740" spans="24:35">
      <c r="X740" s="753"/>
      <c r="Y740" s="753"/>
      <c r="Z740" s="753"/>
      <c r="AA740" s="753"/>
      <c r="AB740" s="753"/>
      <c r="AC740" s="753"/>
      <c r="AD740" s="753"/>
      <c r="AE740" s="753"/>
      <c r="AF740" s="753"/>
      <c r="AG740" s="753"/>
      <c r="AH740" s="753"/>
      <c r="AI740" s="753"/>
    </row>
    <row r="741" spans="24:35">
      <c r="X741" s="753"/>
      <c r="Y741" s="753"/>
      <c r="Z741" s="753"/>
      <c r="AA741" s="753"/>
      <c r="AB741" s="753"/>
      <c r="AC741" s="753"/>
      <c r="AD741" s="753"/>
      <c r="AE741" s="753"/>
      <c r="AF741" s="753"/>
      <c r="AG741" s="753"/>
      <c r="AH741" s="753"/>
      <c r="AI741" s="753"/>
    </row>
    <row r="742" spans="24:35">
      <c r="X742" s="753"/>
      <c r="Y742" s="753"/>
      <c r="Z742" s="753"/>
      <c r="AA742" s="753"/>
      <c r="AB742" s="753"/>
      <c r="AC742" s="753"/>
      <c r="AD742" s="753"/>
      <c r="AE742" s="753"/>
      <c r="AF742" s="753"/>
      <c r="AG742" s="753"/>
      <c r="AH742" s="753"/>
      <c r="AI742" s="753"/>
    </row>
    <row r="743" spans="24:35">
      <c r="X743" s="753"/>
      <c r="Y743" s="753"/>
      <c r="Z743" s="753"/>
      <c r="AA743" s="753"/>
      <c r="AB743" s="753"/>
      <c r="AC743" s="753"/>
      <c r="AD743" s="753"/>
      <c r="AE743" s="753"/>
      <c r="AF743" s="753"/>
      <c r="AG743" s="753"/>
      <c r="AH743" s="753"/>
      <c r="AI743" s="753"/>
    </row>
    <row r="744" spans="24:35">
      <c r="X744" s="753"/>
      <c r="Y744" s="753"/>
      <c r="Z744" s="753"/>
      <c r="AA744" s="753"/>
      <c r="AB744" s="753"/>
      <c r="AC744" s="753"/>
      <c r="AD744" s="753"/>
      <c r="AE744" s="753"/>
      <c r="AF744" s="753"/>
      <c r="AG744" s="753"/>
      <c r="AH744" s="753"/>
      <c r="AI744" s="753"/>
    </row>
    <row r="745" spans="24:35">
      <c r="X745" s="753"/>
      <c r="Y745" s="753"/>
      <c r="Z745" s="753"/>
      <c r="AA745" s="753"/>
      <c r="AB745" s="753"/>
      <c r="AC745" s="753"/>
      <c r="AD745" s="753"/>
      <c r="AE745" s="753"/>
      <c r="AF745" s="753"/>
      <c r="AG745" s="753"/>
      <c r="AH745" s="753"/>
      <c r="AI745" s="753"/>
    </row>
    <row r="746" spans="24:35">
      <c r="X746" s="753"/>
      <c r="Y746" s="753"/>
      <c r="Z746" s="753"/>
      <c r="AA746" s="753"/>
      <c r="AB746" s="753"/>
      <c r="AC746" s="753"/>
      <c r="AD746" s="753"/>
      <c r="AE746" s="753"/>
      <c r="AF746" s="753"/>
      <c r="AG746" s="753"/>
      <c r="AH746" s="753"/>
      <c r="AI746" s="753"/>
    </row>
    <row r="747" spans="24:35">
      <c r="X747" s="753"/>
      <c r="Y747" s="753"/>
      <c r="Z747" s="753"/>
      <c r="AA747" s="753"/>
      <c r="AB747" s="753"/>
      <c r="AC747" s="753"/>
      <c r="AD747" s="753"/>
      <c r="AE747" s="753"/>
      <c r="AF747" s="753"/>
      <c r="AG747" s="753"/>
      <c r="AH747" s="753"/>
      <c r="AI747" s="753"/>
    </row>
    <row r="748" spans="24:35">
      <c r="X748" s="753"/>
      <c r="Y748" s="753"/>
      <c r="Z748" s="753"/>
      <c r="AA748" s="753"/>
      <c r="AB748" s="753"/>
      <c r="AC748" s="753"/>
      <c r="AD748" s="753"/>
      <c r="AE748" s="753"/>
      <c r="AF748" s="753"/>
      <c r="AG748" s="753"/>
      <c r="AH748" s="753"/>
      <c r="AI748" s="753"/>
    </row>
    <row r="749" spans="24:35">
      <c r="X749" s="753"/>
      <c r="Y749" s="753"/>
      <c r="Z749" s="753"/>
      <c r="AA749" s="753"/>
      <c r="AB749" s="753"/>
      <c r="AC749" s="753"/>
      <c r="AD749" s="753"/>
      <c r="AE749" s="753"/>
      <c r="AF749" s="753"/>
      <c r="AG749" s="753"/>
      <c r="AH749" s="753"/>
      <c r="AI749" s="753"/>
    </row>
    <row r="750" spans="24:35">
      <c r="X750" s="753"/>
      <c r="Y750" s="753"/>
      <c r="Z750" s="753"/>
      <c r="AA750" s="753"/>
      <c r="AB750" s="753"/>
      <c r="AC750" s="753"/>
      <c r="AD750" s="753"/>
      <c r="AE750" s="753"/>
      <c r="AF750" s="753"/>
      <c r="AG750" s="753"/>
      <c r="AH750" s="753"/>
      <c r="AI750" s="753"/>
    </row>
    <row r="751" spans="24:35">
      <c r="X751" s="753"/>
      <c r="Y751" s="753"/>
      <c r="Z751" s="753"/>
      <c r="AA751" s="753"/>
      <c r="AB751" s="753"/>
      <c r="AC751" s="753"/>
      <c r="AD751" s="753"/>
      <c r="AE751" s="753"/>
      <c r="AF751" s="753"/>
      <c r="AG751" s="753"/>
      <c r="AH751" s="753"/>
      <c r="AI751" s="753"/>
    </row>
    <row r="752" spans="24:35">
      <c r="X752" s="753"/>
      <c r="Y752" s="753"/>
      <c r="Z752" s="753"/>
      <c r="AA752" s="753"/>
      <c r="AB752" s="753"/>
      <c r="AC752" s="753"/>
      <c r="AD752" s="753"/>
      <c r="AE752" s="753"/>
      <c r="AF752" s="753"/>
      <c r="AG752" s="753"/>
      <c r="AH752" s="753"/>
      <c r="AI752" s="753"/>
    </row>
    <row r="753" spans="24:35">
      <c r="X753" s="753"/>
      <c r="Y753" s="753"/>
      <c r="Z753" s="753"/>
      <c r="AA753" s="753"/>
      <c r="AB753" s="753"/>
      <c r="AC753" s="753"/>
      <c r="AD753" s="753"/>
      <c r="AE753" s="753"/>
      <c r="AF753" s="753"/>
      <c r="AG753" s="753"/>
      <c r="AH753" s="753"/>
      <c r="AI753" s="753"/>
    </row>
    <row r="754" spans="24:35">
      <c r="X754" s="753"/>
      <c r="Y754" s="753"/>
      <c r="Z754" s="753"/>
      <c r="AA754" s="753"/>
      <c r="AB754" s="753"/>
      <c r="AC754" s="753"/>
      <c r="AD754" s="753"/>
      <c r="AE754" s="753"/>
      <c r="AF754" s="753"/>
      <c r="AG754" s="753"/>
      <c r="AH754" s="753"/>
      <c r="AI754" s="753"/>
    </row>
    <row r="755" spans="24:35">
      <c r="X755" s="753"/>
      <c r="Y755" s="753"/>
      <c r="Z755" s="753"/>
      <c r="AA755" s="753"/>
      <c r="AB755" s="753"/>
      <c r="AC755" s="753"/>
      <c r="AD755" s="753"/>
      <c r="AE755" s="753"/>
      <c r="AF755" s="753"/>
      <c r="AG755" s="753"/>
      <c r="AH755" s="753"/>
      <c r="AI755" s="753"/>
    </row>
    <row r="756" spans="24:35">
      <c r="X756" s="753"/>
      <c r="Y756" s="753"/>
      <c r="Z756" s="753"/>
      <c r="AA756" s="753"/>
      <c r="AB756" s="753"/>
      <c r="AC756" s="753"/>
      <c r="AD756" s="753"/>
      <c r="AE756" s="753"/>
      <c r="AF756" s="753"/>
      <c r="AG756" s="753"/>
      <c r="AH756" s="753"/>
      <c r="AI756" s="753"/>
    </row>
    <row r="757" spans="24:35">
      <c r="X757" s="753"/>
      <c r="Y757" s="753"/>
      <c r="Z757" s="753"/>
      <c r="AA757" s="753"/>
      <c r="AB757" s="753"/>
      <c r="AC757" s="753"/>
      <c r="AD757" s="753"/>
      <c r="AE757" s="753"/>
      <c r="AF757" s="753"/>
      <c r="AG757" s="753"/>
      <c r="AH757" s="753"/>
      <c r="AI757" s="753"/>
    </row>
    <row r="758" spans="24:35">
      <c r="X758" s="753"/>
      <c r="Y758" s="753"/>
      <c r="Z758" s="753"/>
      <c r="AA758" s="753"/>
      <c r="AB758" s="753"/>
      <c r="AC758" s="753"/>
      <c r="AD758" s="753"/>
      <c r="AE758" s="753"/>
      <c r="AF758" s="753"/>
      <c r="AG758" s="753"/>
      <c r="AH758" s="753"/>
      <c r="AI758" s="753"/>
    </row>
    <row r="759" spans="24:35">
      <c r="X759" s="753"/>
      <c r="Y759" s="753"/>
      <c r="Z759" s="753"/>
      <c r="AA759" s="753"/>
      <c r="AB759" s="753"/>
      <c r="AC759" s="753"/>
      <c r="AD759" s="753"/>
      <c r="AE759" s="753"/>
      <c r="AF759" s="753"/>
      <c r="AG759" s="753"/>
      <c r="AH759" s="753"/>
      <c r="AI759" s="753"/>
    </row>
    <row r="760" spans="24:35">
      <c r="X760" s="753"/>
      <c r="Y760" s="753"/>
      <c r="Z760" s="753"/>
      <c r="AA760" s="753"/>
      <c r="AB760" s="753"/>
      <c r="AC760" s="753"/>
      <c r="AD760" s="753"/>
      <c r="AE760" s="753"/>
      <c r="AF760" s="753"/>
      <c r="AG760" s="753"/>
      <c r="AH760" s="753"/>
      <c r="AI760" s="753"/>
    </row>
    <row r="761" spans="24:35">
      <c r="X761" s="753"/>
      <c r="Y761" s="753"/>
      <c r="Z761" s="753"/>
      <c r="AA761" s="753"/>
      <c r="AB761" s="753"/>
      <c r="AC761" s="753"/>
      <c r="AD761" s="753"/>
      <c r="AE761" s="753"/>
      <c r="AF761" s="753"/>
      <c r="AG761" s="753"/>
      <c r="AH761" s="753"/>
      <c r="AI761" s="753"/>
    </row>
    <row r="762" spans="24:35">
      <c r="X762" s="753"/>
      <c r="Y762" s="753"/>
      <c r="Z762" s="753"/>
      <c r="AA762" s="753"/>
      <c r="AB762" s="753"/>
      <c r="AC762" s="753"/>
      <c r="AD762" s="753"/>
      <c r="AE762" s="753"/>
      <c r="AF762" s="753"/>
      <c r="AG762" s="753"/>
      <c r="AH762" s="753"/>
      <c r="AI762" s="753"/>
    </row>
    <row r="763" spans="24:35">
      <c r="X763" s="753"/>
      <c r="Y763" s="753"/>
      <c r="Z763" s="753"/>
      <c r="AA763" s="753"/>
      <c r="AB763" s="753"/>
      <c r="AC763" s="753"/>
      <c r="AD763" s="753"/>
      <c r="AE763" s="753"/>
      <c r="AF763" s="753"/>
      <c r="AG763" s="753"/>
      <c r="AH763" s="753"/>
      <c r="AI763" s="753"/>
    </row>
    <row r="764" spans="24:35">
      <c r="X764" s="753"/>
      <c r="Y764" s="753"/>
      <c r="Z764" s="753"/>
      <c r="AA764" s="753"/>
      <c r="AB764" s="753"/>
      <c r="AC764" s="753"/>
      <c r="AD764" s="753"/>
      <c r="AE764" s="753"/>
      <c r="AF764" s="753"/>
      <c r="AG764" s="753"/>
      <c r="AH764" s="753"/>
      <c r="AI764" s="753"/>
    </row>
    <row r="765" spans="24:35">
      <c r="X765" s="753"/>
      <c r="Y765" s="753"/>
      <c r="Z765" s="753"/>
      <c r="AA765" s="753"/>
      <c r="AB765" s="753"/>
      <c r="AC765" s="753"/>
      <c r="AD765" s="753"/>
      <c r="AE765" s="753"/>
      <c r="AF765" s="753"/>
      <c r="AG765" s="753"/>
      <c r="AH765" s="753"/>
      <c r="AI765" s="753"/>
    </row>
    <row r="766" spans="24:35">
      <c r="X766" s="753"/>
      <c r="Y766" s="753"/>
      <c r="Z766" s="753"/>
      <c r="AA766" s="753"/>
      <c r="AB766" s="753"/>
      <c r="AC766" s="753"/>
      <c r="AD766" s="753"/>
      <c r="AE766" s="753"/>
      <c r="AF766" s="753"/>
      <c r="AG766" s="753"/>
      <c r="AH766" s="753"/>
      <c r="AI766" s="753"/>
    </row>
    <row r="767" spans="24:35">
      <c r="X767" s="753"/>
      <c r="Y767" s="753"/>
      <c r="Z767" s="753"/>
      <c r="AA767" s="753"/>
      <c r="AB767" s="753"/>
      <c r="AC767" s="753"/>
      <c r="AD767" s="753"/>
      <c r="AE767" s="753"/>
      <c r="AF767" s="753"/>
      <c r="AG767" s="753"/>
      <c r="AH767" s="753"/>
      <c r="AI767" s="753"/>
    </row>
    <row r="768" spans="24:35">
      <c r="X768" s="753"/>
      <c r="Y768" s="753"/>
      <c r="Z768" s="753"/>
      <c r="AA768" s="753"/>
      <c r="AB768" s="753"/>
      <c r="AC768" s="753"/>
      <c r="AD768" s="753"/>
      <c r="AE768" s="753"/>
      <c r="AF768" s="753"/>
      <c r="AG768" s="753"/>
      <c r="AH768" s="753"/>
      <c r="AI768" s="753"/>
    </row>
    <row r="769" spans="24:35">
      <c r="X769" s="753"/>
      <c r="Y769" s="753"/>
      <c r="Z769" s="753"/>
      <c r="AA769" s="753"/>
      <c r="AB769" s="753"/>
      <c r="AC769" s="753"/>
      <c r="AD769" s="753"/>
      <c r="AE769" s="753"/>
      <c r="AF769" s="753"/>
      <c r="AG769" s="753"/>
      <c r="AH769" s="753"/>
      <c r="AI769" s="753"/>
    </row>
    <row r="770" spans="24:35">
      <c r="X770" s="753"/>
      <c r="Y770" s="753"/>
      <c r="Z770" s="753"/>
      <c r="AA770" s="753"/>
      <c r="AB770" s="753"/>
      <c r="AC770" s="753"/>
      <c r="AD770" s="753"/>
      <c r="AE770" s="753"/>
      <c r="AF770" s="753"/>
      <c r="AG770" s="753"/>
      <c r="AH770" s="753"/>
      <c r="AI770" s="753"/>
    </row>
    <row r="771" spans="24:35">
      <c r="X771" s="753"/>
      <c r="Y771" s="753"/>
      <c r="Z771" s="753"/>
      <c r="AA771" s="753"/>
      <c r="AB771" s="753"/>
      <c r="AC771" s="753"/>
      <c r="AD771" s="753"/>
      <c r="AE771" s="753"/>
      <c r="AF771" s="753"/>
      <c r="AG771" s="753"/>
      <c r="AH771" s="753"/>
      <c r="AI771" s="753"/>
    </row>
    <row r="772" spans="24:35">
      <c r="X772" s="753"/>
      <c r="Y772" s="753"/>
      <c r="Z772" s="753"/>
      <c r="AA772" s="753"/>
      <c r="AB772" s="753"/>
      <c r="AC772" s="753"/>
      <c r="AD772" s="753"/>
      <c r="AE772" s="753"/>
      <c r="AF772" s="753"/>
      <c r="AG772" s="753"/>
      <c r="AH772" s="753"/>
      <c r="AI772" s="753"/>
    </row>
    <row r="773" spans="24:35">
      <c r="X773" s="753"/>
      <c r="Y773" s="753"/>
      <c r="Z773" s="753"/>
      <c r="AA773" s="753"/>
      <c r="AB773" s="753"/>
      <c r="AC773" s="753"/>
      <c r="AD773" s="753"/>
      <c r="AE773" s="753"/>
      <c r="AF773" s="753"/>
      <c r="AG773" s="753"/>
      <c r="AH773" s="753"/>
      <c r="AI773" s="753"/>
    </row>
    <row r="774" spans="24:35">
      <c r="X774" s="753"/>
      <c r="Y774" s="753"/>
      <c r="Z774" s="753"/>
      <c r="AA774" s="753"/>
      <c r="AB774" s="753"/>
      <c r="AC774" s="753"/>
      <c r="AD774" s="753"/>
      <c r="AE774" s="753"/>
      <c r="AF774" s="753"/>
      <c r="AG774" s="753"/>
      <c r="AH774" s="753"/>
      <c r="AI774" s="753"/>
    </row>
    <row r="775" spans="24:35">
      <c r="X775" s="753"/>
      <c r="Y775" s="753"/>
      <c r="Z775" s="753"/>
      <c r="AA775" s="753"/>
      <c r="AB775" s="753"/>
      <c r="AC775" s="753"/>
      <c r="AD775" s="753"/>
      <c r="AE775" s="753"/>
      <c r="AF775" s="753"/>
      <c r="AG775" s="753"/>
      <c r="AH775" s="753"/>
      <c r="AI775" s="753"/>
    </row>
    <row r="776" spans="24:35">
      <c r="X776" s="753"/>
      <c r="Y776" s="753"/>
      <c r="Z776" s="753"/>
      <c r="AA776" s="753"/>
      <c r="AB776" s="753"/>
      <c r="AC776" s="753"/>
      <c r="AD776" s="753"/>
      <c r="AE776" s="753"/>
      <c r="AF776" s="753"/>
      <c r="AG776" s="753"/>
      <c r="AH776" s="753"/>
      <c r="AI776" s="753"/>
    </row>
    <row r="777" spans="24:35">
      <c r="X777" s="753"/>
      <c r="Y777" s="753"/>
      <c r="Z777" s="753"/>
      <c r="AA777" s="753"/>
      <c r="AB777" s="753"/>
      <c r="AC777" s="753"/>
      <c r="AD777" s="753"/>
      <c r="AE777" s="753"/>
      <c r="AF777" s="753"/>
      <c r="AG777" s="753"/>
      <c r="AH777" s="753"/>
      <c r="AI777" s="753"/>
    </row>
    <row r="778" spans="24:35">
      <c r="X778" s="753"/>
      <c r="Y778" s="753"/>
      <c r="Z778" s="753"/>
      <c r="AA778" s="753"/>
      <c r="AB778" s="753"/>
      <c r="AC778" s="753"/>
      <c r="AD778" s="753"/>
      <c r="AE778" s="753"/>
      <c r="AF778" s="753"/>
      <c r="AG778" s="753"/>
      <c r="AH778" s="753"/>
      <c r="AI778" s="753"/>
    </row>
    <row r="779" spans="24:35">
      <c r="X779" s="753"/>
      <c r="Y779" s="753"/>
      <c r="Z779" s="753"/>
      <c r="AA779" s="753"/>
      <c r="AB779" s="753"/>
      <c r="AC779" s="753"/>
      <c r="AD779" s="753"/>
      <c r="AE779" s="753"/>
      <c r="AF779" s="753"/>
      <c r="AG779" s="753"/>
      <c r="AH779" s="753"/>
      <c r="AI779" s="753"/>
    </row>
    <row r="780" spans="24:35">
      <c r="X780" s="753"/>
      <c r="Y780" s="753"/>
      <c r="Z780" s="753"/>
      <c r="AA780" s="753"/>
      <c r="AB780" s="753"/>
      <c r="AC780" s="753"/>
      <c r="AD780" s="753"/>
      <c r="AE780" s="753"/>
      <c r="AF780" s="753"/>
      <c r="AG780" s="753"/>
      <c r="AH780" s="753"/>
      <c r="AI780" s="753"/>
    </row>
    <row r="781" spans="24:35">
      <c r="X781" s="753"/>
      <c r="Y781" s="753"/>
      <c r="Z781" s="753"/>
      <c r="AA781" s="753"/>
      <c r="AB781" s="753"/>
      <c r="AC781" s="753"/>
      <c r="AD781" s="753"/>
      <c r="AE781" s="753"/>
      <c r="AF781" s="753"/>
      <c r="AG781" s="753"/>
      <c r="AH781" s="753"/>
      <c r="AI781" s="753"/>
    </row>
    <row r="782" spans="24:35">
      <c r="X782" s="753"/>
      <c r="Y782" s="753"/>
      <c r="Z782" s="753"/>
      <c r="AA782" s="753"/>
      <c r="AB782" s="753"/>
      <c r="AC782" s="753"/>
      <c r="AD782" s="753"/>
      <c r="AE782" s="753"/>
      <c r="AF782" s="753"/>
      <c r="AG782" s="753"/>
      <c r="AH782" s="753"/>
      <c r="AI782" s="753"/>
    </row>
    <row r="783" spans="24:35">
      <c r="X783" s="753"/>
      <c r="Y783" s="753"/>
      <c r="Z783" s="753"/>
      <c r="AA783" s="753"/>
      <c r="AB783" s="753"/>
      <c r="AC783" s="753"/>
      <c r="AD783" s="753"/>
      <c r="AE783" s="753"/>
      <c r="AF783" s="753"/>
      <c r="AG783" s="753"/>
      <c r="AH783" s="753"/>
      <c r="AI783" s="753"/>
    </row>
    <row r="784" spans="24:35">
      <c r="X784" s="753"/>
      <c r="Y784" s="753"/>
      <c r="Z784" s="753"/>
      <c r="AA784" s="753"/>
      <c r="AB784" s="753"/>
      <c r="AC784" s="753"/>
      <c r="AD784" s="753"/>
      <c r="AE784" s="753"/>
      <c r="AF784" s="753"/>
      <c r="AG784" s="753"/>
      <c r="AH784" s="753"/>
      <c r="AI784" s="753"/>
    </row>
    <row r="785" spans="24:35">
      <c r="X785" s="753"/>
      <c r="Y785" s="753"/>
      <c r="Z785" s="753"/>
      <c r="AA785" s="753"/>
      <c r="AB785" s="753"/>
      <c r="AC785" s="753"/>
      <c r="AD785" s="753"/>
      <c r="AE785" s="753"/>
      <c r="AF785" s="753"/>
      <c r="AG785" s="753"/>
      <c r="AH785" s="753"/>
      <c r="AI785" s="753"/>
    </row>
    <row r="786" spans="24:35">
      <c r="X786" s="753"/>
      <c r="Y786" s="753"/>
      <c r="Z786" s="753"/>
      <c r="AA786" s="753"/>
      <c r="AB786" s="753"/>
      <c r="AC786" s="753"/>
      <c r="AD786" s="753"/>
      <c r="AE786" s="753"/>
      <c r="AF786" s="753"/>
      <c r="AG786" s="753"/>
      <c r="AH786" s="753"/>
      <c r="AI786" s="753"/>
    </row>
    <row r="787" spans="24:35">
      <c r="X787" s="753"/>
      <c r="Y787" s="753"/>
      <c r="Z787" s="753"/>
      <c r="AA787" s="753"/>
      <c r="AB787" s="753"/>
      <c r="AC787" s="753"/>
      <c r="AD787" s="753"/>
      <c r="AE787" s="753"/>
      <c r="AF787" s="753"/>
      <c r="AG787" s="753"/>
      <c r="AH787" s="753"/>
      <c r="AI787" s="753"/>
    </row>
    <row r="788" spans="24:35">
      <c r="X788" s="753"/>
      <c r="Y788" s="753"/>
      <c r="Z788" s="753"/>
      <c r="AA788" s="753"/>
      <c r="AB788" s="753"/>
      <c r="AC788" s="753"/>
      <c r="AD788" s="753"/>
      <c r="AE788" s="753"/>
      <c r="AF788" s="753"/>
      <c r="AG788" s="753"/>
      <c r="AH788" s="753"/>
      <c r="AI788" s="753"/>
    </row>
    <row r="789" spans="24:35">
      <c r="X789" s="753"/>
      <c r="Y789" s="753"/>
      <c r="Z789" s="753"/>
      <c r="AA789" s="753"/>
      <c r="AB789" s="753"/>
      <c r="AC789" s="753"/>
      <c r="AD789" s="753"/>
      <c r="AE789" s="753"/>
      <c r="AF789" s="753"/>
      <c r="AG789" s="753"/>
      <c r="AH789" s="753"/>
      <c r="AI789" s="753"/>
    </row>
    <row r="790" spans="24:35">
      <c r="X790" s="753"/>
      <c r="Y790" s="753"/>
      <c r="Z790" s="753"/>
      <c r="AA790" s="753"/>
      <c r="AB790" s="753"/>
      <c r="AC790" s="753"/>
      <c r="AD790" s="753"/>
      <c r="AE790" s="753"/>
      <c r="AF790" s="753"/>
      <c r="AG790" s="753"/>
      <c r="AH790" s="753"/>
      <c r="AI790" s="753"/>
    </row>
    <row r="791" spans="24:35">
      <c r="X791" s="753"/>
      <c r="Y791" s="753"/>
      <c r="Z791" s="753"/>
      <c r="AA791" s="753"/>
      <c r="AB791" s="753"/>
      <c r="AC791" s="753"/>
      <c r="AD791" s="753"/>
      <c r="AE791" s="753"/>
      <c r="AF791" s="753"/>
      <c r="AG791" s="753"/>
      <c r="AH791" s="753"/>
      <c r="AI791" s="753"/>
    </row>
    <row r="792" spans="24:35">
      <c r="X792" s="753"/>
      <c r="Y792" s="753"/>
      <c r="Z792" s="753"/>
      <c r="AA792" s="753"/>
      <c r="AB792" s="753"/>
      <c r="AC792" s="753"/>
      <c r="AD792" s="753"/>
      <c r="AE792" s="753"/>
      <c r="AF792" s="753"/>
      <c r="AG792" s="753"/>
      <c r="AH792" s="753"/>
      <c r="AI792" s="753"/>
    </row>
    <row r="793" spans="24:35">
      <c r="X793" s="753"/>
      <c r="Y793" s="753"/>
      <c r="Z793" s="753"/>
      <c r="AA793" s="753"/>
      <c r="AB793" s="753"/>
      <c r="AC793" s="753"/>
      <c r="AD793" s="753"/>
      <c r="AE793" s="753"/>
      <c r="AF793" s="753"/>
      <c r="AG793" s="753"/>
      <c r="AH793" s="753"/>
      <c r="AI793" s="753"/>
    </row>
    <row r="794" spans="24:35">
      <c r="X794" s="753"/>
      <c r="Y794" s="753"/>
      <c r="Z794" s="753"/>
      <c r="AA794" s="753"/>
      <c r="AB794" s="753"/>
      <c r="AC794" s="753"/>
      <c r="AD794" s="753"/>
      <c r="AE794" s="753"/>
      <c r="AF794" s="753"/>
      <c r="AG794" s="753"/>
      <c r="AH794" s="753"/>
      <c r="AI794" s="753"/>
    </row>
    <row r="795" spans="24:35">
      <c r="X795" s="753"/>
      <c r="Y795" s="753"/>
      <c r="Z795" s="753"/>
      <c r="AA795" s="753"/>
      <c r="AB795" s="753"/>
      <c r="AC795" s="753"/>
      <c r="AD795" s="753"/>
      <c r="AE795" s="753"/>
      <c r="AF795" s="753"/>
      <c r="AG795" s="753"/>
      <c r="AH795" s="753"/>
      <c r="AI795" s="753"/>
    </row>
    <row r="796" spans="24:35">
      <c r="X796" s="753"/>
      <c r="Y796" s="753"/>
      <c r="Z796" s="753"/>
      <c r="AA796" s="753"/>
      <c r="AB796" s="753"/>
      <c r="AC796" s="753"/>
      <c r="AD796" s="753"/>
      <c r="AE796" s="753"/>
      <c r="AF796" s="753"/>
      <c r="AG796" s="753"/>
      <c r="AH796" s="753"/>
      <c r="AI796" s="753"/>
    </row>
    <row r="797" spans="24:35">
      <c r="X797" s="753"/>
      <c r="Y797" s="753"/>
      <c r="Z797" s="753"/>
      <c r="AA797" s="753"/>
      <c r="AB797" s="753"/>
      <c r="AC797" s="753"/>
      <c r="AD797" s="753"/>
      <c r="AE797" s="753"/>
      <c r="AF797" s="753"/>
      <c r="AG797" s="753"/>
      <c r="AH797" s="753"/>
      <c r="AI797" s="753"/>
    </row>
    <row r="798" spans="24:35">
      <c r="X798" s="753"/>
      <c r="Y798" s="753"/>
      <c r="Z798" s="753"/>
      <c r="AA798" s="753"/>
      <c r="AB798" s="753"/>
      <c r="AC798" s="753"/>
      <c r="AD798" s="753"/>
      <c r="AE798" s="753"/>
      <c r="AF798" s="753"/>
      <c r="AG798" s="753"/>
      <c r="AH798" s="753"/>
      <c r="AI798" s="753"/>
    </row>
    <row r="799" spans="24:35">
      <c r="X799" s="753"/>
      <c r="Y799" s="753"/>
      <c r="Z799" s="753"/>
      <c r="AA799" s="753"/>
      <c r="AB799" s="753"/>
      <c r="AC799" s="753"/>
      <c r="AD799" s="753"/>
      <c r="AE799" s="753"/>
      <c r="AF799" s="753"/>
      <c r="AG799" s="753"/>
      <c r="AH799" s="753"/>
      <c r="AI799" s="753"/>
    </row>
    <row r="800" spans="24:35">
      <c r="X800" s="753"/>
      <c r="Y800" s="753"/>
      <c r="Z800" s="753"/>
      <c r="AA800" s="753"/>
      <c r="AB800" s="753"/>
      <c r="AC800" s="753"/>
      <c r="AD800" s="753"/>
      <c r="AE800" s="753"/>
      <c r="AF800" s="753"/>
      <c r="AG800" s="753"/>
      <c r="AH800" s="753"/>
      <c r="AI800" s="753"/>
    </row>
    <row r="801" spans="24:35">
      <c r="X801" s="753"/>
      <c r="Y801" s="753"/>
      <c r="Z801" s="753"/>
      <c r="AA801" s="753"/>
      <c r="AB801" s="753"/>
      <c r="AC801" s="753"/>
      <c r="AD801" s="753"/>
      <c r="AE801" s="753"/>
      <c r="AF801" s="753"/>
      <c r="AG801" s="753"/>
      <c r="AH801" s="753"/>
      <c r="AI801" s="753"/>
    </row>
    <row r="802" spans="24:35">
      <c r="X802" s="753"/>
      <c r="Y802" s="753"/>
      <c r="Z802" s="753"/>
      <c r="AA802" s="753"/>
      <c r="AB802" s="753"/>
      <c r="AC802" s="753"/>
      <c r="AD802" s="753"/>
      <c r="AE802" s="753"/>
      <c r="AF802" s="753"/>
      <c r="AG802" s="753"/>
      <c r="AH802" s="753"/>
      <c r="AI802" s="753"/>
    </row>
    <row r="803" spans="24:35">
      <c r="X803" s="753"/>
      <c r="Y803" s="753"/>
      <c r="Z803" s="753"/>
      <c r="AA803" s="753"/>
      <c r="AB803" s="753"/>
      <c r="AC803" s="753"/>
      <c r="AD803" s="753"/>
      <c r="AE803" s="753"/>
      <c r="AF803" s="753"/>
      <c r="AG803" s="753"/>
      <c r="AH803" s="753"/>
      <c r="AI803" s="753"/>
    </row>
    <row r="804" spans="24:35">
      <c r="X804" s="753"/>
      <c r="Y804" s="753"/>
      <c r="Z804" s="753"/>
      <c r="AA804" s="753"/>
      <c r="AB804" s="753"/>
      <c r="AC804" s="753"/>
      <c r="AD804" s="753"/>
      <c r="AE804" s="753"/>
      <c r="AF804" s="753"/>
      <c r="AG804" s="753"/>
      <c r="AH804" s="753"/>
      <c r="AI804" s="753"/>
    </row>
    <row r="805" spans="24:35">
      <c r="X805" s="753"/>
      <c r="Y805" s="753"/>
      <c r="Z805" s="753"/>
      <c r="AA805" s="753"/>
      <c r="AB805" s="753"/>
      <c r="AC805" s="753"/>
      <c r="AD805" s="753"/>
      <c r="AE805" s="753"/>
      <c r="AF805" s="753"/>
      <c r="AG805" s="753"/>
      <c r="AH805" s="753"/>
      <c r="AI805" s="753"/>
    </row>
    <row r="806" spans="24:35">
      <c r="X806" s="753"/>
      <c r="Y806" s="753"/>
      <c r="Z806" s="753"/>
      <c r="AA806" s="753"/>
      <c r="AB806" s="753"/>
      <c r="AC806" s="753"/>
      <c r="AD806" s="753"/>
      <c r="AE806" s="753"/>
      <c r="AF806" s="753"/>
      <c r="AG806" s="753"/>
      <c r="AH806" s="753"/>
      <c r="AI806" s="753"/>
    </row>
    <row r="807" spans="24:35">
      <c r="X807" s="753"/>
      <c r="Y807" s="753"/>
      <c r="Z807" s="753"/>
      <c r="AA807" s="753"/>
      <c r="AB807" s="753"/>
      <c r="AC807" s="753"/>
      <c r="AD807" s="753"/>
      <c r="AE807" s="753"/>
      <c r="AF807" s="753"/>
      <c r="AG807" s="753"/>
      <c r="AH807" s="753"/>
      <c r="AI807" s="753"/>
    </row>
    <row r="808" spans="24:35">
      <c r="X808" s="753"/>
      <c r="Y808" s="753"/>
      <c r="Z808" s="753"/>
      <c r="AA808" s="753"/>
      <c r="AB808" s="753"/>
      <c r="AC808" s="753"/>
      <c r="AD808" s="753"/>
      <c r="AE808" s="753"/>
      <c r="AF808" s="753"/>
      <c r="AG808" s="753"/>
      <c r="AH808" s="753"/>
      <c r="AI808" s="753"/>
    </row>
    <row r="809" spans="24:35">
      <c r="X809" s="753"/>
      <c r="Y809" s="753"/>
      <c r="Z809" s="753"/>
      <c r="AA809" s="753"/>
      <c r="AB809" s="753"/>
      <c r="AC809" s="753"/>
      <c r="AD809" s="753"/>
      <c r="AE809" s="753"/>
      <c r="AF809" s="753"/>
      <c r="AG809" s="753"/>
      <c r="AH809" s="753"/>
      <c r="AI809" s="753"/>
    </row>
    <row r="810" spans="24:35">
      <c r="X810" s="753"/>
      <c r="Y810" s="753"/>
      <c r="Z810" s="753"/>
      <c r="AA810" s="753"/>
      <c r="AB810" s="753"/>
      <c r="AC810" s="753"/>
      <c r="AD810" s="753"/>
      <c r="AE810" s="753"/>
      <c r="AF810" s="753"/>
      <c r="AG810" s="753"/>
      <c r="AH810" s="753"/>
      <c r="AI810" s="753"/>
    </row>
    <row r="811" spans="24:35">
      <c r="X811" s="753"/>
      <c r="Y811" s="753"/>
      <c r="Z811" s="753"/>
      <c r="AA811" s="753"/>
      <c r="AB811" s="753"/>
      <c r="AC811" s="753"/>
      <c r="AD811" s="753"/>
      <c r="AE811" s="753"/>
      <c r="AF811" s="753"/>
      <c r="AG811" s="753"/>
      <c r="AH811" s="753"/>
      <c r="AI811" s="753"/>
    </row>
    <row r="812" spans="24:35">
      <c r="X812" s="753"/>
      <c r="Y812" s="753"/>
      <c r="Z812" s="753"/>
      <c r="AA812" s="753"/>
      <c r="AB812" s="753"/>
      <c r="AC812" s="753"/>
      <c r="AD812" s="753"/>
      <c r="AE812" s="753"/>
      <c r="AF812" s="753"/>
      <c r="AG812" s="753"/>
      <c r="AH812" s="753"/>
      <c r="AI812" s="753"/>
    </row>
    <row r="813" spans="24:35">
      <c r="X813" s="753"/>
      <c r="Y813" s="753"/>
      <c r="Z813" s="753"/>
      <c r="AA813" s="753"/>
      <c r="AB813" s="753"/>
      <c r="AC813" s="753"/>
      <c r="AD813" s="753"/>
      <c r="AE813" s="753"/>
      <c r="AF813" s="753"/>
      <c r="AG813" s="753"/>
      <c r="AH813" s="753"/>
      <c r="AI813" s="753"/>
    </row>
    <row r="814" spans="24:35">
      <c r="X814" s="753"/>
      <c r="Y814" s="753"/>
      <c r="Z814" s="753"/>
      <c r="AA814" s="753"/>
      <c r="AB814" s="753"/>
      <c r="AC814" s="753"/>
      <c r="AD814" s="753"/>
      <c r="AE814" s="753"/>
      <c r="AF814" s="753"/>
      <c r="AG814" s="753"/>
      <c r="AH814" s="753"/>
      <c r="AI814" s="753"/>
    </row>
    <row r="815" spans="24:35">
      <c r="X815" s="753"/>
      <c r="Y815" s="753"/>
      <c r="Z815" s="753"/>
      <c r="AA815" s="753"/>
      <c r="AB815" s="753"/>
      <c r="AC815" s="753"/>
      <c r="AD815" s="753"/>
      <c r="AE815" s="753"/>
      <c r="AF815" s="753"/>
      <c r="AG815" s="753"/>
      <c r="AH815" s="753"/>
      <c r="AI815" s="753"/>
    </row>
    <row r="816" spans="24:35">
      <c r="X816" s="753"/>
      <c r="Y816" s="753"/>
      <c r="Z816" s="753"/>
      <c r="AA816" s="753"/>
      <c r="AB816" s="753"/>
      <c r="AC816" s="753"/>
      <c r="AD816" s="753"/>
      <c r="AE816" s="753"/>
      <c r="AF816" s="753"/>
      <c r="AG816" s="753"/>
      <c r="AH816" s="753"/>
      <c r="AI816" s="753"/>
    </row>
    <row r="817" spans="24:35">
      <c r="X817" s="753"/>
      <c r="Y817" s="753"/>
      <c r="Z817" s="753"/>
      <c r="AA817" s="753"/>
      <c r="AB817" s="753"/>
      <c r="AC817" s="753"/>
      <c r="AD817" s="753"/>
      <c r="AE817" s="753"/>
      <c r="AF817" s="753"/>
      <c r="AG817" s="753"/>
      <c r="AH817" s="753"/>
      <c r="AI817" s="753"/>
    </row>
    <row r="818" spans="24:35">
      <c r="X818" s="753"/>
      <c r="Y818" s="753"/>
      <c r="Z818" s="753"/>
      <c r="AA818" s="753"/>
      <c r="AB818" s="753"/>
      <c r="AC818" s="753"/>
      <c r="AD818" s="753"/>
      <c r="AE818" s="753"/>
      <c r="AF818" s="753"/>
      <c r="AG818" s="753"/>
      <c r="AH818" s="753"/>
      <c r="AI818" s="753"/>
    </row>
    <row r="819" spans="24:35">
      <c r="X819" s="753"/>
      <c r="Y819" s="753"/>
      <c r="Z819" s="753"/>
      <c r="AA819" s="753"/>
      <c r="AB819" s="753"/>
      <c r="AC819" s="753"/>
      <c r="AD819" s="753"/>
      <c r="AE819" s="753"/>
      <c r="AF819" s="753"/>
      <c r="AG819" s="753"/>
      <c r="AH819" s="753"/>
      <c r="AI819" s="753"/>
    </row>
    <row r="820" spans="24:35">
      <c r="X820" s="753"/>
      <c r="Y820" s="753"/>
      <c r="Z820" s="753"/>
      <c r="AA820" s="753"/>
      <c r="AB820" s="753"/>
      <c r="AC820" s="753"/>
      <c r="AD820" s="753"/>
      <c r="AE820" s="753"/>
      <c r="AF820" s="753"/>
      <c r="AG820" s="753"/>
      <c r="AH820" s="753"/>
      <c r="AI820" s="753"/>
    </row>
    <row r="821" spans="24:35">
      <c r="X821" s="753"/>
      <c r="Y821" s="753"/>
      <c r="Z821" s="753"/>
      <c r="AA821" s="753"/>
      <c r="AB821" s="753"/>
      <c r="AC821" s="753"/>
      <c r="AD821" s="753"/>
      <c r="AE821" s="753"/>
      <c r="AF821" s="753"/>
      <c r="AG821" s="753"/>
      <c r="AH821" s="753"/>
      <c r="AI821" s="753"/>
    </row>
    <row r="822" spans="24:35">
      <c r="X822" s="753"/>
      <c r="Y822" s="753"/>
      <c r="Z822" s="753"/>
      <c r="AA822" s="753"/>
      <c r="AB822" s="753"/>
      <c r="AC822" s="753"/>
      <c r="AD822" s="753"/>
      <c r="AE822" s="753"/>
      <c r="AF822" s="753"/>
      <c r="AG822" s="753"/>
      <c r="AH822" s="753"/>
      <c r="AI822" s="753"/>
    </row>
    <row r="823" spans="24:35">
      <c r="X823" s="753"/>
      <c r="Y823" s="753"/>
      <c r="Z823" s="753"/>
      <c r="AA823" s="753"/>
      <c r="AB823" s="753"/>
      <c r="AC823" s="753"/>
      <c r="AD823" s="753"/>
      <c r="AE823" s="753"/>
      <c r="AF823" s="753"/>
      <c r="AG823" s="753"/>
      <c r="AH823" s="753"/>
      <c r="AI823" s="753"/>
    </row>
    <row r="824" spans="24:35">
      <c r="X824" s="753"/>
      <c r="Y824" s="753"/>
      <c r="Z824" s="753"/>
      <c r="AA824" s="753"/>
      <c r="AB824" s="753"/>
      <c r="AC824" s="753"/>
      <c r="AD824" s="753"/>
      <c r="AE824" s="753"/>
      <c r="AF824" s="753"/>
      <c r="AG824" s="753"/>
      <c r="AH824" s="753"/>
      <c r="AI824" s="753"/>
    </row>
    <row r="825" spans="24:35">
      <c r="X825" s="753"/>
      <c r="Y825" s="753"/>
      <c r="Z825" s="753"/>
      <c r="AA825" s="753"/>
      <c r="AB825" s="753"/>
      <c r="AC825" s="753"/>
      <c r="AD825" s="753"/>
      <c r="AE825" s="753"/>
      <c r="AF825" s="753"/>
      <c r="AG825" s="753"/>
      <c r="AH825" s="753"/>
      <c r="AI825" s="753"/>
    </row>
    <row r="826" spans="24:35">
      <c r="X826" s="753"/>
      <c r="Y826" s="753"/>
      <c r="Z826" s="753"/>
      <c r="AA826" s="753"/>
      <c r="AB826" s="753"/>
      <c r="AC826" s="753"/>
      <c r="AD826" s="753"/>
      <c r="AE826" s="753"/>
      <c r="AF826" s="753"/>
      <c r="AG826" s="753"/>
      <c r="AH826" s="753"/>
      <c r="AI826" s="753"/>
    </row>
    <row r="827" spans="24:35">
      <c r="X827" s="753"/>
      <c r="Y827" s="753"/>
      <c r="Z827" s="753"/>
      <c r="AA827" s="753"/>
      <c r="AB827" s="753"/>
      <c r="AC827" s="753"/>
      <c r="AD827" s="753"/>
      <c r="AE827" s="753"/>
      <c r="AF827" s="753"/>
      <c r="AG827" s="753"/>
      <c r="AH827" s="753"/>
      <c r="AI827" s="753"/>
    </row>
    <row r="828" spans="24:35">
      <c r="X828" s="753"/>
      <c r="Y828" s="753"/>
      <c r="Z828" s="753"/>
      <c r="AA828" s="753"/>
      <c r="AB828" s="753"/>
      <c r="AC828" s="753"/>
      <c r="AD828" s="753"/>
      <c r="AE828" s="753"/>
      <c r="AF828" s="753"/>
      <c r="AG828" s="753"/>
      <c r="AH828" s="753"/>
      <c r="AI828" s="753"/>
    </row>
    <row r="829" spans="24:35">
      <c r="X829" s="753"/>
      <c r="Y829" s="753"/>
      <c r="Z829" s="753"/>
      <c r="AA829" s="753"/>
      <c r="AB829" s="753"/>
      <c r="AC829" s="753"/>
      <c r="AD829" s="753"/>
      <c r="AE829" s="753"/>
      <c r="AF829" s="753"/>
      <c r="AG829" s="753"/>
      <c r="AH829" s="753"/>
      <c r="AI829" s="753"/>
    </row>
    <row r="830" spans="24:35">
      <c r="X830" s="753"/>
      <c r="Y830" s="753"/>
      <c r="Z830" s="753"/>
      <c r="AA830" s="753"/>
      <c r="AB830" s="753"/>
      <c r="AC830" s="753"/>
      <c r="AD830" s="753"/>
      <c r="AE830" s="753"/>
      <c r="AF830" s="753"/>
      <c r="AG830" s="753"/>
      <c r="AH830" s="753"/>
      <c r="AI830" s="753"/>
    </row>
    <row r="831" spans="24:35">
      <c r="X831" s="753"/>
      <c r="Y831" s="753"/>
      <c r="Z831" s="753"/>
      <c r="AA831" s="753"/>
      <c r="AB831" s="753"/>
      <c r="AC831" s="753"/>
      <c r="AD831" s="753"/>
      <c r="AE831" s="753"/>
      <c r="AF831" s="753"/>
      <c r="AG831" s="753"/>
      <c r="AH831" s="753"/>
      <c r="AI831" s="753"/>
    </row>
    <row r="832" spans="24:35">
      <c r="X832" s="753"/>
      <c r="Y832" s="753"/>
      <c r="Z832" s="753"/>
      <c r="AA832" s="753"/>
      <c r="AB832" s="753"/>
      <c r="AC832" s="753"/>
      <c r="AD832" s="753"/>
      <c r="AE832" s="753"/>
      <c r="AF832" s="753"/>
      <c r="AG832" s="753"/>
      <c r="AH832" s="753"/>
      <c r="AI832" s="753"/>
    </row>
    <row r="833" spans="24:35">
      <c r="X833" s="753"/>
      <c r="Y833" s="753"/>
      <c r="Z833" s="753"/>
      <c r="AA833" s="753"/>
      <c r="AB833" s="753"/>
      <c r="AC833" s="753"/>
      <c r="AD833" s="753"/>
      <c r="AE833" s="753"/>
      <c r="AF833" s="753"/>
      <c r="AG833" s="753"/>
      <c r="AH833" s="753"/>
      <c r="AI833" s="753"/>
    </row>
    <row r="834" spans="24:35">
      <c r="X834" s="753"/>
      <c r="Y834" s="753"/>
      <c r="Z834" s="753"/>
      <c r="AA834" s="753"/>
      <c r="AB834" s="753"/>
      <c r="AC834" s="753"/>
      <c r="AD834" s="753"/>
      <c r="AE834" s="753"/>
      <c r="AF834" s="753"/>
      <c r="AG834" s="753"/>
      <c r="AH834" s="753"/>
      <c r="AI834" s="753"/>
    </row>
    <row r="835" spans="24:35">
      <c r="X835" s="753"/>
      <c r="Y835" s="753"/>
      <c r="Z835" s="753"/>
      <c r="AA835" s="753"/>
      <c r="AB835" s="753"/>
      <c r="AC835" s="753"/>
      <c r="AD835" s="753"/>
      <c r="AE835" s="753"/>
      <c r="AF835" s="753"/>
      <c r="AG835" s="753"/>
      <c r="AH835" s="753"/>
      <c r="AI835" s="753"/>
    </row>
    <row r="836" spans="24:35">
      <c r="X836" s="753"/>
      <c r="Y836" s="753"/>
      <c r="Z836" s="753"/>
      <c r="AA836" s="753"/>
      <c r="AB836" s="753"/>
      <c r="AC836" s="753"/>
      <c r="AD836" s="753"/>
      <c r="AE836" s="753"/>
      <c r="AF836" s="753"/>
      <c r="AG836" s="753"/>
      <c r="AH836" s="753"/>
      <c r="AI836" s="753"/>
    </row>
    <row r="837" spans="24:35">
      <c r="X837" s="753"/>
      <c r="Y837" s="753"/>
      <c r="Z837" s="753"/>
      <c r="AA837" s="753"/>
      <c r="AB837" s="753"/>
      <c r="AC837" s="753"/>
      <c r="AD837" s="753"/>
      <c r="AE837" s="753"/>
      <c r="AF837" s="753"/>
      <c r="AG837" s="753"/>
      <c r="AH837" s="753"/>
      <c r="AI837" s="753"/>
    </row>
    <row r="838" spans="24:35">
      <c r="X838" s="753"/>
      <c r="Y838" s="753"/>
      <c r="Z838" s="753"/>
      <c r="AA838" s="753"/>
      <c r="AB838" s="753"/>
      <c r="AC838" s="753"/>
      <c r="AD838" s="753"/>
      <c r="AE838" s="753"/>
      <c r="AF838" s="753"/>
      <c r="AG838" s="753"/>
      <c r="AH838" s="753"/>
      <c r="AI838" s="753"/>
    </row>
    <row r="839" spans="24:35">
      <c r="X839" s="753"/>
      <c r="Y839" s="753"/>
      <c r="Z839" s="753"/>
      <c r="AA839" s="753"/>
      <c r="AB839" s="753"/>
      <c r="AC839" s="753"/>
      <c r="AD839" s="753"/>
      <c r="AE839" s="753"/>
      <c r="AF839" s="753"/>
      <c r="AG839" s="753"/>
      <c r="AH839" s="753"/>
      <c r="AI839" s="753"/>
    </row>
    <row r="840" spans="24:35">
      <c r="X840" s="753"/>
      <c r="Y840" s="753"/>
      <c r="Z840" s="753"/>
      <c r="AA840" s="753"/>
      <c r="AB840" s="753"/>
      <c r="AC840" s="753"/>
      <c r="AD840" s="753"/>
      <c r="AE840" s="753"/>
      <c r="AF840" s="753"/>
      <c r="AG840" s="753"/>
      <c r="AH840" s="753"/>
      <c r="AI840" s="753"/>
    </row>
    <row r="841" spans="24:35">
      <c r="X841" s="753"/>
      <c r="Y841" s="753"/>
      <c r="Z841" s="753"/>
      <c r="AA841" s="753"/>
      <c r="AB841" s="753"/>
      <c r="AC841" s="753"/>
      <c r="AD841" s="753"/>
      <c r="AE841" s="753"/>
      <c r="AF841" s="753"/>
      <c r="AG841" s="753"/>
      <c r="AH841" s="753"/>
      <c r="AI841" s="753"/>
    </row>
    <row r="842" spans="24:35">
      <c r="X842" s="753"/>
      <c r="Y842" s="753"/>
      <c r="Z842" s="753"/>
      <c r="AA842" s="753"/>
      <c r="AB842" s="753"/>
      <c r="AC842" s="753"/>
      <c r="AD842" s="753"/>
      <c r="AE842" s="753"/>
      <c r="AF842" s="753"/>
      <c r="AG842" s="753"/>
      <c r="AH842" s="753"/>
      <c r="AI842" s="753"/>
    </row>
    <row r="843" spans="24:35">
      <c r="X843" s="753"/>
      <c r="Y843" s="753"/>
      <c r="Z843" s="753"/>
      <c r="AA843" s="753"/>
      <c r="AB843" s="753"/>
      <c r="AC843" s="753"/>
      <c r="AD843" s="753"/>
      <c r="AE843" s="753"/>
      <c r="AF843" s="753"/>
      <c r="AG843" s="753"/>
      <c r="AH843" s="753"/>
      <c r="AI843" s="753"/>
    </row>
    <row r="844" spans="24:35">
      <c r="X844" s="753"/>
      <c r="Y844" s="753"/>
      <c r="Z844" s="753"/>
      <c r="AA844" s="753"/>
      <c r="AB844" s="753"/>
      <c r="AC844" s="753"/>
      <c r="AD844" s="753"/>
      <c r="AE844" s="753"/>
      <c r="AF844" s="753"/>
      <c r="AG844" s="753"/>
      <c r="AH844" s="753"/>
      <c r="AI844" s="753"/>
    </row>
    <row r="845" spans="24:35">
      <c r="X845" s="753"/>
      <c r="Y845" s="753"/>
      <c r="Z845" s="753"/>
      <c r="AA845" s="753"/>
      <c r="AB845" s="753"/>
      <c r="AC845" s="753"/>
      <c r="AD845" s="753"/>
      <c r="AE845" s="753"/>
      <c r="AF845" s="753"/>
      <c r="AG845" s="753"/>
      <c r="AH845" s="753"/>
      <c r="AI845" s="753"/>
    </row>
    <row r="846" spans="24:35">
      <c r="X846" s="753"/>
      <c r="Y846" s="753"/>
      <c r="Z846" s="753"/>
      <c r="AA846" s="753"/>
      <c r="AB846" s="753"/>
      <c r="AC846" s="753"/>
      <c r="AD846" s="753"/>
      <c r="AE846" s="753"/>
      <c r="AF846" s="753"/>
      <c r="AG846" s="753"/>
      <c r="AH846" s="753"/>
      <c r="AI846" s="753"/>
    </row>
    <row r="847" spans="24:35">
      <c r="X847" s="753"/>
      <c r="Y847" s="753"/>
      <c r="Z847" s="753"/>
      <c r="AA847" s="753"/>
      <c r="AB847" s="753"/>
      <c r="AC847" s="753"/>
      <c r="AD847" s="753"/>
      <c r="AE847" s="753"/>
      <c r="AF847" s="753"/>
      <c r="AG847" s="753"/>
      <c r="AH847" s="753"/>
      <c r="AI847" s="753"/>
    </row>
    <row r="848" spans="24:35">
      <c r="X848" s="753"/>
      <c r="Y848" s="753"/>
      <c r="Z848" s="753"/>
      <c r="AA848" s="753"/>
      <c r="AB848" s="753"/>
      <c r="AC848" s="753"/>
      <c r="AD848" s="753"/>
      <c r="AE848" s="753"/>
      <c r="AF848" s="753"/>
      <c r="AG848" s="753"/>
      <c r="AH848" s="753"/>
      <c r="AI848" s="753"/>
    </row>
    <row r="849" spans="24:35">
      <c r="X849" s="753"/>
      <c r="Y849" s="753"/>
      <c r="Z849" s="753"/>
      <c r="AA849" s="753"/>
      <c r="AB849" s="753"/>
      <c r="AC849" s="753"/>
      <c r="AD849" s="753"/>
      <c r="AE849" s="753"/>
      <c r="AF849" s="753"/>
      <c r="AG849" s="753"/>
      <c r="AH849" s="753"/>
      <c r="AI849" s="753"/>
    </row>
    <row r="850" spans="24:35">
      <c r="X850" s="753"/>
      <c r="Y850" s="753"/>
      <c r="Z850" s="753"/>
      <c r="AA850" s="753"/>
      <c r="AB850" s="753"/>
      <c r="AC850" s="753"/>
      <c r="AD850" s="753"/>
      <c r="AE850" s="753"/>
      <c r="AF850" s="753"/>
      <c r="AG850" s="753"/>
      <c r="AH850" s="753"/>
      <c r="AI850" s="753"/>
    </row>
    <row r="851" spans="24:35">
      <c r="X851" s="753"/>
      <c r="Y851" s="753"/>
      <c r="Z851" s="753"/>
      <c r="AA851" s="753"/>
      <c r="AB851" s="753"/>
      <c r="AC851" s="753"/>
      <c r="AD851" s="753"/>
      <c r="AE851" s="753"/>
      <c r="AF851" s="753"/>
      <c r="AG851" s="753"/>
      <c r="AH851" s="753"/>
      <c r="AI851" s="753"/>
    </row>
    <row r="852" spans="24:35">
      <c r="X852" s="753"/>
      <c r="Y852" s="753"/>
      <c r="Z852" s="753"/>
      <c r="AA852" s="753"/>
      <c r="AB852" s="753"/>
      <c r="AC852" s="753"/>
      <c r="AD852" s="753"/>
      <c r="AE852" s="753"/>
      <c r="AF852" s="753"/>
      <c r="AG852" s="753"/>
      <c r="AH852" s="753"/>
      <c r="AI852" s="753"/>
    </row>
    <row r="853" spans="24:35">
      <c r="X853" s="753"/>
      <c r="Y853" s="753"/>
      <c r="Z853" s="753"/>
      <c r="AA853" s="753"/>
      <c r="AB853" s="753"/>
      <c r="AC853" s="753"/>
      <c r="AD853" s="753"/>
      <c r="AE853" s="753"/>
      <c r="AF853" s="753"/>
      <c r="AG853" s="753"/>
      <c r="AH853" s="753"/>
      <c r="AI853" s="753"/>
    </row>
    <row r="854" spans="24:35">
      <c r="X854" s="753"/>
      <c r="Y854" s="753"/>
      <c r="Z854" s="753"/>
      <c r="AA854" s="753"/>
      <c r="AB854" s="753"/>
      <c r="AC854" s="753"/>
      <c r="AD854" s="753"/>
      <c r="AE854" s="753"/>
      <c r="AF854" s="753"/>
      <c r="AG854" s="753"/>
      <c r="AH854" s="753"/>
      <c r="AI854" s="753"/>
    </row>
    <row r="855" spans="24:35">
      <c r="X855" s="753"/>
      <c r="Y855" s="753"/>
      <c r="Z855" s="753"/>
      <c r="AA855" s="753"/>
      <c r="AB855" s="753"/>
      <c r="AC855" s="753"/>
      <c r="AD855" s="753"/>
      <c r="AE855" s="753"/>
      <c r="AF855" s="753"/>
      <c r="AG855" s="753"/>
      <c r="AH855" s="753"/>
      <c r="AI855" s="753"/>
    </row>
    <row r="856" spans="24:35">
      <c r="X856" s="753"/>
      <c r="Y856" s="753"/>
      <c r="Z856" s="753"/>
      <c r="AA856" s="753"/>
      <c r="AB856" s="753"/>
      <c r="AC856" s="753"/>
      <c r="AD856" s="753"/>
      <c r="AE856" s="753"/>
      <c r="AF856" s="753"/>
      <c r="AG856" s="753"/>
      <c r="AH856" s="753"/>
      <c r="AI856" s="753"/>
    </row>
    <row r="857" spans="24:35">
      <c r="X857" s="753"/>
      <c r="Y857" s="753"/>
      <c r="Z857" s="753"/>
      <c r="AA857" s="753"/>
      <c r="AB857" s="753"/>
      <c r="AC857" s="753"/>
      <c r="AD857" s="753"/>
      <c r="AE857" s="753"/>
      <c r="AF857" s="753"/>
      <c r="AG857" s="753"/>
      <c r="AH857" s="753"/>
      <c r="AI857" s="753"/>
    </row>
    <row r="858" spans="24:35">
      <c r="X858" s="753"/>
      <c r="Y858" s="753"/>
      <c r="Z858" s="753"/>
      <c r="AA858" s="753"/>
      <c r="AB858" s="753"/>
      <c r="AC858" s="753"/>
      <c r="AD858" s="753"/>
      <c r="AE858" s="753"/>
      <c r="AF858" s="753"/>
      <c r="AG858" s="753"/>
      <c r="AH858" s="753"/>
      <c r="AI858" s="753"/>
    </row>
    <row r="859" spans="24:35">
      <c r="X859" s="753"/>
      <c r="Y859" s="753"/>
      <c r="Z859" s="753"/>
      <c r="AA859" s="753"/>
      <c r="AB859" s="753"/>
      <c r="AC859" s="753"/>
      <c r="AD859" s="753"/>
      <c r="AE859" s="753"/>
      <c r="AF859" s="753"/>
      <c r="AG859" s="753"/>
      <c r="AH859" s="753"/>
      <c r="AI859" s="753"/>
    </row>
    <row r="860" spans="24:35">
      <c r="X860" s="753"/>
      <c r="Y860" s="753"/>
      <c r="Z860" s="753"/>
      <c r="AA860" s="753"/>
      <c r="AB860" s="753"/>
      <c r="AC860" s="753"/>
      <c r="AD860" s="753"/>
      <c r="AE860" s="753"/>
      <c r="AF860" s="753"/>
      <c r="AG860" s="753"/>
      <c r="AH860" s="753"/>
      <c r="AI860" s="753"/>
    </row>
    <row r="861" spans="24:35">
      <c r="X861" s="753"/>
      <c r="Y861" s="753"/>
      <c r="Z861" s="753"/>
      <c r="AA861" s="753"/>
      <c r="AB861" s="753"/>
      <c r="AC861" s="753"/>
      <c r="AD861" s="753"/>
      <c r="AE861" s="753"/>
      <c r="AF861" s="753"/>
      <c r="AG861" s="753"/>
      <c r="AH861" s="753"/>
      <c r="AI861" s="753"/>
    </row>
    <row r="862" spans="24:35">
      <c r="X862" s="753"/>
      <c r="Y862" s="753"/>
      <c r="Z862" s="753"/>
      <c r="AA862" s="753"/>
      <c r="AB862" s="753"/>
      <c r="AC862" s="753"/>
      <c r="AD862" s="753"/>
      <c r="AE862" s="753"/>
      <c r="AF862" s="753"/>
      <c r="AG862" s="753"/>
      <c r="AH862" s="753"/>
      <c r="AI862" s="753"/>
    </row>
    <row r="863" spans="24:35">
      <c r="X863" s="753"/>
      <c r="Y863" s="753"/>
      <c r="Z863" s="753"/>
      <c r="AA863" s="753"/>
      <c r="AB863" s="753"/>
      <c r="AC863" s="753"/>
      <c r="AD863" s="753"/>
      <c r="AE863" s="753"/>
      <c r="AF863" s="753"/>
      <c r="AG863" s="753"/>
      <c r="AH863" s="753"/>
      <c r="AI863" s="753"/>
    </row>
    <row r="864" spans="24:35">
      <c r="X864" s="753"/>
      <c r="Y864" s="753"/>
      <c r="Z864" s="753"/>
      <c r="AA864" s="753"/>
      <c r="AB864" s="753"/>
      <c r="AC864" s="753"/>
      <c r="AD864" s="753"/>
      <c r="AE864" s="753"/>
      <c r="AF864" s="753"/>
      <c r="AG864" s="753"/>
      <c r="AH864" s="753"/>
      <c r="AI864" s="753"/>
    </row>
    <row r="865" spans="24:35">
      <c r="X865" s="753"/>
      <c r="Y865" s="753"/>
      <c r="Z865" s="753"/>
      <c r="AA865" s="753"/>
      <c r="AB865" s="753"/>
      <c r="AC865" s="753"/>
      <c r="AD865" s="753"/>
      <c r="AE865" s="753"/>
      <c r="AF865" s="753"/>
      <c r="AG865" s="753"/>
      <c r="AH865" s="753"/>
      <c r="AI865" s="753"/>
    </row>
    <row r="866" spans="24:35">
      <c r="X866" s="753"/>
      <c r="Y866" s="753"/>
      <c r="Z866" s="753"/>
      <c r="AA866" s="753"/>
      <c r="AB866" s="753"/>
      <c r="AC866" s="753"/>
      <c r="AD866" s="753"/>
      <c r="AE866" s="753"/>
      <c r="AF866" s="753"/>
      <c r="AG866" s="753"/>
      <c r="AH866" s="753"/>
      <c r="AI866" s="753"/>
    </row>
    <row r="867" spans="24:35">
      <c r="X867" s="753"/>
      <c r="Y867" s="753"/>
      <c r="Z867" s="753"/>
      <c r="AA867" s="753"/>
      <c r="AB867" s="753"/>
      <c r="AC867" s="753"/>
      <c r="AD867" s="753"/>
      <c r="AE867" s="753"/>
      <c r="AF867" s="753"/>
      <c r="AG867" s="753"/>
      <c r="AH867" s="753"/>
      <c r="AI867" s="753"/>
    </row>
    <row r="868" spans="24:35">
      <c r="X868" s="753"/>
      <c r="Y868" s="753"/>
      <c r="Z868" s="753"/>
      <c r="AA868" s="753"/>
      <c r="AB868" s="753"/>
      <c r="AC868" s="753"/>
      <c r="AD868" s="753"/>
      <c r="AE868" s="753"/>
      <c r="AF868" s="753"/>
      <c r="AG868" s="753"/>
      <c r="AH868" s="753"/>
      <c r="AI868" s="753"/>
    </row>
    <row r="869" spans="24:35">
      <c r="X869" s="753"/>
      <c r="Y869" s="753"/>
      <c r="Z869" s="753"/>
      <c r="AA869" s="753"/>
      <c r="AB869" s="753"/>
      <c r="AC869" s="753"/>
      <c r="AD869" s="753"/>
      <c r="AE869" s="753"/>
      <c r="AF869" s="753"/>
      <c r="AG869" s="753"/>
      <c r="AH869" s="753"/>
      <c r="AI869" s="753"/>
    </row>
    <row r="870" spans="24:35">
      <c r="X870" s="753"/>
      <c r="Y870" s="753"/>
      <c r="Z870" s="753"/>
      <c r="AA870" s="753"/>
      <c r="AB870" s="753"/>
      <c r="AC870" s="753"/>
      <c r="AD870" s="753"/>
      <c r="AE870" s="753"/>
      <c r="AF870" s="753"/>
      <c r="AG870" s="753"/>
      <c r="AH870" s="753"/>
      <c r="AI870" s="753"/>
    </row>
    <row r="871" spans="24:35">
      <c r="X871" s="753"/>
      <c r="Y871" s="753"/>
      <c r="Z871" s="753"/>
      <c r="AA871" s="753"/>
      <c r="AB871" s="753"/>
      <c r="AC871" s="753"/>
      <c r="AD871" s="753"/>
      <c r="AE871" s="753"/>
      <c r="AF871" s="753"/>
      <c r="AG871" s="753"/>
      <c r="AH871" s="753"/>
      <c r="AI871" s="753"/>
    </row>
    <row r="872" spans="24:35">
      <c r="X872" s="753"/>
      <c r="Y872" s="753"/>
      <c r="Z872" s="753"/>
      <c r="AA872" s="753"/>
      <c r="AB872" s="753"/>
      <c r="AC872" s="753"/>
      <c r="AD872" s="753"/>
      <c r="AE872" s="753"/>
      <c r="AF872" s="753"/>
      <c r="AG872" s="753"/>
      <c r="AH872" s="753"/>
      <c r="AI872" s="753"/>
    </row>
    <row r="873" spans="24:35">
      <c r="X873" s="753"/>
      <c r="Y873" s="753"/>
      <c r="Z873" s="753"/>
      <c r="AA873" s="753"/>
      <c r="AB873" s="753"/>
      <c r="AC873" s="753"/>
      <c r="AD873" s="753"/>
      <c r="AE873" s="753"/>
      <c r="AF873" s="753"/>
      <c r="AG873" s="753"/>
      <c r="AH873" s="753"/>
      <c r="AI873" s="753"/>
    </row>
    <row r="874" spans="24:35">
      <c r="X874" s="753"/>
      <c r="Y874" s="753"/>
      <c r="Z874" s="753"/>
      <c r="AA874" s="753"/>
      <c r="AB874" s="753"/>
      <c r="AC874" s="753"/>
      <c r="AD874" s="753"/>
      <c r="AE874" s="753"/>
      <c r="AF874" s="753"/>
      <c r="AG874" s="753"/>
      <c r="AH874" s="753"/>
      <c r="AI874" s="753"/>
    </row>
    <row r="875" spans="24:35">
      <c r="X875" s="753"/>
      <c r="Y875" s="753"/>
      <c r="Z875" s="753"/>
      <c r="AA875" s="753"/>
      <c r="AB875" s="753"/>
      <c r="AC875" s="753"/>
      <c r="AD875" s="753"/>
      <c r="AE875" s="753"/>
      <c r="AF875" s="753"/>
      <c r="AG875" s="753"/>
      <c r="AH875" s="753"/>
      <c r="AI875" s="753"/>
    </row>
    <row r="876" spans="24:35">
      <c r="X876" s="753"/>
      <c r="Y876" s="753"/>
      <c r="Z876" s="753"/>
      <c r="AA876" s="753"/>
      <c r="AB876" s="753"/>
      <c r="AC876" s="753"/>
      <c r="AD876" s="753"/>
      <c r="AE876" s="753"/>
      <c r="AF876" s="753"/>
      <c r="AG876" s="753"/>
      <c r="AH876" s="753"/>
      <c r="AI876" s="753"/>
    </row>
    <row r="877" spans="24:35">
      <c r="X877" s="753"/>
      <c r="Y877" s="753"/>
      <c r="Z877" s="753"/>
      <c r="AA877" s="753"/>
      <c r="AB877" s="753"/>
      <c r="AC877" s="753"/>
      <c r="AD877" s="753"/>
      <c r="AE877" s="753"/>
      <c r="AF877" s="753"/>
      <c r="AG877" s="753"/>
      <c r="AH877" s="753"/>
      <c r="AI877" s="753"/>
    </row>
    <row r="878" spans="24:35">
      <c r="X878" s="753"/>
      <c r="Y878" s="753"/>
      <c r="Z878" s="753"/>
      <c r="AA878" s="753"/>
      <c r="AB878" s="753"/>
      <c r="AC878" s="753"/>
      <c r="AD878" s="753"/>
      <c r="AE878" s="753"/>
      <c r="AF878" s="753"/>
      <c r="AG878" s="753"/>
      <c r="AH878" s="753"/>
      <c r="AI878" s="753"/>
    </row>
    <row r="879" spans="24:35">
      <c r="X879" s="753"/>
      <c r="Y879" s="753"/>
      <c r="Z879" s="753"/>
      <c r="AA879" s="753"/>
      <c r="AB879" s="753"/>
      <c r="AC879" s="753"/>
      <c r="AD879" s="753"/>
      <c r="AE879" s="753"/>
      <c r="AF879" s="753"/>
      <c r="AG879" s="753"/>
      <c r="AH879" s="753"/>
      <c r="AI879" s="753"/>
    </row>
    <row r="880" spans="24:35">
      <c r="X880" s="753"/>
      <c r="Y880" s="753"/>
      <c r="Z880" s="753"/>
      <c r="AA880" s="753"/>
      <c r="AB880" s="753"/>
      <c r="AC880" s="753"/>
      <c r="AD880" s="753"/>
      <c r="AE880" s="753"/>
      <c r="AF880" s="753"/>
      <c r="AG880" s="753"/>
      <c r="AH880" s="753"/>
      <c r="AI880" s="753"/>
    </row>
    <row r="881" spans="24:35">
      <c r="X881" s="753"/>
      <c r="Y881" s="753"/>
      <c r="Z881" s="753"/>
      <c r="AA881" s="753"/>
      <c r="AB881" s="753"/>
      <c r="AC881" s="753"/>
      <c r="AD881" s="753"/>
      <c r="AE881" s="753"/>
      <c r="AF881" s="753"/>
      <c r="AG881" s="753"/>
      <c r="AH881" s="753"/>
      <c r="AI881" s="753"/>
    </row>
    <row r="882" spans="24:35">
      <c r="X882" s="753"/>
      <c r="Y882" s="753"/>
      <c r="Z882" s="753"/>
      <c r="AA882" s="753"/>
      <c r="AB882" s="753"/>
      <c r="AC882" s="753"/>
      <c r="AD882" s="753"/>
      <c r="AE882" s="753"/>
      <c r="AF882" s="753"/>
      <c r="AG882" s="753"/>
      <c r="AH882" s="753"/>
      <c r="AI882" s="753"/>
    </row>
    <row r="883" spans="24:35">
      <c r="X883" s="753"/>
      <c r="Y883" s="753"/>
      <c r="Z883" s="753"/>
      <c r="AA883" s="753"/>
      <c r="AB883" s="753"/>
      <c r="AC883" s="753"/>
      <c r="AD883" s="753"/>
      <c r="AE883" s="753"/>
      <c r="AF883" s="753"/>
      <c r="AG883" s="753"/>
      <c r="AH883" s="753"/>
      <c r="AI883" s="753"/>
    </row>
    <row r="884" spans="24:35">
      <c r="X884" s="753"/>
      <c r="Y884" s="753"/>
      <c r="Z884" s="753"/>
      <c r="AA884" s="753"/>
      <c r="AB884" s="753"/>
      <c r="AC884" s="753"/>
      <c r="AD884" s="753"/>
      <c r="AE884" s="753"/>
      <c r="AF884" s="753"/>
      <c r="AG884" s="753"/>
      <c r="AH884" s="753"/>
      <c r="AI884" s="753"/>
    </row>
    <row r="885" spans="24:35">
      <c r="X885" s="753"/>
      <c r="Y885" s="753"/>
      <c r="Z885" s="753"/>
      <c r="AA885" s="753"/>
      <c r="AB885" s="753"/>
      <c r="AC885" s="753"/>
      <c r="AD885" s="753"/>
      <c r="AE885" s="753"/>
      <c r="AF885" s="753"/>
      <c r="AG885" s="753"/>
      <c r="AH885" s="753"/>
      <c r="AI885" s="753"/>
    </row>
    <row r="886" spans="24:35">
      <c r="X886" s="753"/>
      <c r="Y886" s="753"/>
      <c r="Z886" s="753"/>
      <c r="AA886" s="753"/>
      <c r="AB886" s="753"/>
      <c r="AC886" s="753"/>
      <c r="AD886" s="753"/>
      <c r="AE886" s="753"/>
      <c r="AF886" s="753"/>
      <c r="AG886" s="753"/>
      <c r="AH886" s="753"/>
      <c r="AI886" s="753"/>
    </row>
    <row r="887" spans="24:35">
      <c r="X887" s="753"/>
      <c r="Y887" s="753"/>
      <c r="Z887" s="753"/>
      <c r="AA887" s="753"/>
      <c r="AB887" s="753"/>
      <c r="AC887" s="753"/>
      <c r="AD887" s="753"/>
      <c r="AE887" s="753"/>
      <c r="AF887" s="753"/>
      <c r="AG887" s="753"/>
      <c r="AH887" s="753"/>
      <c r="AI887" s="753"/>
    </row>
    <row r="888" spans="24:35">
      <c r="X888" s="753"/>
      <c r="Y888" s="753"/>
      <c r="Z888" s="753"/>
      <c r="AA888" s="753"/>
      <c r="AB888" s="753"/>
      <c r="AC888" s="753"/>
      <c r="AD888" s="753"/>
      <c r="AE888" s="753"/>
      <c r="AF888" s="753"/>
      <c r="AG888" s="753"/>
      <c r="AH888" s="753"/>
      <c r="AI888" s="753"/>
    </row>
    <row r="889" spans="24:35">
      <c r="X889" s="753"/>
      <c r="Y889" s="753"/>
      <c r="Z889" s="753"/>
      <c r="AA889" s="753"/>
      <c r="AB889" s="753"/>
      <c r="AC889" s="753"/>
      <c r="AD889" s="753"/>
      <c r="AE889" s="753"/>
      <c r="AF889" s="753"/>
      <c r="AG889" s="753"/>
      <c r="AH889" s="753"/>
      <c r="AI889" s="753"/>
    </row>
    <row r="890" spans="24:35">
      <c r="X890" s="753"/>
      <c r="Y890" s="753"/>
      <c r="Z890" s="753"/>
      <c r="AA890" s="753"/>
      <c r="AB890" s="753"/>
      <c r="AC890" s="753"/>
      <c r="AD890" s="753"/>
      <c r="AE890" s="753"/>
      <c r="AF890" s="753"/>
      <c r="AG890" s="753"/>
      <c r="AH890" s="753"/>
      <c r="AI890" s="753"/>
    </row>
    <row r="891" spans="24:35">
      <c r="X891" s="753"/>
      <c r="Y891" s="753"/>
      <c r="Z891" s="753"/>
      <c r="AA891" s="753"/>
      <c r="AB891" s="753"/>
      <c r="AC891" s="753"/>
      <c r="AD891" s="753"/>
      <c r="AE891" s="753"/>
      <c r="AF891" s="753"/>
      <c r="AG891" s="753"/>
      <c r="AH891" s="753"/>
      <c r="AI891" s="753"/>
    </row>
    <row r="892" spans="24:35">
      <c r="X892" s="753"/>
      <c r="Y892" s="753"/>
      <c r="Z892" s="753"/>
      <c r="AA892" s="753"/>
      <c r="AB892" s="753"/>
      <c r="AC892" s="753"/>
      <c r="AD892" s="753"/>
      <c r="AE892" s="753"/>
      <c r="AF892" s="753"/>
      <c r="AG892" s="753"/>
      <c r="AH892" s="753"/>
      <c r="AI892" s="753"/>
    </row>
    <row r="893" spans="24:35">
      <c r="X893" s="753"/>
      <c r="Y893" s="753"/>
      <c r="Z893" s="753"/>
      <c r="AA893" s="753"/>
      <c r="AB893" s="753"/>
      <c r="AC893" s="753"/>
      <c r="AD893" s="753"/>
      <c r="AE893" s="753"/>
      <c r="AF893" s="753"/>
      <c r="AG893" s="753"/>
      <c r="AH893" s="753"/>
      <c r="AI893" s="753"/>
    </row>
    <row r="894" spans="24:35">
      <c r="X894" s="753"/>
      <c r="Y894" s="753"/>
      <c r="Z894" s="753"/>
      <c r="AA894" s="753"/>
      <c r="AB894" s="753"/>
      <c r="AC894" s="753"/>
      <c r="AD894" s="753"/>
      <c r="AE894" s="753"/>
      <c r="AF894" s="753"/>
      <c r="AG894" s="753"/>
      <c r="AH894" s="753"/>
      <c r="AI894" s="753"/>
    </row>
    <row r="895" spans="24:35">
      <c r="X895" s="753"/>
      <c r="Y895" s="753"/>
      <c r="Z895" s="753"/>
      <c r="AA895" s="753"/>
      <c r="AB895" s="753"/>
      <c r="AC895" s="753"/>
      <c r="AD895" s="753"/>
      <c r="AE895" s="753"/>
      <c r="AF895" s="753"/>
      <c r="AG895" s="753"/>
      <c r="AH895" s="753"/>
      <c r="AI895" s="753"/>
    </row>
    <row r="896" spans="24:35">
      <c r="X896" s="753"/>
      <c r="Y896" s="753"/>
      <c r="Z896" s="753"/>
      <c r="AA896" s="753"/>
      <c r="AB896" s="753"/>
      <c r="AC896" s="753"/>
      <c r="AD896" s="753"/>
      <c r="AE896" s="753"/>
      <c r="AF896" s="753"/>
      <c r="AG896" s="753"/>
      <c r="AH896" s="753"/>
      <c r="AI896" s="753"/>
    </row>
    <row r="897" spans="24:35">
      <c r="X897" s="753"/>
      <c r="Y897" s="753"/>
      <c r="Z897" s="753"/>
      <c r="AA897" s="753"/>
      <c r="AB897" s="753"/>
      <c r="AC897" s="753"/>
      <c r="AD897" s="753"/>
      <c r="AE897" s="753"/>
      <c r="AF897" s="753"/>
      <c r="AG897" s="753"/>
      <c r="AH897" s="753"/>
      <c r="AI897" s="753"/>
    </row>
    <row r="898" spans="24:35">
      <c r="X898" s="753"/>
      <c r="Y898" s="753"/>
      <c r="Z898" s="753"/>
      <c r="AA898" s="753"/>
      <c r="AB898" s="753"/>
      <c r="AC898" s="753"/>
      <c r="AD898" s="753"/>
      <c r="AE898" s="753"/>
      <c r="AF898" s="753"/>
      <c r="AG898" s="753"/>
      <c r="AH898" s="753"/>
      <c r="AI898" s="753"/>
    </row>
    <row r="899" spans="24:35">
      <c r="X899" s="753"/>
      <c r="Y899" s="753"/>
      <c r="Z899" s="753"/>
      <c r="AA899" s="753"/>
      <c r="AB899" s="753"/>
      <c r="AC899" s="753"/>
      <c r="AD899" s="753"/>
      <c r="AE899" s="753"/>
      <c r="AF899" s="753"/>
      <c r="AG899" s="753"/>
      <c r="AH899" s="753"/>
      <c r="AI899" s="753"/>
    </row>
    <row r="900" spans="24:35">
      <c r="X900" s="753"/>
      <c r="Y900" s="753"/>
      <c r="Z900" s="753"/>
      <c r="AA900" s="753"/>
      <c r="AB900" s="753"/>
      <c r="AC900" s="753"/>
      <c r="AD900" s="753"/>
      <c r="AE900" s="753"/>
      <c r="AF900" s="753"/>
      <c r="AG900" s="753"/>
      <c r="AH900" s="753"/>
      <c r="AI900" s="753"/>
    </row>
    <row r="901" spans="24:35">
      <c r="X901" s="753"/>
      <c r="Y901" s="753"/>
      <c r="Z901" s="753"/>
      <c r="AA901" s="753"/>
      <c r="AB901" s="753"/>
      <c r="AC901" s="753"/>
      <c r="AD901" s="753"/>
      <c r="AE901" s="753"/>
      <c r="AF901" s="753"/>
      <c r="AG901" s="753"/>
      <c r="AH901" s="753"/>
      <c r="AI901" s="753"/>
    </row>
    <row r="902" spans="24:35">
      <c r="X902" s="753"/>
      <c r="Y902" s="753"/>
      <c r="Z902" s="753"/>
      <c r="AA902" s="753"/>
      <c r="AB902" s="753"/>
      <c r="AC902" s="753"/>
      <c r="AD902" s="753"/>
      <c r="AE902" s="753"/>
      <c r="AF902" s="753"/>
      <c r="AG902" s="753"/>
      <c r="AH902" s="753"/>
      <c r="AI902" s="753"/>
    </row>
    <row r="903" spans="24:35">
      <c r="X903" s="753"/>
      <c r="Y903" s="753"/>
      <c r="Z903" s="753"/>
      <c r="AA903" s="753"/>
      <c r="AB903" s="753"/>
      <c r="AC903" s="753"/>
      <c r="AD903" s="753"/>
      <c r="AE903" s="753"/>
      <c r="AF903" s="753"/>
      <c r="AG903" s="753"/>
      <c r="AH903" s="753"/>
      <c r="AI903" s="753"/>
    </row>
    <row r="904" spans="24:35">
      <c r="X904" s="753"/>
      <c r="Y904" s="753"/>
      <c r="Z904" s="753"/>
      <c r="AA904" s="753"/>
      <c r="AB904" s="753"/>
      <c r="AC904" s="753"/>
      <c r="AD904" s="753"/>
      <c r="AE904" s="753"/>
      <c r="AF904" s="753"/>
      <c r="AG904" s="753"/>
      <c r="AH904" s="753"/>
      <c r="AI904" s="753"/>
    </row>
    <row r="905" spans="24:35">
      <c r="X905" s="753"/>
      <c r="Y905" s="753"/>
      <c r="Z905" s="753"/>
      <c r="AA905" s="753"/>
      <c r="AB905" s="753"/>
      <c r="AC905" s="753"/>
      <c r="AD905" s="753"/>
      <c r="AE905" s="753"/>
      <c r="AF905" s="753"/>
      <c r="AG905" s="753"/>
      <c r="AH905" s="753"/>
      <c r="AI905" s="753"/>
    </row>
    <row r="906" spans="24:35">
      <c r="X906" s="753"/>
      <c r="Y906" s="753"/>
      <c r="Z906" s="753"/>
      <c r="AA906" s="753"/>
      <c r="AB906" s="753"/>
      <c r="AC906" s="753"/>
      <c r="AD906" s="753"/>
      <c r="AE906" s="753"/>
      <c r="AF906" s="753"/>
      <c r="AG906" s="753"/>
      <c r="AH906" s="753"/>
      <c r="AI906" s="753"/>
    </row>
    <row r="907" spans="24:35">
      <c r="X907" s="753"/>
      <c r="Y907" s="753"/>
      <c r="Z907" s="753"/>
      <c r="AA907" s="753"/>
      <c r="AB907" s="753"/>
      <c r="AC907" s="753"/>
      <c r="AD907" s="753"/>
      <c r="AE907" s="753"/>
      <c r="AF907" s="753"/>
      <c r="AG907" s="753"/>
      <c r="AH907" s="753"/>
      <c r="AI907" s="753"/>
    </row>
    <row r="908" spans="24:35">
      <c r="X908" s="753"/>
      <c r="Y908" s="753"/>
      <c r="Z908" s="753"/>
      <c r="AA908" s="753"/>
      <c r="AB908" s="753"/>
      <c r="AC908" s="753"/>
      <c r="AD908" s="753"/>
      <c r="AE908" s="753"/>
      <c r="AF908" s="753"/>
      <c r="AG908" s="753"/>
      <c r="AH908" s="753"/>
      <c r="AI908" s="753"/>
    </row>
    <row r="909" spans="24:35">
      <c r="X909" s="753"/>
      <c r="Y909" s="753"/>
      <c r="Z909" s="753"/>
      <c r="AA909" s="753"/>
      <c r="AB909" s="753"/>
      <c r="AC909" s="753"/>
      <c r="AD909" s="753"/>
      <c r="AE909" s="753"/>
      <c r="AF909" s="753"/>
      <c r="AG909" s="753"/>
      <c r="AH909" s="753"/>
      <c r="AI909" s="753"/>
    </row>
    <row r="910" spans="24:35">
      <c r="X910" s="753"/>
      <c r="Y910" s="753"/>
      <c r="Z910" s="753"/>
      <c r="AA910" s="753"/>
      <c r="AB910" s="753"/>
      <c r="AC910" s="753"/>
      <c r="AD910" s="753"/>
      <c r="AE910" s="753"/>
      <c r="AF910" s="753"/>
      <c r="AG910" s="753"/>
      <c r="AH910" s="753"/>
      <c r="AI910" s="753"/>
    </row>
    <row r="911" spans="24:35">
      <c r="X911" s="753"/>
      <c r="Y911" s="753"/>
      <c r="Z911" s="753"/>
      <c r="AA911" s="753"/>
      <c r="AB911" s="753"/>
      <c r="AC911" s="753"/>
      <c r="AD911" s="753"/>
      <c r="AE911" s="753"/>
      <c r="AF911" s="753"/>
      <c r="AG911" s="753"/>
      <c r="AH911" s="753"/>
      <c r="AI911" s="753"/>
    </row>
    <row r="912" spans="24:35">
      <c r="X912" s="753"/>
      <c r="Y912" s="753"/>
      <c r="Z912" s="753"/>
      <c r="AA912" s="753"/>
      <c r="AB912" s="753"/>
      <c r="AC912" s="753"/>
      <c r="AD912" s="753"/>
      <c r="AE912" s="753"/>
      <c r="AF912" s="753"/>
      <c r="AG912" s="753"/>
      <c r="AH912" s="753"/>
      <c r="AI912" s="753"/>
    </row>
    <row r="913" spans="24:35">
      <c r="X913" s="753"/>
      <c r="Y913" s="753"/>
      <c r="Z913" s="753"/>
      <c r="AA913" s="753"/>
      <c r="AB913" s="753"/>
      <c r="AC913" s="753"/>
      <c r="AD913" s="753"/>
      <c r="AE913" s="753"/>
      <c r="AF913" s="753"/>
      <c r="AG913" s="753"/>
      <c r="AH913" s="753"/>
      <c r="AI913" s="753"/>
    </row>
    <row r="914" spans="24:35">
      <c r="X914" s="753"/>
      <c r="Y914" s="753"/>
      <c r="Z914" s="753"/>
      <c r="AA914" s="753"/>
      <c r="AB914" s="753"/>
      <c r="AC914" s="753"/>
      <c r="AD914" s="753"/>
      <c r="AE914" s="753"/>
      <c r="AF914" s="753"/>
      <c r="AG914" s="753"/>
      <c r="AH914" s="753"/>
      <c r="AI914" s="753"/>
    </row>
    <row r="915" spans="24:35">
      <c r="X915" s="753"/>
      <c r="Y915" s="753"/>
      <c r="Z915" s="753"/>
      <c r="AA915" s="753"/>
      <c r="AB915" s="753"/>
      <c r="AC915" s="753"/>
      <c r="AD915" s="753"/>
      <c r="AE915" s="753"/>
      <c r="AF915" s="753"/>
      <c r="AG915" s="753"/>
      <c r="AH915" s="753"/>
      <c r="AI915" s="753"/>
    </row>
    <row r="916" spans="24:35">
      <c r="X916" s="753"/>
      <c r="Y916" s="753"/>
      <c r="Z916" s="753"/>
      <c r="AA916" s="753"/>
      <c r="AB916" s="753"/>
      <c r="AC916" s="753"/>
      <c r="AD916" s="753"/>
      <c r="AE916" s="753"/>
      <c r="AF916" s="753"/>
      <c r="AG916" s="753"/>
      <c r="AH916" s="753"/>
      <c r="AI916" s="753"/>
    </row>
    <row r="917" spans="24:35">
      <c r="X917" s="753"/>
      <c r="Y917" s="753"/>
      <c r="Z917" s="753"/>
      <c r="AA917" s="753"/>
      <c r="AB917" s="753"/>
      <c r="AC917" s="753"/>
      <c r="AD917" s="753"/>
      <c r="AE917" s="753"/>
      <c r="AF917" s="753"/>
      <c r="AG917" s="753"/>
      <c r="AH917" s="753"/>
      <c r="AI917" s="753"/>
    </row>
    <row r="918" spans="24:35">
      <c r="X918" s="753"/>
      <c r="Y918" s="753"/>
      <c r="Z918" s="753"/>
      <c r="AA918" s="753"/>
      <c r="AB918" s="753"/>
      <c r="AC918" s="753"/>
      <c r="AD918" s="753"/>
      <c r="AE918" s="753"/>
      <c r="AF918" s="753"/>
      <c r="AG918" s="753"/>
      <c r="AH918" s="753"/>
      <c r="AI918" s="753"/>
    </row>
    <row r="919" spans="24:35">
      <c r="X919" s="753"/>
      <c r="Y919" s="753"/>
      <c r="Z919" s="753"/>
      <c r="AA919" s="753"/>
      <c r="AB919" s="753"/>
      <c r="AC919" s="753"/>
      <c r="AD919" s="753"/>
      <c r="AE919" s="753"/>
      <c r="AF919" s="753"/>
      <c r="AG919" s="753"/>
      <c r="AH919" s="753"/>
      <c r="AI919" s="753"/>
    </row>
    <row r="920" spans="24:35">
      <c r="X920" s="753"/>
      <c r="Y920" s="753"/>
      <c r="Z920" s="753"/>
      <c r="AA920" s="753"/>
      <c r="AB920" s="753"/>
      <c r="AC920" s="753"/>
      <c r="AD920" s="753"/>
      <c r="AE920" s="753"/>
      <c r="AF920" s="753"/>
      <c r="AG920" s="753"/>
      <c r="AH920" s="753"/>
      <c r="AI920" s="753"/>
    </row>
    <row r="921" spans="24:35">
      <c r="X921" s="753"/>
      <c r="Y921" s="753"/>
      <c r="Z921" s="753"/>
      <c r="AA921" s="753"/>
      <c r="AB921" s="753"/>
      <c r="AC921" s="753"/>
      <c r="AD921" s="753"/>
      <c r="AE921" s="753"/>
      <c r="AF921" s="753"/>
      <c r="AG921" s="753"/>
      <c r="AH921" s="753"/>
      <c r="AI921" s="753"/>
    </row>
    <row r="922" spans="24:35">
      <c r="X922" s="753"/>
      <c r="Y922" s="753"/>
      <c r="Z922" s="753"/>
      <c r="AA922" s="753"/>
      <c r="AB922" s="753"/>
      <c r="AC922" s="753"/>
      <c r="AD922" s="753"/>
      <c r="AE922" s="753"/>
      <c r="AF922" s="753"/>
      <c r="AG922" s="753"/>
      <c r="AH922" s="753"/>
      <c r="AI922" s="753"/>
    </row>
    <row r="923" spans="24:35">
      <c r="X923" s="753"/>
      <c r="Y923" s="753"/>
      <c r="Z923" s="753"/>
      <c r="AA923" s="753"/>
      <c r="AB923" s="753"/>
      <c r="AC923" s="753"/>
      <c r="AD923" s="753"/>
      <c r="AE923" s="753"/>
      <c r="AF923" s="753"/>
      <c r="AG923" s="753"/>
      <c r="AH923" s="753"/>
      <c r="AI923" s="753"/>
    </row>
    <row r="924" spans="24:35">
      <c r="X924" s="753"/>
      <c r="Y924" s="753"/>
      <c r="Z924" s="753"/>
      <c r="AA924" s="753"/>
      <c r="AB924" s="753"/>
      <c r="AC924" s="753"/>
      <c r="AD924" s="753"/>
      <c r="AE924" s="753"/>
      <c r="AF924" s="753"/>
      <c r="AG924" s="753"/>
      <c r="AH924" s="753"/>
      <c r="AI924" s="753"/>
    </row>
    <row r="925" spans="24:35">
      <c r="X925" s="753"/>
      <c r="Y925" s="753"/>
      <c r="Z925" s="753"/>
      <c r="AA925" s="753"/>
      <c r="AB925" s="753"/>
      <c r="AC925" s="753"/>
      <c r="AD925" s="753"/>
      <c r="AE925" s="753"/>
      <c r="AF925" s="753"/>
      <c r="AG925" s="753"/>
      <c r="AH925" s="753"/>
      <c r="AI925" s="753"/>
    </row>
    <row r="926" spans="24:35">
      <c r="X926" s="753"/>
      <c r="Y926" s="753"/>
      <c r="Z926" s="753"/>
      <c r="AA926" s="753"/>
      <c r="AB926" s="753"/>
      <c r="AC926" s="753"/>
      <c r="AD926" s="753"/>
      <c r="AE926" s="753"/>
      <c r="AF926" s="753"/>
      <c r="AG926" s="753"/>
      <c r="AH926" s="753"/>
      <c r="AI926" s="753"/>
    </row>
    <row r="927" spans="24:35">
      <c r="X927" s="753"/>
      <c r="Y927" s="753"/>
      <c r="Z927" s="753"/>
      <c r="AA927" s="753"/>
      <c r="AB927" s="753"/>
      <c r="AC927" s="753"/>
      <c r="AD927" s="753"/>
      <c r="AE927" s="753"/>
      <c r="AF927" s="753"/>
      <c r="AG927" s="753"/>
      <c r="AH927" s="753"/>
      <c r="AI927" s="753"/>
    </row>
    <row r="928" spans="24:35">
      <c r="X928" s="753"/>
      <c r="Y928" s="753"/>
      <c r="Z928" s="753"/>
      <c r="AA928" s="753"/>
      <c r="AB928" s="753"/>
      <c r="AC928" s="753"/>
      <c r="AD928" s="753"/>
      <c r="AE928" s="753"/>
      <c r="AF928" s="753"/>
      <c r="AG928" s="753"/>
      <c r="AH928" s="753"/>
      <c r="AI928" s="753"/>
    </row>
    <row r="929" spans="24:35">
      <c r="X929" s="753"/>
      <c r="Y929" s="753"/>
      <c r="Z929" s="753"/>
      <c r="AA929" s="753"/>
      <c r="AB929" s="753"/>
      <c r="AC929" s="753"/>
      <c r="AD929" s="753"/>
      <c r="AE929" s="753"/>
      <c r="AF929" s="753"/>
      <c r="AG929" s="753"/>
      <c r="AH929" s="753"/>
      <c r="AI929" s="753"/>
    </row>
    <row r="930" spans="24:35">
      <c r="X930" s="753"/>
      <c r="Y930" s="753"/>
      <c r="Z930" s="753"/>
      <c r="AA930" s="753"/>
      <c r="AB930" s="753"/>
      <c r="AC930" s="753"/>
      <c r="AD930" s="753"/>
      <c r="AE930" s="753"/>
      <c r="AF930" s="753"/>
      <c r="AG930" s="753"/>
      <c r="AH930" s="753"/>
      <c r="AI930" s="753"/>
    </row>
    <row r="931" spans="24:35">
      <c r="X931" s="753"/>
      <c r="Y931" s="753"/>
      <c r="Z931" s="753"/>
      <c r="AA931" s="753"/>
      <c r="AB931" s="753"/>
      <c r="AC931" s="753"/>
      <c r="AD931" s="753"/>
      <c r="AE931" s="753"/>
      <c r="AF931" s="753"/>
      <c r="AG931" s="753"/>
      <c r="AH931" s="753"/>
      <c r="AI931" s="753"/>
    </row>
    <row r="932" spans="24:35">
      <c r="X932" s="753"/>
      <c r="Y932" s="753"/>
      <c r="Z932" s="753"/>
      <c r="AA932" s="753"/>
      <c r="AB932" s="753"/>
      <c r="AC932" s="753"/>
      <c r="AD932" s="753"/>
      <c r="AE932" s="753"/>
      <c r="AF932" s="753"/>
      <c r="AG932" s="753"/>
      <c r="AH932" s="753"/>
      <c r="AI932" s="753"/>
    </row>
    <row r="933" spans="24:35">
      <c r="X933" s="753"/>
      <c r="Y933" s="753"/>
      <c r="Z933" s="753"/>
      <c r="AA933" s="753"/>
      <c r="AB933" s="753"/>
      <c r="AC933" s="753"/>
      <c r="AD933" s="753"/>
      <c r="AE933" s="753"/>
      <c r="AF933" s="753"/>
      <c r="AG933" s="753"/>
      <c r="AH933" s="753"/>
      <c r="AI933" s="753"/>
    </row>
    <row r="934" spans="24:35">
      <c r="X934" s="753"/>
      <c r="Y934" s="753"/>
      <c r="Z934" s="753"/>
      <c r="AA934" s="753"/>
      <c r="AB934" s="753"/>
      <c r="AC934" s="753"/>
      <c r="AD934" s="753"/>
      <c r="AE934" s="753"/>
      <c r="AF934" s="753"/>
      <c r="AG934" s="753"/>
      <c r="AH934" s="753"/>
      <c r="AI934" s="753"/>
    </row>
    <row r="935" spans="24:35">
      <c r="X935" s="753"/>
      <c r="Y935" s="753"/>
      <c r="Z935" s="753"/>
      <c r="AA935" s="753"/>
      <c r="AB935" s="753"/>
      <c r="AC935" s="753"/>
      <c r="AD935" s="753"/>
      <c r="AE935" s="753"/>
      <c r="AF935" s="753"/>
      <c r="AG935" s="753"/>
      <c r="AH935" s="753"/>
      <c r="AI935" s="753"/>
    </row>
    <row r="936" spans="24:35">
      <c r="X936" s="753"/>
      <c r="Y936" s="753"/>
      <c r="Z936" s="753"/>
      <c r="AA936" s="753"/>
      <c r="AB936" s="753"/>
      <c r="AC936" s="753"/>
      <c r="AD936" s="753"/>
      <c r="AE936" s="753"/>
      <c r="AF936" s="753"/>
      <c r="AG936" s="753"/>
      <c r="AH936" s="753"/>
      <c r="AI936" s="753"/>
    </row>
    <row r="937" spans="24:35">
      <c r="X937" s="753"/>
      <c r="Y937" s="753"/>
      <c r="Z937" s="753"/>
      <c r="AA937" s="753"/>
      <c r="AB937" s="753"/>
      <c r="AC937" s="753"/>
      <c r="AD937" s="753"/>
      <c r="AE937" s="753"/>
      <c r="AF937" s="753"/>
      <c r="AG937" s="753"/>
      <c r="AH937" s="753"/>
      <c r="AI937" s="753"/>
    </row>
    <row r="938" spans="24:35">
      <c r="X938" s="753"/>
      <c r="Y938" s="753"/>
      <c r="Z938" s="753"/>
      <c r="AA938" s="753"/>
      <c r="AB938" s="753"/>
      <c r="AC938" s="753"/>
      <c r="AD938" s="753"/>
      <c r="AE938" s="753"/>
      <c r="AF938" s="753"/>
      <c r="AG938" s="753"/>
      <c r="AH938" s="753"/>
      <c r="AI938" s="753"/>
    </row>
    <row r="939" spans="24:35">
      <c r="X939" s="753"/>
      <c r="Y939" s="753"/>
      <c r="Z939" s="753"/>
      <c r="AA939" s="753"/>
      <c r="AB939" s="753"/>
      <c r="AC939" s="753"/>
      <c r="AD939" s="753"/>
      <c r="AE939" s="753"/>
      <c r="AF939" s="753"/>
      <c r="AG939" s="753"/>
      <c r="AH939" s="753"/>
      <c r="AI939" s="753"/>
    </row>
    <row r="940" spans="24:35">
      <c r="X940" s="753"/>
      <c r="Y940" s="753"/>
      <c r="Z940" s="753"/>
      <c r="AA940" s="753"/>
      <c r="AB940" s="753"/>
      <c r="AC940" s="753"/>
      <c r="AD940" s="753"/>
      <c r="AE940" s="753"/>
      <c r="AF940" s="753"/>
      <c r="AG940" s="753"/>
      <c r="AH940" s="753"/>
      <c r="AI940" s="753"/>
    </row>
    <row r="941" spans="24:35">
      <c r="X941" s="753"/>
      <c r="Y941" s="753"/>
      <c r="Z941" s="753"/>
      <c r="AA941" s="753"/>
      <c r="AB941" s="753"/>
      <c r="AC941" s="753"/>
      <c r="AD941" s="753"/>
      <c r="AE941" s="753"/>
      <c r="AF941" s="753"/>
      <c r="AG941" s="753"/>
      <c r="AH941" s="753"/>
      <c r="AI941" s="753"/>
    </row>
    <row r="942" spans="24:35">
      <c r="X942" s="753"/>
      <c r="Y942" s="753"/>
      <c r="Z942" s="753"/>
      <c r="AA942" s="753"/>
      <c r="AB942" s="753"/>
      <c r="AC942" s="753"/>
      <c r="AD942" s="753"/>
      <c r="AE942" s="753"/>
      <c r="AF942" s="753"/>
      <c r="AG942" s="753"/>
      <c r="AH942" s="753"/>
      <c r="AI942" s="753"/>
    </row>
    <row r="943" spans="24:35">
      <c r="X943" s="753"/>
      <c r="Y943" s="753"/>
      <c r="Z943" s="753"/>
      <c r="AA943" s="753"/>
      <c r="AB943" s="753"/>
      <c r="AC943" s="753"/>
      <c r="AD943" s="753"/>
      <c r="AE943" s="753"/>
      <c r="AF943" s="753"/>
      <c r="AG943" s="753"/>
      <c r="AH943" s="753"/>
      <c r="AI943" s="753"/>
    </row>
    <row r="944" spans="24:35">
      <c r="X944" s="753"/>
      <c r="Y944" s="753"/>
      <c r="Z944" s="753"/>
      <c r="AA944" s="753"/>
      <c r="AB944" s="753"/>
      <c r="AC944" s="753"/>
      <c r="AD944" s="753"/>
      <c r="AE944" s="753"/>
      <c r="AF944" s="753"/>
      <c r="AG944" s="753"/>
      <c r="AH944" s="753"/>
      <c r="AI944" s="753"/>
    </row>
    <row r="945" spans="24:35">
      <c r="X945" s="753"/>
      <c r="Y945" s="753"/>
      <c r="Z945" s="753"/>
      <c r="AA945" s="753"/>
      <c r="AB945" s="753"/>
      <c r="AC945" s="753"/>
      <c r="AD945" s="753"/>
      <c r="AE945" s="753"/>
      <c r="AF945" s="753"/>
      <c r="AG945" s="753"/>
      <c r="AH945" s="753"/>
      <c r="AI945" s="753"/>
    </row>
    <row r="946" spans="24:35">
      <c r="X946" s="753"/>
      <c r="Y946" s="753"/>
      <c r="Z946" s="753"/>
      <c r="AA946" s="753"/>
      <c r="AB946" s="753"/>
      <c r="AC946" s="753"/>
      <c r="AD946" s="753"/>
      <c r="AE946" s="753"/>
      <c r="AF946" s="753"/>
      <c r="AG946" s="753"/>
      <c r="AH946" s="753"/>
      <c r="AI946" s="753"/>
    </row>
    <row r="947" spans="24:35">
      <c r="X947" s="753"/>
      <c r="Y947" s="753"/>
      <c r="Z947" s="753"/>
      <c r="AA947" s="753"/>
      <c r="AB947" s="753"/>
      <c r="AC947" s="753"/>
      <c r="AD947" s="753"/>
      <c r="AE947" s="753"/>
      <c r="AF947" s="753"/>
      <c r="AG947" s="753"/>
      <c r="AH947" s="753"/>
      <c r="AI947" s="753"/>
    </row>
    <row r="948" spans="24:35">
      <c r="X948" s="753"/>
      <c r="Y948" s="753"/>
      <c r="Z948" s="753"/>
      <c r="AA948" s="753"/>
      <c r="AB948" s="753"/>
      <c r="AC948" s="753"/>
      <c r="AD948" s="753"/>
      <c r="AE948" s="753"/>
      <c r="AF948" s="753"/>
      <c r="AG948" s="753"/>
      <c r="AH948" s="753"/>
      <c r="AI948" s="753"/>
    </row>
    <row r="949" spans="24:35">
      <c r="X949" s="753"/>
      <c r="Y949" s="753"/>
      <c r="Z949" s="753"/>
      <c r="AA949" s="753"/>
      <c r="AB949" s="753"/>
      <c r="AC949" s="753"/>
      <c r="AD949" s="753"/>
      <c r="AE949" s="753"/>
      <c r="AF949" s="753"/>
      <c r="AG949" s="753"/>
      <c r="AH949" s="753"/>
      <c r="AI949" s="753"/>
    </row>
    <row r="950" spans="24:35">
      <c r="X950" s="753"/>
      <c r="Y950" s="753"/>
      <c r="Z950" s="753"/>
      <c r="AA950" s="753"/>
      <c r="AB950" s="753"/>
      <c r="AC950" s="753"/>
      <c r="AD950" s="753"/>
      <c r="AE950" s="753"/>
      <c r="AF950" s="753"/>
      <c r="AG950" s="753"/>
      <c r="AH950" s="753"/>
      <c r="AI950" s="753"/>
    </row>
    <row r="951" spans="24:35">
      <c r="X951" s="753"/>
      <c r="Y951" s="753"/>
      <c r="Z951" s="753"/>
      <c r="AA951" s="753"/>
      <c r="AB951" s="753"/>
      <c r="AC951" s="753"/>
      <c r="AD951" s="753"/>
      <c r="AE951" s="753"/>
      <c r="AF951" s="753"/>
      <c r="AG951" s="753"/>
      <c r="AH951" s="753"/>
      <c r="AI951" s="753"/>
    </row>
    <row r="952" spans="24:35">
      <c r="X952" s="753"/>
      <c r="Y952" s="753"/>
      <c r="Z952" s="753"/>
      <c r="AA952" s="753"/>
      <c r="AB952" s="753"/>
      <c r="AC952" s="753"/>
      <c r="AD952" s="753"/>
      <c r="AE952" s="753"/>
      <c r="AF952" s="753"/>
      <c r="AG952" s="753"/>
      <c r="AH952" s="753"/>
      <c r="AI952" s="753"/>
    </row>
    <row r="953" spans="24:35">
      <c r="X953" s="753"/>
      <c r="Y953" s="753"/>
      <c r="Z953" s="753"/>
      <c r="AA953" s="753"/>
      <c r="AB953" s="753"/>
      <c r="AC953" s="753"/>
      <c r="AD953" s="753"/>
      <c r="AE953" s="753"/>
      <c r="AF953" s="753"/>
      <c r="AG953" s="753"/>
      <c r="AH953" s="753"/>
      <c r="AI953" s="753"/>
    </row>
    <row r="954" spans="24:35">
      <c r="X954" s="753"/>
      <c r="Y954" s="753"/>
      <c r="Z954" s="753"/>
      <c r="AA954" s="753"/>
      <c r="AB954" s="753"/>
      <c r="AC954" s="753"/>
      <c r="AD954" s="753"/>
      <c r="AE954" s="753"/>
      <c r="AF954" s="753"/>
      <c r="AG954" s="753"/>
      <c r="AH954" s="753"/>
      <c r="AI954" s="753"/>
    </row>
    <row r="955" spans="24:35">
      <c r="X955" s="753"/>
      <c r="Y955" s="753"/>
      <c r="Z955" s="753"/>
      <c r="AA955" s="753"/>
      <c r="AB955" s="753"/>
      <c r="AC955" s="753"/>
      <c r="AD955" s="753"/>
      <c r="AE955" s="753"/>
      <c r="AF955" s="753"/>
      <c r="AG955" s="753"/>
      <c r="AH955" s="753"/>
      <c r="AI955" s="753"/>
    </row>
    <row r="956" spans="24:35">
      <c r="X956" s="753"/>
      <c r="Y956" s="753"/>
      <c r="Z956" s="753"/>
      <c r="AA956" s="753"/>
      <c r="AB956" s="753"/>
      <c r="AC956" s="753"/>
      <c r="AD956" s="753"/>
      <c r="AE956" s="753"/>
      <c r="AF956" s="753"/>
      <c r="AG956" s="753"/>
      <c r="AH956" s="753"/>
      <c r="AI956" s="753"/>
    </row>
    <row r="957" spans="24:35">
      <c r="X957" s="753"/>
      <c r="Y957" s="753"/>
      <c r="Z957" s="753"/>
      <c r="AA957" s="753"/>
      <c r="AB957" s="753"/>
      <c r="AC957" s="753"/>
      <c r="AD957" s="753"/>
      <c r="AE957" s="753"/>
      <c r="AF957" s="753"/>
      <c r="AG957" s="753"/>
      <c r="AH957" s="753"/>
      <c r="AI957" s="753"/>
    </row>
    <row r="958" spans="24:35">
      <c r="X958" s="753"/>
      <c r="Y958" s="753"/>
      <c r="Z958" s="753"/>
      <c r="AA958" s="753"/>
      <c r="AB958" s="753"/>
      <c r="AC958" s="753"/>
      <c r="AD958" s="753"/>
      <c r="AE958" s="753"/>
      <c r="AF958" s="753"/>
      <c r="AG958" s="753"/>
      <c r="AH958" s="753"/>
      <c r="AI958" s="753"/>
    </row>
    <row r="959" spans="24:35">
      <c r="X959" s="753"/>
      <c r="Y959" s="753"/>
      <c r="Z959" s="753"/>
      <c r="AA959" s="753"/>
      <c r="AB959" s="753"/>
      <c r="AC959" s="753"/>
      <c r="AD959" s="753"/>
      <c r="AE959" s="753"/>
      <c r="AF959" s="753"/>
      <c r="AG959" s="753"/>
      <c r="AH959" s="753"/>
      <c r="AI959" s="753"/>
    </row>
    <row r="960" spans="24:35">
      <c r="X960" s="753"/>
      <c r="Y960" s="753"/>
      <c r="Z960" s="753"/>
      <c r="AA960" s="753"/>
      <c r="AB960" s="753"/>
      <c r="AC960" s="753"/>
      <c r="AD960" s="753"/>
      <c r="AE960" s="753"/>
      <c r="AF960" s="753"/>
      <c r="AG960" s="753"/>
      <c r="AH960" s="753"/>
      <c r="AI960" s="753"/>
    </row>
    <row r="961" spans="24:35">
      <c r="X961" s="753"/>
      <c r="Y961" s="753"/>
      <c r="Z961" s="753"/>
      <c r="AA961" s="753"/>
      <c r="AB961" s="753"/>
      <c r="AC961" s="753"/>
      <c r="AD961" s="753"/>
      <c r="AE961" s="753"/>
      <c r="AF961" s="753"/>
      <c r="AG961" s="753"/>
      <c r="AH961" s="753"/>
      <c r="AI961" s="753"/>
    </row>
    <row r="962" spans="24:35">
      <c r="X962" s="753"/>
      <c r="Y962" s="753"/>
      <c r="Z962" s="753"/>
      <c r="AA962" s="753"/>
      <c r="AB962" s="753"/>
      <c r="AC962" s="753"/>
      <c r="AD962" s="753"/>
      <c r="AE962" s="753"/>
      <c r="AF962" s="753"/>
      <c r="AG962" s="753"/>
      <c r="AH962" s="753"/>
      <c r="AI962" s="753"/>
    </row>
    <row r="963" spans="24:35">
      <c r="X963" s="753"/>
      <c r="Y963" s="753"/>
      <c r="Z963" s="753"/>
      <c r="AA963" s="753"/>
      <c r="AB963" s="753"/>
      <c r="AC963" s="753"/>
      <c r="AD963" s="753"/>
      <c r="AE963" s="753"/>
      <c r="AF963" s="753"/>
      <c r="AG963" s="753"/>
      <c r="AH963" s="753"/>
      <c r="AI963" s="753"/>
    </row>
    <row r="964" spans="24:35">
      <c r="X964" s="753"/>
      <c r="Y964" s="753"/>
      <c r="Z964" s="753"/>
      <c r="AA964" s="753"/>
      <c r="AB964" s="753"/>
      <c r="AC964" s="753"/>
      <c r="AD964" s="753"/>
      <c r="AE964" s="753"/>
      <c r="AF964" s="753"/>
      <c r="AG964" s="753"/>
      <c r="AH964" s="753"/>
      <c r="AI964" s="753"/>
    </row>
  </sheetData>
  <mergeCells count="3">
    <mergeCell ref="B1:Z1"/>
    <mergeCell ref="B3:Z3"/>
    <mergeCell ref="B5:Z5"/>
  </mergeCells>
  <phoneticPr fontId="36" type="noConversion"/>
  <pageMargins left="0.2" right="0.2" top="0.51" bottom="0.5" header="0.28999999999999998" footer="0.5"/>
  <pageSetup scale="31" fitToHeight="7" orientation="landscape" r:id="rId1"/>
  <headerFooter alignWithMargins="0"/>
  <rowBreaks count="5" manualBreakCount="5">
    <brk id="39" max="16383" man="1"/>
    <brk id="132" max="16383" man="1"/>
    <brk id="167" max="16383" man="1"/>
    <brk id="196" min="1" max="25" man="1"/>
    <brk id="252" max="16383" man="1"/>
  </rowBreaks>
  <colBreaks count="1" manualBreakCount="1">
    <brk id="18" max="323" man="1"/>
  </colBreak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04CF-2E62-4B48-9680-4C9A934E056C}">
  <sheetPr transitionEvaluation="1">
    <pageSetUpPr fitToPage="1"/>
  </sheetPr>
  <dimension ref="A1:Y68"/>
  <sheetViews>
    <sheetView topLeftCell="A7" zoomScale="70" zoomScaleNormal="70" workbookViewId="0">
      <selection sqref="A1:O1"/>
    </sheetView>
  </sheetViews>
  <sheetFormatPr defaultColWidth="12.6640625" defaultRowHeight="15.75"/>
  <cols>
    <col min="1" max="1" width="20.88671875" style="1" bestFit="1" customWidth="1"/>
    <col min="2" max="2" width="2.44140625" style="1" customWidth="1"/>
    <col min="3" max="3" width="13.33203125" style="1" bestFit="1" customWidth="1"/>
    <col min="4" max="4" width="2.33203125" style="1" customWidth="1"/>
    <col min="5" max="12" width="12.88671875" style="250" customWidth="1"/>
    <col min="13" max="13" width="2.33203125" style="250" customWidth="1"/>
    <col min="14" max="15" width="12.88671875" style="1" customWidth="1"/>
    <col min="16" max="16" width="1.88671875" style="1" customWidth="1"/>
    <col min="17" max="17" width="12.6640625" style="1"/>
    <col min="18" max="18" width="1.88671875" style="1" customWidth="1"/>
    <col min="19" max="19" width="12.88671875" style="1" customWidth="1"/>
    <col min="20" max="20" width="1.5546875" style="1" customWidth="1"/>
    <col min="21" max="21" width="12.88671875" style="1" customWidth="1"/>
    <col min="22" max="22" width="1.88671875" style="1" customWidth="1"/>
    <col min="23" max="23" width="12.88671875" style="1" customWidth="1"/>
    <col min="25" max="16384" width="12.6640625" style="1"/>
  </cols>
  <sheetData>
    <row r="1" spans="1:25" ht="16.5">
      <c r="A1" s="830" t="s">
        <v>390</v>
      </c>
      <c r="B1" s="830"/>
      <c r="C1" s="830"/>
      <c r="D1" s="830"/>
      <c r="E1" s="830"/>
      <c r="F1" s="830"/>
      <c r="G1" s="830"/>
      <c r="H1" s="830"/>
      <c r="I1" s="830"/>
      <c r="J1" s="830"/>
      <c r="K1" s="830"/>
      <c r="L1" s="830"/>
      <c r="M1" s="830"/>
      <c r="N1" s="830"/>
      <c r="O1" s="830"/>
      <c r="P1" s="303"/>
      <c r="R1" s="248"/>
      <c r="S1" s="248"/>
      <c r="T1" s="248"/>
      <c r="U1" s="248"/>
      <c r="V1" s="248"/>
    </row>
    <row r="2" spans="1:25" ht="13.5" customHeight="1">
      <c r="A2" s="266"/>
      <c r="B2" s="295"/>
      <c r="C2" s="295"/>
      <c r="D2" s="295"/>
      <c r="E2" s="302"/>
      <c r="F2" s="302"/>
      <c r="G2" s="302"/>
      <c r="H2" s="302"/>
      <c r="I2" s="302"/>
      <c r="J2" s="302"/>
      <c r="K2" s="302"/>
      <c r="L2" s="302"/>
      <c r="M2" s="302"/>
    </row>
    <row r="3" spans="1:25" ht="16.5">
      <c r="A3" s="831" t="s">
        <v>957</v>
      </c>
      <c r="B3" s="831"/>
      <c r="C3" s="831"/>
      <c r="D3" s="831"/>
      <c r="E3" s="831"/>
      <c r="F3" s="831"/>
      <c r="G3" s="831"/>
      <c r="H3" s="831"/>
      <c r="I3" s="831"/>
      <c r="J3" s="831"/>
      <c r="K3" s="831"/>
      <c r="L3" s="831"/>
      <c r="M3" s="831"/>
      <c r="N3" s="831"/>
      <c r="O3" s="831"/>
      <c r="P3" s="301"/>
      <c r="R3" s="265"/>
      <c r="S3" s="265"/>
      <c r="T3" s="265"/>
      <c r="U3" s="265"/>
      <c r="V3" s="265"/>
    </row>
    <row r="4" spans="1:25">
      <c r="A4" s="6"/>
      <c r="B4" s="6"/>
      <c r="C4" s="6"/>
      <c r="D4" s="6"/>
      <c r="E4" s="6"/>
      <c r="F4" s="6"/>
      <c r="G4" s="6"/>
      <c r="H4" s="6"/>
      <c r="I4" s="6"/>
      <c r="J4" s="6"/>
      <c r="K4" s="6"/>
      <c r="L4" s="6"/>
      <c r="M4" s="6"/>
      <c r="N4" s="6"/>
      <c r="O4" s="263"/>
      <c r="P4" s="6"/>
      <c r="R4" s="263"/>
      <c r="S4" s="263"/>
      <c r="T4" s="263"/>
      <c r="U4" s="263"/>
      <c r="V4" s="6"/>
    </row>
    <row r="5" spans="1:25">
      <c r="A5" s="832" t="str">
        <f>+'WP-1 Rate Case Cost'!A5:G5</f>
        <v>In Support of Tariff No. 18, G-143, effective March 1, 2024</v>
      </c>
      <c r="B5" s="832"/>
      <c r="C5" s="832"/>
      <c r="D5" s="832"/>
      <c r="E5" s="832"/>
      <c r="F5" s="832"/>
      <c r="G5" s="832"/>
      <c r="H5" s="832"/>
      <c r="I5" s="832"/>
      <c r="J5" s="832"/>
      <c r="K5" s="832"/>
      <c r="L5" s="832"/>
      <c r="M5" s="832"/>
      <c r="N5" s="832"/>
      <c r="O5" s="832"/>
      <c r="P5" s="300"/>
      <c r="R5" s="329"/>
      <c r="S5" s="329"/>
      <c r="T5" s="329"/>
      <c r="U5" s="329"/>
      <c r="V5" s="299"/>
    </row>
    <row r="6" spans="1:25">
      <c r="A6" s="12"/>
      <c r="B6" s="295"/>
    </row>
    <row r="7" spans="1:25" ht="20.100000000000001" customHeight="1">
      <c r="A7" s="12"/>
      <c r="B7" s="295"/>
      <c r="C7" s="297" t="s">
        <v>956</v>
      </c>
      <c r="D7" s="2"/>
      <c r="E7" s="298"/>
      <c r="F7" s="298"/>
      <c r="G7" s="298"/>
      <c r="H7" s="298"/>
      <c r="I7" s="298"/>
      <c r="J7" s="298"/>
      <c r="K7" s="298"/>
      <c r="L7" s="298"/>
      <c r="M7" s="298"/>
    </row>
    <row r="8" spans="1:25" ht="20.100000000000001" customHeight="1">
      <c r="A8" s="12"/>
      <c r="B8" s="295"/>
      <c r="C8" s="297">
        <v>44926</v>
      </c>
      <c r="D8" s="14"/>
      <c r="E8" s="296"/>
      <c r="F8" s="296"/>
      <c r="G8" s="296"/>
      <c r="H8" s="296"/>
      <c r="I8" s="296"/>
      <c r="J8" s="296"/>
      <c r="K8" s="296"/>
      <c r="L8" s="282"/>
      <c r="M8" s="282"/>
      <c r="N8" s="3"/>
      <c r="O8" s="3"/>
      <c r="R8" s="3"/>
      <c r="S8" s="3"/>
      <c r="T8" s="3"/>
      <c r="U8" s="3"/>
    </row>
    <row r="9" spans="1:25">
      <c r="B9" s="295"/>
      <c r="C9" s="282" t="s">
        <v>955</v>
      </c>
      <c r="D9" s="282"/>
      <c r="E9" s="282" t="s">
        <v>954</v>
      </c>
      <c r="F9" s="282" t="s">
        <v>953</v>
      </c>
      <c r="G9" s="282" t="s">
        <v>952</v>
      </c>
      <c r="H9" s="282" t="s">
        <v>951</v>
      </c>
      <c r="I9" s="282" t="s">
        <v>950</v>
      </c>
      <c r="J9" s="282" t="s">
        <v>949</v>
      </c>
      <c r="K9" s="282" t="s">
        <v>948</v>
      </c>
      <c r="L9" s="282" t="s">
        <v>0</v>
      </c>
      <c r="M9" s="282"/>
      <c r="N9" s="784" t="s">
        <v>0</v>
      </c>
      <c r="O9" s="784"/>
      <c r="Q9" s="282" t="s">
        <v>1084</v>
      </c>
      <c r="R9" s="14"/>
      <c r="S9" s="14" t="s">
        <v>185</v>
      </c>
      <c r="T9" s="14"/>
      <c r="U9" s="14" t="s">
        <v>1086</v>
      </c>
      <c r="X9" s="1"/>
    </row>
    <row r="10" spans="1:25">
      <c r="A10" s="280" t="s">
        <v>904</v>
      </c>
      <c r="B10" s="294"/>
      <c r="C10" s="280" t="s">
        <v>947</v>
      </c>
      <c r="D10" s="280"/>
      <c r="E10" s="293" t="s">
        <v>1</v>
      </c>
      <c r="F10" s="293" t="s">
        <v>1</v>
      </c>
      <c r="G10" s="293" t="s">
        <v>1</v>
      </c>
      <c r="H10" s="293" t="s">
        <v>1</v>
      </c>
      <c r="I10" s="293" t="s">
        <v>1</v>
      </c>
      <c r="J10" s="293" t="s">
        <v>1</v>
      </c>
      <c r="K10" s="293" t="s">
        <v>1</v>
      </c>
      <c r="L10" s="293" t="s">
        <v>1</v>
      </c>
      <c r="M10" s="282"/>
      <c r="N10" s="280" t="s">
        <v>1</v>
      </c>
      <c r="O10" s="280" t="s">
        <v>2</v>
      </c>
      <c r="Q10" s="282" t="s">
        <v>1085</v>
      </c>
      <c r="R10" s="14"/>
      <c r="S10" s="14" t="s">
        <v>38</v>
      </c>
      <c r="T10" s="14"/>
      <c r="U10" s="14" t="s">
        <v>1087</v>
      </c>
    </row>
    <row r="11" spans="1:25">
      <c r="C11" s="249"/>
      <c r="D11" s="249"/>
      <c r="N11" s="249"/>
      <c r="O11" s="292"/>
      <c r="P11" s="289"/>
      <c r="R11" s="292"/>
      <c r="S11" s="292"/>
      <c r="T11" s="292"/>
      <c r="U11" s="292"/>
      <c r="V11" s="289"/>
    </row>
    <row r="12" spans="1:25">
      <c r="A12" s="254">
        <v>1</v>
      </c>
      <c r="C12" s="249">
        <v>136810</v>
      </c>
      <c r="D12" s="249"/>
      <c r="E12" s="249">
        <v>2080</v>
      </c>
      <c r="F12" s="249"/>
      <c r="G12" s="249"/>
      <c r="H12" s="249"/>
      <c r="I12" s="249"/>
      <c r="J12" s="249"/>
      <c r="K12" s="249"/>
      <c r="L12" s="249">
        <f>SUM(E12:K12)</f>
        <v>2080</v>
      </c>
      <c r="N12" s="249">
        <f>L12</f>
        <v>2080</v>
      </c>
      <c r="O12" s="249">
        <f>+C12</f>
        <v>136810</v>
      </c>
      <c r="P12" s="249"/>
      <c r="Q12" s="1">
        <v>0</v>
      </c>
      <c r="R12" s="249"/>
      <c r="S12" s="327">
        <f>+'WP-11 - Non-Regulated'!$N$57</f>
        <v>0.87226151155039422</v>
      </c>
      <c r="T12" s="327"/>
      <c r="U12" s="326">
        <f>+Q12*S12</f>
        <v>0</v>
      </c>
      <c r="V12" s="249"/>
      <c r="W12" s="249">
        <f>+O12-Q12</f>
        <v>136810</v>
      </c>
    </row>
    <row r="13" spans="1:25">
      <c r="A13" s="254">
        <v>2</v>
      </c>
      <c r="C13" s="249">
        <v>90251.76</v>
      </c>
      <c r="D13" s="249"/>
      <c r="E13" s="249">
        <v>2056</v>
      </c>
      <c r="F13" s="249"/>
      <c r="G13" s="249">
        <v>24</v>
      </c>
      <c r="H13" s="249"/>
      <c r="I13" s="249"/>
      <c r="J13" s="249">
        <v>48</v>
      </c>
      <c r="K13" s="249"/>
      <c r="L13" s="249">
        <f>SUM(E13:K13)</f>
        <v>2128</v>
      </c>
      <c r="N13" s="249">
        <f>L13</f>
        <v>2128</v>
      </c>
      <c r="O13" s="249">
        <f>+C13</f>
        <v>90251.76</v>
      </c>
      <c r="P13" s="249"/>
      <c r="Q13" s="1">
        <v>4050</v>
      </c>
      <c r="R13" s="249"/>
      <c r="S13" s="327">
        <f>+'WP-11 - Non-Regulated'!$N$57</f>
        <v>0.87226151155039422</v>
      </c>
      <c r="T13" s="327"/>
      <c r="U13" s="326">
        <f>+Q13*S13</f>
        <v>3532.6591217790965</v>
      </c>
      <c r="V13" s="249"/>
      <c r="W13" s="249">
        <f>+O13-Q13</f>
        <v>86201.76</v>
      </c>
    </row>
    <row r="14" spans="1:25">
      <c r="A14" s="256" t="s">
        <v>899</v>
      </c>
      <c r="C14" s="273">
        <f>SUM(C12:C13)</f>
        <v>227061.76000000001</v>
      </c>
      <c r="D14" s="249"/>
      <c r="E14" s="273">
        <f>SUM(E12:E13)</f>
        <v>4136</v>
      </c>
      <c r="F14" s="273">
        <f t="shared" ref="F14:L14" si="0">SUM(F12:F13)</f>
        <v>0</v>
      </c>
      <c r="G14" s="273">
        <f t="shared" si="0"/>
        <v>24</v>
      </c>
      <c r="H14" s="273">
        <f t="shared" si="0"/>
        <v>0</v>
      </c>
      <c r="I14" s="273">
        <f t="shared" si="0"/>
        <v>0</v>
      </c>
      <c r="J14" s="273">
        <f t="shared" si="0"/>
        <v>48</v>
      </c>
      <c r="K14" s="273">
        <f t="shared" si="0"/>
        <v>0</v>
      </c>
      <c r="L14" s="273">
        <f t="shared" si="0"/>
        <v>4208</v>
      </c>
      <c r="N14" s="273">
        <f>SUM(N12:N13)</f>
        <v>4208</v>
      </c>
      <c r="O14" s="273">
        <f>SUM(O12:O13)</f>
        <v>227061.76000000001</v>
      </c>
      <c r="P14" s="249"/>
      <c r="Q14" s="273">
        <f>SUM(Q13)</f>
        <v>4050</v>
      </c>
      <c r="R14" s="249"/>
      <c r="S14" s="249"/>
      <c r="T14" s="249"/>
      <c r="U14" s="273">
        <f>SUM(U13)</f>
        <v>3532.6591217790965</v>
      </c>
      <c r="V14" s="249"/>
      <c r="W14" s="273">
        <f>SUM(W12:W13)</f>
        <v>223011.76</v>
      </c>
      <c r="Y14" s="306"/>
    </row>
    <row r="15" spans="1:25">
      <c r="A15" s="254"/>
      <c r="C15" s="249"/>
      <c r="D15" s="249"/>
      <c r="E15" s="290"/>
      <c r="F15" s="290"/>
      <c r="G15" s="290"/>
      <c r="H15" s="290"/>
      <c r="I15" s="290"/>
      <c r="J15" s="290"/>
      <c r="K15" s="290"/>
      <c r="L15" s="290"/>
      <c r="N15" s="249"/>
      <c r="O15" s="249"/>
      <c r="P15" s="249"/>
      <c r="R15" s="249"/>
      <c r="S15" s="249"/>
      <c r="T15" s="249"/>
      <c r="U15" s="249"/>
      <c r="V15" s="249"/>
      <c r="W15" s="249"/>
      <c r="Y15" s="306"/>
    </row>
    <row r="16" spans="1:25">
      <c r="A16" s="254">
        <v>3</v>
      </c>
      <c r="C16" s="249">
        <v>57065.919999999998</v>
      </c>
      <c r="D16" s="249"/>
      <c r="E16" s="249">
        <v>1690.53</v>
      </c>
      <c r="F16" s="249">
        <v>3.08</v>
      </c>
      <c r="G16" s="249">
        <v>40</v>
      </c>
      <c r="H16" s="249"/>
      <c r="I16" s="249">
        <v>160</v>
      </c>
      <c r="J16" s="249">
        <v>40.99</v>
      </c>
      <c r="K16" s="249">
        <v>8</v>
      </c>
      <c r="L16" s="249">
        <f>SUM(E16:K16)</f>
        <v>1942.6</v>
      </c>
      <c r="N16" s="249">
        <f>L16</f>
        <v>1942.6</v>
      </c>
      <c r="O16" s="249">
        <f>+C16</f>
        <v>57065.919999999998</v>
      </c>
      <c r="P16" s="249"/>
      <c r="Q16" s="1">
        <v>2630</v>
      </c>
      <c r="R16" s="249"/>
      <c r="S16" s="327">
        <f>+'WP-11 - Non-Regulated'!$N$57</f>
        <v>0.87226151155039422</v>
      </c>
      <c r="T16" s="327"/>
      <c r="U16" s="326">
        <f>+Q16*S16</f>
        <v>2294.0477753775367</v>
      </c>
      <c r="V16" s="249"/>
      <c r="W16" s="249">
        <f>+O16-Q16</f>
        <v>54435.92</v>
      </c>
      <c r="Y16" s="306"/>
    </row>
    <row r="17" spans="1:25">
      <c r="A17" s="254">
        <v>4</v>
      </c>
      <c r="C17" s="249">
        <v>65085.55</v>
      </c>
      <c r="D17" s="249"/>
      <c r="E17" s="249">
        <v>1730.91</v>
      </c>
      <c r="F17" s="249">
        <v>27.12</v>
      </c>
      <c r="G17" s="249">
        <v>32</v>
      </c>
      <c r="H17" s="249"/>
      <c r="I17" s="249">
        <v>160</v>
      </c>
      <c r="J17" s="249">
        <v>40</v>
      </c>
      <c r="K17" s="249">
        <v>32</v>
      </c>
      <c r="L17" s="249">
        <f>SUM(E17:K17)</f>
        <v>2022.03</v>
      </c>
      <c r="N17" s="249">
        <f>L17</f>
        <v>2022.03</v>
      </c>
      <c r="O17" s="249">
        <f>+C17</f>
        <v>65085.55</v>
      </c>
      <c r="P17" s="249"/>
      <c r="Q17" s="1">
        <v>3000</v>
      </c>
      <c r="R17" s="249"/>
      <c r="S17" s="327">
        <f>+'WP-11 - Non-Regulated'!$N$57</f>
        <v>0.87226151155039422</v>
      </c>
      <c r="T17" s="327"/>
      <c r="U17" s="326">
        <f>+Q17*S17</f>
        <v>2616.7845346511826</v>
      </c>
      <c r="V17" s="249"/>
      <c r="W17" s="249">
        <f>+O17-Q17</f>
        <v>62085.55</v>
      </c>
      <c r="Y17" s="306"/>
    </row>
    <row r="18" spans="1:25">
      <c r="A18" s="254">
        <v>5</v>
      </c>
      <c r="C18" s="249">
        <v>42974.26</v>
      </c>
      <c r="D18" s="249"/>
      <c r="E18" s="249">
        <v>1557.57</v>
      </c>
      <c r="F18" s="249">
        <v>3.7</v>
      </c>
      <c r="G18" s="249">
        <v>32</v>
      </c>
      <c r="H18" s="249"/>
      <c r="I18" s="249"/>
      <c r="J18" s="249">
        <v>37.85</v>
      </c>
      <c r="K18" s="249">
        <v>8</v>
      </c>
      <c r="L18" s="249">
        <f>SUM(E18:K18)</f>
        <v>1639.12</v>
      </c>
      <c r="N18" s="249">
        <f>L18</f>
        <v>1639.12</v>
      </c>
      <c r="O18" s="249">
        <f>+C18</f>
        <v>42974.26</v>
      </c>
      <c r="P18" s="249"/>
      <c r="Q18" s="1">
        <v>1950</v>
      </c>
      <c r="R18" s="249"/>
      <c r="S18" s="327">
        <f>+'WP-11 - Non-Regulated'!$N$57</f>
        <v>0.87226151155039422</v>
      </c>
      <c r="T18" s="327"/>
      <c r="U18" s="326">
        <f>+Q18*S18</f>
        <v>1700.9099475232688</v>
      </c>
      <c r="V18" s="249"/>
      <c r="W18" s="249">
        <f>+O18-Q18</f>
        <v>41024.26</v>
      </c>
      <c r="Y18" s="306"/>
    </row>
    <row r="19" spans="1:25">
      <c r="A19" s="256" t="s">
        <v>898</v>
      </c>
      <c r="C19" s="273">
        <f>SUM(C16:C18)</f>
        <v>165125.73000000001</v>
      </c>
      <c r="D19" s="249"/>
      <c r="E19" s="273">
        <f>SUM(E16:E18)</f>
        <v>4979.01</v>
      </c>
      <c r="F19" s="273">
        <f t="shared" ref="F19:L19" si="1">SUM(F16:F18)</f>
        <v>33.900000000000006</v>
      </c>
      <c r="G19" s="273">
        <f t="shared" si="1"/>
        <v>104</v>
      </c>
      <c r="H19" s="273">
        <f t="shared" si="1"/>
        <v>0</v>
      </c>
      <c r="I19" s="273">
        <f t="shared" si="1"/>
        <v>320</v>
      </c>
      <c r="J19" s="273">
        <f t="shared" si="1"/>
        <v>118.84</v>
      </c>
      <c r="K19" s="273">
        <f t="shared" si="1"/>
        <v>48</v>
      </c>
      <c r="L19" s="273">
        <f t="shared" si="1"/>
        <v>5603.75</v>
      </c>
      <c r="N19" s="273">
        <f>SUM(N16:N18)</f>
        <v>5603.75</v>
      </c>
      <c r="O19" s="273">
        <f>SUM(O16:O18)</f>
        <v>165125.73000000001</v>
      </c>
      <c r="P19" s="249"/>
      <c r="Q19" s="273">
        <f>SUM(Q16:Q18)</f>
        <v>7580</v>
      </c>
      <c r="R19" s="249"/>
      <c r="S19" s="249"/>
      <c r="T19" s="249"/>
      <c r="U19" s="273">
        <f>SUM(U16:U18)</f>
        <v>6611.7422575519886</v>
      </c>
      <c r="V19" s="249"/>
      <c r="W19" s="273">
        <f>SUM(W16:W18)</f>
        <v>157545.73000000001</v>
      </c>
      <c r="Y19" s="306"/>
    </row>
    <row r="20" spans="1:25">
      <c r="A20" s="254"/>
      <c r="C20" s="249"/>
      <c r="D20" s="249"/>
      <c r="E20" s="290"/>
      <c r="F20" s="290"/>
      <c r="G20" s="290"/>
      <c r="H20" s="290"/>
      <c r="I20" s="290"/>
      <c r="J20" s="290"/>
      <c r="K20" s="290"/>
      <c r="L20" s="290"/>
      <c r="N20" s="249"/>
      <c r="O20" s="249"/>
      <c r="P20" s="249"/>
      <c r="R20" s="249"/>
      <c r="S20" s="249"/>
      <c r="T20" s="249"/>
      <c r="U20" s="249"/>
      <c r="V20" s="249"/>
      <c r="W20" s="249"/>
      <c r="Y20" s="306"/>
    </row>
    <row r="21" spans="1:25">
      <c r="A21" s="254">
        <v>6</v>
      </c>
      <c r="C21" s="249">
        <v>72800.25</v>
      </c>
      <c r="D21" s="249"/>
      <c r="E21" s="249">
        <v>1855.02</v>
      </c>
      <c r="F21" s="249">
        <v>19.440000000000001</v>
      </c>
      <c r="G21" s="249">
        <v>32</v>
      </c>
      <c r="H21" s="249"/>
      <c r="I21" s="249">
        <v>112</v>
      </c>
      <c r="J21" s="249">
        <v>45.47</v>
      </c>
      <c r="K21" s="249">
        <v>40</v>
      </c>
      <c r="L21" s="249">
        <f t="shared" ref="L21:L34" si="2">SUM(E21:K21)</f>
        <v>2103.9299999999998</v>
      </c>
      <c r="N21" s="249">
        <f t="shared" ref="N21:N34" si="3">L21</f>
        <v>2103.9299999999998</v>
      </c>
      <c r="O21" s="249">
        <f t="shared" ref="O21:O34" si="4">+C21</f>
        <v>72800.25</v>
      </c>
      <c r="P21" s="249"/>
      <c r="Q21" s="1">
        <v>3290</v>
      </c>
      <c r="R21" s="249"/>
      <c r="S21" s="327">
        <f>+'WP-11 - Non-Regulated'!$N$57</f>
        <v>0.87226151155039422</v>
      </c>
      <c r="T21" s="327"/>
      <c r="U21" s="326">
        <f>+Q21*S21</f>
        <v>2869.7403730007968</v>
      </c>
      <c r="V21" s="249"/>
      <c r="W21" s="249">
        <f t="shared" ref="W21:W34" si="5">+O21-Q21</f>
        <v>69510.25</v>
      </c>
      <c r="Y21" s="306"/>
    </row>
    <row r="22" spans="1:25">
      <c r="A22" s="254">
        <v>7</v>
      </c>
      <c r="C22" s="249">
        <v>71507.740000000005</v>
      </c>
      <c r="D22" s="249"/>
      <c r="E22" s="249">
        <v>1814.76</v>
      </c>
      <c r="F22" s="249">
        <v>17.8</v>
      </c>
      <c r="G22" s="249">
        <v>32</v>
      </c>
      <c r="H22" s="249"/>
      <c r="I22" s="249">
        <v>120</v>
      </c>
      <c r="J22" s="249">
        <v>44.63</v>
      </c>
      <c r="K22" s="249">
        <v>40</v>
      </c>
      <c r="L22" s="249">
        <f t="shared" si="2"/>
        <v>2069.19</v>
      </c>
      <c r="N22" s="249">
        <f t="shared" si="3"/>
        <v>2069.19</v>
      </c>
      <c r="O22" s="249">
        <f t="shared" si="4"/>
        <v>71507.740000000005</v>
      </c>
      <c r="P22" s="249"/>
      <c r="Q22" s="1">
        <v>3260</v>
      </c>
      <c r="R22" s="249"/>
      <c r="S22" s="327">
        <f>+'WP-11 - Non-Regulated'!$N$57</f>
        <v>0.87226151155039422</v>
      </c>
      <c r="T22" s="327"/>
      <c r="U22" s="326">
        <f>+Q22*S22</f>
        <v>2843.5725276542853</v>
      </c>
      <c r="V22" s="249"/>
      <c r="W22" s="249">
        <f t="shared" si="5"/>
        <v>68247.740000000005</v>
      </c>
    </row>
    <row r="23" spans="1:25">
      <c r="A23" s="254">
        <v>8</v>
      </c>
      <c r="C23" s="249">
        <v>59839.199999999997</v>
      </c>
      <c r="D23" s="249"/>
      <c r="E23" s="249">
        <v>1848.1</v>
      </c>
      <c r="F23" s="249">
        <v>15.2</v>
      </c>
      <c r="G23" s="249">
        <v>32</v>
      </c>
      <c r="H23" s="249"/>
      <c r="I23" s="249">
        <v>56</v>
      </c>
      <c r="J23" s="249">
        <v>40</v>
      </c>
      <c r="K23" s="249">
        <v>40</v>
      </c>
      <c r="L23" s="249">
        <f t="shared" si="2"/>
        <v>2031.3</v>
      </c>
      <c r="N23" s="249">
        <f t="shared" si="3"/>
        <v>2031.3</v>
      </c>
      <c r="O23" s="249">
        <f t="shared" si="4"/>
        <v>59839.199999999997</v>
      </c>
      <c r="P23" s="249"/>
      <c r="Q23" s="1">
        <v>2750</v>
      </c>
      <c r="R23" s="249"/>
      <c r="S23" s="327">
        <f>+'WP-11 - Non-Regulated'!$N$57</f>
        <v>0.87226151155039422</v>
      </c>
      <c r="T23" s="327"/>
      <c r="U23" s="326">
        <f t="shared" ref="U23:U34" si="6">+Q23*S23</f>
        <v>2398.7191567635841</v>
      </c>
      <c r="V23" s="249"/>
      <c r="W23" s="249">
        <f t="shared" si="5"/>
        <v>57089.2</v>
      </c>
    </row>
    <row r="24" spans="1:25">
      <c r="A24" s="254">
        <v>9</v>
      </c>
      <c r="C24" s="249">
        <v>74136.61</v>
      </c>
      <c r="D24" s="249"/>
      <c r="E24" s="249">
        <v>1896.81</v>
      </c>
      <c r="F24" s="249">
        <v>34.54</v>
      </c>
      <c r="G24" s="249">
        <v>32</v>
      </c>
      <c r="H24" s="249"/>
      <c r="I24" s="249">
        <v>88</v>
      </c>
      <c r="J24" s="249">
        <v>46.87</v>
      </c>
      <c r="K24" s="249">
        <v>40</v>
      </c>
      <c r="L24" s="249">
        <f t="shared" si="2"/>
        <v>2138.2199999999998</v>
      </c>
      <c r="N24" s="249">
        <f t="shared" si="3"/>
        <v>2138.2199999999998</v>
      </c>
      <c r="O24" s="249">
        <f t="shared" si="4"/>
        <v>74136.61</v>
      </c>
      <c r="P24" s="249"/>
      <c r="Q24" s="1">
        <v>3340</v>
      </c>
      <c r="R24" s="249"/>
      <c r="S24" s="327">
        <f>+'WP-11 - Non-Regulated'!$N$57</f>
        <v>0.87226151155039422</v>
      </c>
      <c r="T24" s="327"/>
      <c r="U24" s="326">
        <f t="shared" si="6"/>
        <v>2913.3534485783166</v>
      </c>
      <c r="V24" s="249"/>
      <c r="W24" s="249">
        <f t="shared" si="5"/>
        <v>70796.61</v>
      </c>
    </row>
    <row r="25" spans="1:25">
      <c r="A25" s="254">
        <v>10</v>
      </c>
      <c r="C25" s="249">
        <v>69919.19</v>
      </c>
      <c r="D25" s="249"/>
      <c r="E25" s="249">
        <v>1819.89</v>
      </c>
      <c r="F25" s="249">
        <v>12.45</v>
      </c>
      <c r="G25" s="249">
        <v>32</v>
      </c>
      <c r="H25" s="249"/>
      <c r="I25" s="249">
        <v>96</v>
      </c>
      <c r="J25" s="249">
        <v>24</v>
      </c>
      <c r="K25" s="249">
        <v>40</v>
      </c>
      <c r="L25" s="249">
        <f t="shared" si="2"/>
        <v>2024.3400000000001</v>
      </c>
      <c r="N25" s="249">
        <f t="shared" si="3"/>
        <v>2024.3400000000001</v>
      </c>
      <c r="O25" s="249">
        <f t="shared" si="4"/>
        <v>69919.19</v>
      </c>
      <c r="P25" s="249"/>
      <c r="Q25" s="1">
        <v>3220</v>
      </c>
      <c r="R25" s="249"/>
      <c r="S25" s="327">
        <f>+'WP-11 - Non-Regulated'!$N$57</f>
        <v>0.87226151155039422</v>
      </c>
      <c r="T25" s="327"/>
      <c r="U25" s="326">
        <f t="shared" si="6"/>
        <v>2808.6820671922692</v>
      </c>
      <c r="V25" s="249"/>
      <c r="W25" s="249">
        <f t="shared" si="5"/>
        <v>66699.19</v>
      </c>
    </row>
    <row r="26" spans="1:25">
      <c r="A26" s="254">
        <v>11</v>
      </c>
      <c r="C26" s="249">
        <v>75714.12</v>
      </c>
      <c r="D26" s="249"/>
      <c r="E26" s="249">
        <v>1795.76</v>
      </c>
      <c r="F26" s="249">
        <v>23.4</v>
      </c>
      <c r="G26" s="249">
        <v>32</v>
      </c>
      <c r="H26" s="249"/>
      <c r="I26" s="249">
        <v>160</v>
      </c>
      <c r="J26" s="249">
        <v>44.07</v>
      </c>
      <c r="K26" s="249">
        <v>40</v>
      </c>
      <c r="L26" s="249">
        <f t="shared" si="2"/>
        <v>2095.23</v>
      </c>
      <c r="N26" s="249">
        <f t="shared" si="3"/>
        <v>2095.23</v>
      </c>
      <c r="O26" s="249">
        <f t="shared" si="4"/>
        <v>75714.12</v>
      </c>
      <c r="P26" s="289"/>
      <c r="Q26" s="1">
        <v>3450</v>
      </c>
      <c r="R26" s="249"/>
      <c r="S26" s="327">
        <f>+'WP-11 - Non-Regulated'!$N$57</f>
        <v>0.87226151155039422</v>
      </c>
      <c r="T26" s="327"/>
      <c r="U26" s="326">
        <f t="shared" si="6"/>
        <v>3009.3022148488599</v>
      </c>
      <c r="V26" s="289"/>
      <c r="W26" s="249">
        <f t="shared" si="5"/>
        <v>72264.12</v>
      </c>
      <c r="X26" s="1"/>
    </row>
    <row r="27" spans="1:25">
      <c r="A27" s="254">
        <v>12</v>
      </c>
      <c r="C27" s="249">
        <v>69324.05</v>
      </c>
      <c r="D27" s="249"/>
      <c r="E27" s="249">
        <v>1878.86</v>
      </c>
      <c r="F27" s="249">
        <v>23.72</v>
      </c>
      <c r="G27" s="249">
        <v>32</v>
      </c>
      <c r="H27" s="249"/>
      <c r="I27" s="249">
        <v>112</v>
      </c>
      <c r="J27" s="249">
        <v>46.23</v>
      </c>
      <c r="K27" s="249">
        <v>32</v>
      </c>
      <c r="L27" s="249">
        <f t="shared" si="2"/>
        <v>2124.81</v>
      </c>
      <c r="N27" s="249">
        <f t="shared" si="3"/>
        <v>2124.81</v>
      </c>
      <c r="O27" s="249">
        <f t="shared" si="4"/>
        <v>69324.05</v>
      </c>
      <c r="P27" s="249"/>
      <c r="Q27" s="1">
        <v>3130</v>
      </c>
      <c r="R27" s="249"/>
      <c r="S27" s="327">
        <f>+'WP-11 - Non-Regulated'!$N$57</f>
        <v>0.87226151155039422</v>
      </c>
      <c r="T27" s="327"/>
      <c r="U27" s="326">
        <f t="shared" si="6"/>
        <v>2730.1785311527337</v>
      </c>
      <c r="V27" s="249"/>
      <c r="W27" s="249">
        <f t="shared" si="5"/>
        <v>66194.05</v>
      </c>
      <c r="X27" s="1"/>
    </row>
    <row r="28" spans="1:25">
      <c r="A28" s="254">
        <v>13</v>
      </c>
      <c r="C28" s="249">
        <v>71397.41</v>
      </c>
      <c r="D28" s="249"/>
      <c r="E28" s="249">
        <v>1772.05</v>
      </c>
      <c r="F28" s="249">
        <v>18.73</v>
      </c>
      <c r="G28" s="249">
        <v>32</v>
      </c>
      <c r="H28" s="249"/>
      <c r="I28" s="249">
        <v>160</v>
      </c>
      <c r="J28" s="249">
        <v>43.43</v>
      </c>
      <c r="K28" s="249">
        <v>40</v>
      </c>
      <c r="L28" s="249">
        <f t="shared" si="2"/>
        <v>2066.21</v>
      </c>
      <c r="N28" s="249">
        <f t="shared" si="3"/>
        <v>2066.21</v>
      </c>
      <c r="O28" s="249">
        <f t="shared" si="4"/>
        <v>71397.41</v>
      </c>
      <c r="P28" s="249"/>
      <c r="Q28" s="1">
        <v>3220</v>
      </c>
      <c r="R28" s="249"/>
      <c r="S28" s="327">
        <f>+'WP-11 - Non-Regulated'!$N$57</f>
        <v>0.87226151155039422</v>
      </c>
      <c r="T28" s="327"/>
      <c r="U28" s="326">
        <f t="shared" si="6"/>
        <v>2808.6820671922692</v>
      </c>
      <c r="V28" s="249"/>
      <c r="W28" s="249">
        <f t="shared" si="5"/>
        <v>68177.41</v>
      </c>
      <c r="X28" s="1"/>
    </row>
    <row r="29" spans="1:25">
      <c r="A29" s="254">
        <v>14</v>
      </c>
      <c r="C29" s="249">
        <v>72954.28</v>
      </c>
      <c r="D29" s="249"/>
      <c r="E29" s="249">
        <v>1948.53</v>
      </c>
      <c r="F29" s="249">
        <v>67.91</v>
      </c>
      <c r="G29" s="249">
        <v>32</v>
      </c>
      <c r="H29" s="249"/>
      <c r="I29" s="249">
        <v>40</v>
      </c>
      <c r="J29" s="249">
        <v>48.85</v>
      </c>
      <c r="K29" s="249">
        <v>40</v>
      </c>
      <c r="L29" s="249">
        <f>SUM(E29:K29)</f>
        <v>2177.29</v>
      </c>
      <c r="N29" s="249">
        <f>L29</f>
        <v>2177.29</v>
      </c>
      <c r="O29" s="249">
        <f>+C29</f>
        <v>72954.28</v>
      </c>
      <c r="P29" s="249"/>
      <c r="Q29" s="1">
        <v>3300</v>
      </c>
      <c r="R29" s="249"/>
      <c r="S29" s="327">
        <f>+'WP-11 - Non-Regulated'!$N$57</f>
        <v>0.87226151155039422</v>
      </c>
      <c r="T29" s="327"/>
      <c r="U29" s="326">
        <f t="shared" si="6"/>
        <v>2878.4629881163009</v>
      </c>
      <c r="V29" s="249"/>
      <c r="W29" s="249">
        <f t="shared" si="5"/>
        <v>69654.28</v>
      </c>
      <c r="X29" s="1"/>
    </row>
    <row r="30" spans="1:25">
      <c r="A30" s="254">
        <v>15</v>
      </c>
      <c r="C30" s="249">
        <v>66376.37</v>
      </c>
      <c r="D30" s="249"/>
      <c r="E30" s="249">
        <v>1834</v>
      </c>
      <c r="F30" s="249">
        <v>16.670000000000002</v>
      </c>
      <c r="G30" s="249">
        <v>32</v>
      </c>
      <c r="H30" s="249"/>
      <c r="I30" s="249">
        <v>80</v>
      </c>
      <c r="J30" s="249">
        <v>45.09</v>
      </c>
      <c r="K30" s="249">
        <v>40</v>
      </c>
      <c r="L30" s="249">
        <f t="shared" si="2"/>
        <v>2047.76</v>
      </c>
      <c r="N30" s="249">
        <f t="shared" si="3"/>
        <v>2047.76</v>
      </c>
      <c r="O30" s="249">
        <f t="shared" si="4"/>
        <v>66376.37</v>
      </c>
      <c r="P30" s="249"/>
      <c r="Q30" s="1">
        <v>3030</v>
      </c>
      <c r="R30" s="249"/>
      <c r="S30" s="327">
        <f>+'WP-11 - Non-Regulated'!$N$57</f>
        <v>0.87226151155039422</v>
      </c>
      <c r="T30" s="327"/>
      <c r="U30" s="326">
        <f t="shared" si="6"/>
        <v>2642.9523799976946</v>
      </c>
      <c r="V30" s="249"/>
      <c r="W30" s="249">
        <f t="shared" si="5"/>
        <v>63346.369999999995</v>
      </c>
      <c r="X30" s="1"/>
    </row>
    <row r="31" spans="1:25">
      <c r="A31" s="254">
        <v>16</v>
      </c>
      <c r="C31" s="249">
        <v>74423.87</v>
      </c>
      <c r="D31" s="249"/>
      <c r="E31" s="249">
        <v>1832.23</v>
      </c>
      <c r="F31" s="249">
        <v>62.63</v>
      </c>
      <c r="G31" s="249">
        <v>32</v>
      </c>
      <c r="H31" s="249"/>
      <c r="I31" s="249">
        <v>128</v>
      </c>
      <c r="J31" s="249">
        <v>37.96</v>
      </c>
      <c r="K31" s="249">
        <v>39</v>
      </c>
      <c r="L31" s="249">
        <f t="shared" si="2"/>
        <v>2131.8200000000002</v>
      </c>
      <c r="N31" s="249">
        <f t="shared" si="3"/>
        <v>2131.8200000000002</v>
      </c>
      <c r="O31" s="249">
        <f t="shared" si="4"/>
        <v>74423.87</v>
      </c>
      <c r="P31" s="249"/>
      <c r="Q31" s="1">
        <v>3370</v>
      </c>
      <c r="R31" s="249"/>
      <c r="S31" s="327">
        <f>+'WP-11 - Non-Regulated'!$N$57</f>
        <v>0.87226151155039422</v>
      </c>
      <c r="T31" s="327"/>
      <c r="U31" s="326">
        <f t="shared" si="6"/>
        <v>2939.5212939248286</v>
      </c>
      <c r="V31" s="249"/>
      <c r="W31" s="249">
        <f t="shared" si="5"/>
        <v>71053.87</v>
      </c>
      <c r="X31" s="1"/>
    </row>
    <row r="32" spans="1:25">
      <c r="A32" s="254">
        <v>17</v>
      </c>
      <c r="C32" s="249">
        <v>47550.03</v>
      </c>
      <c r="D32" s="249"/>
      <c r="E32" s="249">
        <v>1901.87</v>
      </c>
      <c r="F32" s="249">
        <v>24.69</v>
      </c>
      <c r="G32" s="249">
        <v>32</v>
      </c>
      <c r="H32" s="249"/>
      <c r="I32" s="249">
        <v>40</v>
      </c>
      <c r="J32" s="249">
        <v>46.61</v>
      </c>
      <c r="K32" s="249">
        <v>32</v>
      </c>
      <c r="L32" s="249">
        <f>SUM(E32:K32)</f>
        <v>2077.17</v>
      </c>
      <c r="N32" s="249">
        <f>L32</f>
        <v>2077.17</v>
      </c>
      <c r="O32" s="249">
        <f>+C32</f>
        <v>47550.03</v>
      </c>
      <c r="P32" s="249"/>
      <c r="Q32" s="1">
        <v>2160</v>
      </c>
      <c r="R32" s="249"/>
      <c r="S32" s="327">
        <f>+'WP-11 - Non-Regulated'!$N$57</f>
        <v>0.87226151155039422</v>
      </c>
      <c r="T32" s="327"/>
      <c r="U32" s="326">
        <f t="shared" si="6"/>
        <v>1884.0848649488514</v>
      </c>
      <c r="V32" s="249"/>
      <c r="W32" s="249">
        <f t="shared" si="5"/>
        <v>45390.03</v>
      </c>
      <c r="X32" s="1"/>
    </row>
    <row r="33" spans="1:24">
      <c r="A33" s="254">
        <v>18</v>
      </c>
      <c r="C33" s="249">
        <v>49531.22</v>
      </c>
      <c r="D33" s="249"/>
      <c r="E33" s="249">
        <v>1820.19</v>
      </c>
      <c r="F33" s="249">
        <v>11.06</v>
      </c>
      <c r="G33" s="249">
        <v>32</v>
      </c>
      <c r="H33" s="249"/>
      <c r="I33" s="249">
        <v>40</v>
      </c>
      <c r="J33" s="249">
        <v>39</v>
      </c>
      <c r="K33" s="249">
        <v>52</v>
      </c>
      <c r="L33" s="249">
        <f>SUM(E33:K33)</f>
        <v>1994.25</v>
      </c>
      <c r="N33" s="249">
        <f>L33</f>
        <v>1994.25</v>
      </c>
      <c r="O33" s="249">
        <f>+C33</f>
        <v>49531.22</v>
      </c>
      <c r="P33" s="249"/>
      <c r="Q33" s="1">
        <v>2270</v>
      </c>
      <c r="R33" s="249"/>
      <c r="S33" s="327">
        <f>+'WP-11 - Non-Regulated'!$N$57</f>
        <v>0.87226151155039422</v>
      </c>
      <c r="T33" s="327"/>
      <c r="U33" s="326">
        <f t="shared" si="6"/>
        <v>1980.0336312193949</v>
      </c>
      <c r="V33" s="249"/>
      <c r="W33" s="249">
        <f t="shared" si="5"/>
        <v>47261.22</v>
      </c>
      <c r="X33" s="1"/>
    </row>
    <row r="34" spans="1:24">
      <c r="A34" s="254">
        <v>19</v>
      </c>
      <c r="C34" s="249">
        <v>69895.710000000006</v>
      </c>
      <c r="D34" s="249"/>
      <c r="E34" s="249">
        <v>1772.16</v>
      </c>
      <c r="F34" s="249">
        <v>13.36</v>
      </c>
      <c r="G34" s="249">
        <v>32</v>
      </c>
      <c r="H34" s="249"/>
      <c r="I34" s="249">
        <v>128</v>
      </c>
      <c r="J34" s="249">
        <v>43.3</v>
      </c>
      <c r="K34" s="249">
        <v>36</v>
      </c>
      <c r="L34" s="249">
        <f t="shared" si="2"/>
        <v>2024.82</v>
      </c>
      <c r="N34" s="249">
        <f t="shared" si="3"/>
        <v>2024.82</v>
      </c>
      <c r="O34" s="249">
        <f t="shared" si="4"/>
        <v>69895.710000000006</v>
      </c>
      <c r="P34" s="249"/>
      <c r="Q34" s="1">
        <v>3180</v>
      </c>
      <c r="R34" s="249"/>
      <c r="S34" s="327">
        <f>+'WP-11 - Non-Regulated'!$N$57</f>
        <v>0.87226151155039422</v>
      </c>
      <c r="T34" s="327"/>
      <c r="U34" s="326">
        <f t="shared" si="6"/>
        <v>2773.7916067302535</v>
      </c>
      <c r="V34" s="249"/>
      <c r="W34" s="249">
        <f t="shared" si="5"/>
        <v>66715.710000000006</v>
      </c>
      <c r="X34" s="1"/>
    </row>
    <row r="35" spans="1:24">
      <c r="A35" s="256" t="s">
        <v>897</v>
      </c>
      <c r="C35" s="273">
        <f>SUM(C21:C34)</f>
        <v>945370.04999999993</v>
      </c>
      <c r="D35" s="249"/>
      <c r="E35" s="273">
        <f>SUM(E21:E34)</f>
        <v>25790.229999999996</v>
      </c>
      <c r="F35" s="273">
        <f t="shared" ref="F35:L35" si="7">SUM(F21:F34)</f>
        <v>361.59999999999997</v>
      </c>
      <c r="G35" s="273">
        <f t="shared" si="7"/>
        <v>448</v>
      </c>
      <c r="H35" s="273">
        <f t="shared" si="7"/>
        <v>0</v>
      </c>
      <c r="I35" s="273">
        <f t="shared" si="7"/>
        <v>1360</v>
      </c>
      <c r="J35" s="273">
        <f t="shared" si="7"/>
        <v>595.50999999999988</v>
      </c>
      <c r="K35" s="273">
        <f t="shared" si="7"/>
        <v>551</v>
      </c>
      <c r="L35" s="273">
        <f t="shared" si="7"/>
        <v>29106.339999999997</v>
      </c>
      <c r="N35" s="273">
        <f>SUM(N21:N34)</f>
        <v>29106.339999999997</v>
      </c>
      <c r="O35" s="273">
        <f>SUM(O21:O34)</f>
        <v>945370.04999999993</v>
      </c>
      <c r="P35" s="249"/>
      <c r="Q35" s="273">
        <f>SUM(Q21:Q34)</f>
        <v>42970</v>
      </c>
      <c r="R35" s="249"/>
      <c r="S35" s="249"/>
      <c r="T35" s="249"/>
      <c r="U35" s="273">
        <f>SUM(U21:U34)</f>
        <v>37481.077151320438</v>
      </c>
      <c r="V35" s="249"/>
      <c r="W35" s="273">
        <f>SUM(W21:W34)</f>
        <v>902400.04999999993</v>
      </c>
      <c r="X35" s="1"/>
    </row>
    <row r="36" spans="1:24">
      <c r="A36" s="254"/>
      <c r="C36" s="249"/>
      <c r="D36" s="249"/>
      <c r="E36" s="290"/>
      <c r="F36" s="290"/>
      <c r="G36" s="290"/>
      <c r="H36" s="290"/>
      <c r="I36" s="290"/>
      <c r="J36" s="290"/>
      <c r="K36" s="290"/>
      <c r="L36" s="290"/>
      <c r="N36" s="249"/>
      <c r="O36" s="249"/>
      <c r="P36" s="249"/>
      <c r="R36" s="249"/>
      <c r="S36" s="249"/>
      <c r="T36" s="249"/>
      <c r="U36" s="249"/>
      <c r="V36" s="249"/>
      <c r="W36" s="249"/>
      <c r="X36" s="1"/>
    </row>
    <row r="37" spans="1:24">
      <c r="A37" s="254">
        <v>20</v>
      </c>
      <c r="C37" s="249">
        <v>71843.45</v>
      </c>
      <c r="D37" s="249"/>
      <c r="E37" s="249">
        <v>1888.06</v>
      </c>
      <c r="F37" s="249">
        <v>39.43</v>
      </c>
      <c r="G37" s="249">
        <v>32</v>
      </c>
      <c r="H37" s="249"/>
      <c r="I37" s="249">
        <v>112</v>
      </c>
      <c r="J37" s="249">
        <v>46.68</v>
      </c>
      <c r="K37" s="249">
        <v>40</v>
      </c>
      <c r="L37" s="249">
        <f>SUM(E37:K37)</f>
        <v>2158.1699999999996</v>
      </c>
      <c r="N37" s="249">
        <f>L37</f>
        <v>2158.1699999999996</v>
      </c>
      <c r="O37" s="249">
        <f>+C37</f>
        <v>71843.45</v>
      </c>
      <c r="P37" s="249"/>
      <c r="Q37" s="1">
        <v>3240</v>
      </c>
      <c r="R37" s="249"/>
      <c r="S37" s="327">
        <f>+'WP-11 - Non-Regulated'!$N$57</f>
        <v>0.87226151155039422</v>
      </c>
      <c r="T37" s="327"/>
      <c r="U37" s="326">
        <f t="shared" ref="U37:U40" si="8">+Q37*S37</f>
        <v>2826.1272974232775</v>
      </c>
      <c r="V37" s="249"/>
      <c r="W37" s="249">
        <f>+O37-Q37</f>
        <v>68603.45</v>
      </c>
      <c r="X37" s="1"/>
    </row>
    <row r="38" spans="1:24">
      <c r="A38" s="254">
        <v>21</v>
      </c>
      <c r="C38" s="249">
        <v>65875.77</v>
      </c>
      <c r="D38" s="249"/>
      <c r="E38" s="249">
        <v>1809.2</v>
      </c>
      <c r="F38" s="249">
        <v>37.97</v>
      </c>
      <c r="G38" s="249">
        <v>32</v>
      </c>
      <c r="H38" s="249"/>
      <c r="I38" s="249">
        <v>40</v>
      </c>
      <c r="J38" s="249">
        <v>44.92</v>
      </c>
      <c r="K38" s="249">
        <v>32</v>
      </c>
      <c r="L38" s="249">
        <f>SUM(E38:K38)</f>
        <v>1996.0900000000001</v>
      </c>
      <c r="N38" s="249">
        <f>L38</f>
        <v>1996.0900000000001</v>
      </c>
      <c r="O38" s="249">
        <f>+C38</f>
        <v>65875.77</v>
      </c>
      <c r="P38" s="249"/>
      <c r="Q38" s="1">
        <v>2970</v>
      </c>
      <c r="R38" s="249"/>
      <c r="S38" s="327">
        <f>+'WP-11 - Non-Regulated'!$N$57</f>
        <v>0.87226151155039422</v>
      </c>
      <c r="T38" s="327"/>
      <c r="U38" s="326">
        <f t="shared" si="8"/>
        <v>2590.6166893046707</v>
      </c>
      <c r="V38" s="249"/>
      <c r="W38" s="249">
        <f>+O38-Q38</f>
        <v>62905.770000000004</v>
      </c>
      <c r="X38" s="1"/>
    </row>
    <row r="39" spans="1:24">
      <c r="A39" s="254">
        <v>22</v>
      </c>
      <c r="C39" s="249">
        <v>50102.3</v>
      </c>
      <c r="D39" s="249"/>
      <c r="E39" s="249">
        <v>1782.24</v>
      </c>
      <c r="F39" s="249">
        <v>27.9</v>
      </c>
      <c r="G39" s="249">
        <v>32</v>
      </c>
      <c r="H39" s="249"/>
      <c r="I39" s="249"/>
      <c r="J39" s="249">
        <v>16</v>
      </c>
      <c r="K39" s="249">
        <v>40</v>
      </c>
      <c r="L39" s="249">
        <f>SUM(E39:K39)</f>
        <v>1898.14</v>
      </c>
      <c r="N39" s="249">
        <f>L39</f>
        <v>1898.14</v>
      </c>
      <c r="O39" s="249">
        <f>+C39</f>
        <v>50102.3</v>
      </c>
      <c r="P39" s="249"/>
      <c r="Q39" s="1">
        <v>2300</v>
      </c>
      <c r="R39" s="249"/>
      <c r="S39" s="327">
        <f>+'WP-11 - Non-Regulated'!$N$57</f>
        <v>0.87226151155039422</v>
      </c>
      <c r="T39" s="327"/>
      <c r="U39" s="326">
        <f t="shared" si="8"/>
        <v>2006.2014765659067</v>
      </c>
      <c r="V39" s="249"/>
      <c r="W39" s="249">
        <f>+O39-Q39</f>
        <v>47802.3</v>
      </c>
      <c r="X39" s="1"/>
    </row>
    <row r="40" spans="1:24">
      <c r="A40" s="254">
        <v>23</v>
      </c>
      <c r="C40" s="249">
        <v>72571.100000000006</v>
      </c>
      <c r="D40" s="249"/>
      <c r="E40" s="249">
        <v>1742.16</v>
      </c>
      <c r="F40" s="249">
        <v>41.79</v>
      </c>
      <c r="G40" s="249">
        <v>40</v>
      </c>
      <c r="H40" s="249"/>
      <c r="I40" s="249">
        <v>176</v>
      </c>
      <c r="J40" s="249">
        <v>40</v>
      </c>
      <c r="K40" s="249">
        <v>16</v>
      </c>
      <c r="L40" s="249">
        <f>SUM(E40:K40)</f>
        <v>2055.9499999999998</v>
      </c>
      <c r="N40" s="249">
        <f>L40</f>
        <v>2055.9499999999998</v>
      </c>
      <c r="O40" s="249">
        <f>+C40</f>
        <v>72571.100000000006</v>
      </c>
      <c r="P40" s="249"/>
      <c r="Q40" s="1">
        <v>3340</v>
      </c>
      <c r="R40" s="249"/>
      <c r="S40" s="327">
        <f>+'WP-11 - Non-Regulated'!$N$57</f>
        <v>0.87226151155039422</v>
      </c>
      <c r="T40" s="327"/>
      <c r="U40" s="326">
        <f t="shared" si="8"/>
        <v>2913.3534485783166</v>
      </c>
      <c r="V40" s="249"/>
      <c r="W40" s="249">
        <f>+O40-Q40</f>
        <v>69231.100000000006</v>
      </c>
      <c r="X40" s="1"/>
    </row>
    <row r="41" spans="1:24">
      <c r="A41" s="256" t="s">
        <v>896</v>
      </c>
      <c r="C41" s="273">
        <f>SUM(C37:C40)</f>
        <v>260392.62000000002</v>
      </c>
      <c r="D41" s="249"/>
      <c r="E41" s="273">
        <f>SUM(E37:E40)</f>
        <v>7221.66</v>
      </c>
      <c r="F41" s="273">
        <f t="shared" ref="F41:L41" si="9">SUM(F37:F40)</f>
        <v>147.09</v>
      </c>
      <c r="G41" s="273">
        <f t="shared" si="9"/>
        <v>136</v>
      </c>
      <c r="H41" s="273">
        <f t="shared" si="9"/>
        <v>0</v>
      </c>
      <c r="I41" s="273">
        <f t="shared" si="9"/>
        <v>328</v>
      </c>
      <c r="J41" s="273">
        <f t="shared" si="9"/>
        <v>147.6</v>
      </c>
      <c r="K41" s="273">
        <f t="shared" si="9"/>
        <v>128</v>
      </c>
      <c r="L41" s="273">
        <f t="shared" si="9"/>
        <v>8108.35</v>
      </c>
      <c r="N41" s="273">
        <f>SUM(N37:N40)</f>
        <v>8108.35</v>
      </c>
      <c r="O41" s="273">
        <f>SUM(O37:O40)</f>
        <v>260392.62000000002</v>
      </c>
      <c r="P41" s="249"/>
      <c r="Q41" s="273">
        <f>SUM(Q37:Q40)</f>
        <v>11850</v>
      </c>
      <c r="R41" s="249"/>
      <c r="S41" s="249"/>
      <c r="T41" s="249"/>
      <c r="U41" s="273">
        <f>SUM(U37:U40)</f>
        <v>10336.298911872171</v>
      </c>
      <c r="V41" s="249"/>
      <c r="W41" s="273">
        <f>SUM(W37:W40)</f>
        <v>248542.62000000002</v>
      </c>
      <c r="X41" s="1"/>
    </row>
    <row r="42" spans="1:24">
      <c r="A42" s="254"/>
      <c r="C42" s="249"/>
      <c r="D42" s="249"/>
      <c r="E42" s="290"/>
      <c r="F42" s="290"/>
      <c r="G42" s="290"/>
      <c r="H42" s="290"/>
      <c r="I42" s="290"/>
      <c r="J42" s="290"/>
      <c r="K42" s="290"/>
      <c r="L42" s="290"/>
      <c r="N42" s="249"/>
      <c r="O42" s="249"/>
      <c r="P42" s="249"/>
      <c r="R42" s="249"/>
      <c r="S42" s="249"/>
      <c r="T42" s="249"/>
      <c r="U42" s="249"/>
      <c r="V42" s="249"/>
      <c r="W42" s="249"/>
      <c r="X42" s="1"/>
    </row>
    <row r="43" spans="1:24">
      <c r="A43" s="254">
        <v>24</v>
      </c>
      <c r="C43" s="249">
        <v>6749.75</v>
      </c>
      <c r="D43" s="249"/>
      <c r="E43" s="249">
        <v>207.38</v>
      </c>
      <c r="F43" s="249"/>
      <c r="G43" s="249"/>
      <c r="H43" s="249"/>
      <c r="I43" s="249"/>
      <c r="J43" s="249"/>
      <c r="K43" s="249"/>
      <c r="L43" s="249">
        <f t="shared" ref="L43:L52" si="10">SUM(E43:K43)</f>
        <v>207.38</v>
      </c>
      <c r="N43" s="249">
        <f t="shared" ref="N43:N52" si="11">L43</f>
        <v>207.38</v>
      </c>
      <c r="O43" s="249">
        <f t="shared" ref="O43:O52" si="12">+C43</f>
        <v>6749.75</v>
      </c>
      <c r="P43" s="249"/>
      <c r="Q43" s="1">
        <v>0</v>
      </c>
      <c r="R43" s="249"/>
      <c r="S43" s="327">
        <f>+'WP-11 - Non-Regulated'!$N$57</f>
        <v>0.87226151155039422</v>
      </c>
      <c r="T43" s="327"/>
      <c r="U43" s="326">
        <f t="shared" ref="U43:U52" si="13">+Q43*S43</f>
        <v>0</v>
      </c>
      <c r="V43" s="249"/>
      <c r="W43" s="249">
        <f t="shared" ref="W43:W52" si="14">+O43-Q43</f>
        <v>6749.75</v>
      </c>
      <c r="X43" s="1"/>
    </row>
    <row r="44" spans="1:24">
      <c r="A44" s="254">
        <v>25</v>
      </c>
      <c r="C44" s="249">
        <v>13785.72</v>
      </c>
      <c r="D44" s="249"/>
      <c r="E44" s="249">
        <v>568.19000000000005</v>
      </c>
      <c r="F44" s="249">
        <v>0.12</v>
      </c>
      <c r="G44" s="249"/>
      <c r="H44" s="249"/>
      <c r="I44" s="249"/>
      <c r="J44" s="249">
        <v>12.89</v>
      </c>
      <c r="K44" s="249"/>
      <c r="L44" s="249">
        <f t="shared" si="10"/>
        <v>581.20000000000005</v>
      </c>
      <c r="N44" s="249">
        <f t="shared" si="11"/>
        <v>581.20000000000005</v>
      </c>
      <c r="O44" s="249">
        <f t="shared" si="12"/>
        <v>13785.72</v>
      </c>
      <c r="P44" s="249"/>
      <c r="Q44" s="1">
        <v>580</v>
      </c>
      <c r="R44" s="249"/>
      <c r="S44" s="327">
        <f>+'WP-11 - Non-Regulated'!$N$57</f>
        <v>0.87226151155039422</v>
      </c>
      <c r="T44" s="327"/>
      <c r="U44" s="326">
        <f t="shared" si="13"/>
        <v>505.91167669922862</v>
      </c>
      <c r="V44" s="249"/>
      <c r="W44" s="249">
        <f t="shared" si="14"/>
        <v>13205.72</v>
      </c>
      <c r="X44" s="1"/>
    </row>
    <row r="45" spans="1:24">
      <c r="A45" s="254">
        <v>26</v>
      </c>
      <c r="C45" s="249">
        <v>4267.28</v>
      </c>
      <c r="D45" s="249"/>
      <c r="E45" s="249">
        <v>197.66</v>
      </c>
      <c r="F45" s="249">
        <v>7</v>
      </c>
      <c r="G45" s="249"/>
      <c r="H45" s="249"/>
      <c r="I45" s="249"/>
      <c r="J45" s="249"/>
      <c r="K45" s="249"/>
      <c r="L45" s="249">
        <f t="shared" si="10"/>
        <v>204.66</v>
      </c>
      <c r="N45" s="249">
        <f t="shared" si="11"/>
        <v>204.66</v>
      </c>
      <c r="O45" s="249">
        <f t="shared" si="12"/>
        <v>4267.28</v>
      </c>
      <c r="P45" s="249"/>
      <c r="Q45" s="1">
        <v>0</v>
      </c>
      <c r="R45" s="249"/>
      <c r="S45" s="327">
        <f>+'WP-11 - Non-Regulated'!$N$57</f>
        <v>0.87226151155039422</v>
      </c>
      <c r="T45" s="327"/>
      <c r="U45" s="326">
        <f t="shared" si="13"/>
        <v>0</v>
      </c>
      <c r="V45" s="249"/>
      <c r="W45" s="249">
        <f t="shared" si="14"/>
        <v>4267.28</v>
      </c>
      <c r="X45" s="1"/>
    </row>
    <row r="46" spans="1:24">
      <c r="A46" s="254">
        <v>27</v>
      </c>
      <c r="C46" s="249">
        <v>2591.6</v>
      </c>
      <c r="D46" s="249"/>
      <c r="E46" s="249">
        <v>129.58000000000001</v>
      </c>
      <c r="F46" s="249"/>
      <c r="G46" s="249"/>
      <c r="H46" s="249"/>
      <c r="I46" s="249"/>
      <c r="J46" s="249"/>
      <c r="K46" s="249"/>
      <c r="L46" s="249">
        <f t="shared" si="10"/>
        <v>129.58000000000001</v>
      </c>
      <c r="N46" s="249">
        <f t="shared" si="11"/>
        <v>129.58000000000001</v>
      </c>
      <c r="O46" s="249">
        <f t="shared" si="12"/>
        <v>2591.6</v>
      </c>
      <c r="P46" s="249"/>
      <c r="Q46" s="1">
        <v>0</v>
      </c>
      <c r="R46" s="249"/>
      <c r="S46" s="327">
        <f>+'WP-11 - Non-Regulated'!$N$57</f>
        <v>0.87226151155039422</v>
      </c>
      <c r="T46" s="327"/>
      <c r="U46" s="326">
        <f t="shared" si="13"/>
        <v>0</v>
      </c>
      <c r="V46" s="249"/>
      <c r="W46" s="249">
        <f t="shared" si="14"/>
        <v>2591.6</v>
      </c>
      <c r="X46" s="1"/>
    </row>
    <row r="47" spans="1:24">
      <c r="A47" s="254">
        <v>28</v>
      </c>
      <c r="C47" s="249">
        <v>18265.11</v>
      </c>
      <c r="D47" s="249"/>
      <c r="E47" s="249">
        <v>630.58000000000004</v>
      </c>
      <c r="F47" s="249">
        <v>2.5</v>
      </c>
      <c r="G47" s="249">
        <v>8</v>
      </c>
      <c r="H47" s="249"/>
      <c r="I47" s="249"/>
      <c r="J47" s="249">
        <v>15.83</v>
      </c>
      <c r="K47" s="249">
        <v>24</v>
      </c>
      <c r="L47" s="249">
        <f t="shared" si="10"/>
        <v>680.91000000000008</v>
      </c>
      <c r="N47" s="249">
        <f t="shared" si="11"/>
        <v>680.91000000000008</v>
      </c>
      <c r="O47" s="249">
        <f t="shared" si="12"/>
        <v>18265.11</v>
      </c>
      <c r="P47" s="249"/>
      <c r="Q47" s="1">
        <v>0</v>
      </c>
      <c r="R47" s="249"/>
      <c r="S47" s="327">
        <f>+'WP-11 - Non-Regulated'!$N$57</f>
        <v>0.87226151155039422</v>
      </c>
      <c r="T47" s="327"/>
      <c r="U47" s="326">
        <f t="shared" si="13"/>
        <v>0</v>
      </c>
      <c r="V47" s="249"/>
      <c r="W47" s="249">
        <f t="shared" si="14"/>
        <v>18265.11</v>
      </c>
      <c r="X47" s="1"/>
    </row>
    <row r="48" spans="1:24">
      <c r="A48" s="254">
        <v>29</v>
      </c>
      <c r="C48" s="249">
        <v>28555.89</v>
      </c>
      <c r="D48" s="249"/>
      <c r="E48" s="249">
        <v>1119.68</v>
      </c>
      <c r="F48" s="249">
        <v>15.4</v>
      </c>
      <c r="G48" s="249">
        <v>24</v>
      </c>
      <c r="H48" s="249"/>
      <c r="I48" s="249"/>
      <c r="J48" s="249">
        <v>23.88</v>
      </c>
      <c r="K48" s="249">
        <v>16</v>
      </c>
      <c r="L48" s="249">
        <f t="shared" si="10"/>
        <v>1198.9600000000003</v>
      </c>
      <c r="N48" s="249">
        <f t="shared" si="11"/>
        <v>1198.9600000000003</v>
      </c>
      <c r="O48" s="249">
        <f t="shared" si="12"/>
        <v>28555.89</v>
      </c>
      <c r="P48" s="249"/>
      <c r="Q48" s="1">
        <v>1280</v>
      </c>
      <c r="R48" s="249"/>
      <c r="S48" s="327">
        <f>+'WP-11 - Non-Regulated'!$N$57</f>
        <v>0.87226151155039422</v>
      </c>
      <c r="T48" s="327"/>
      <c r="U48" s="326">
        <f t="shared" si="13"/>
        <v>1116.4947347845045</v>
      </c>
      <c r="V48" s="249"/>
      <c r="W48" s="249">
        <f t="shared" si="14"/>
        <v>27275.89</v>
      </c>
      <c r="X48" s="1"/>
    </row>
    <row r="49" spans="1:24">
      <c r="A49" s="254">
        <v>30</v>
      </c>
      <c r="C49" s="249">
        <v>1575.36</v>
      </c>
      <c r="D49" s="249"/>
      <c r="E49" s="249">
        <v>87.52</v>
      </c>
      <c r="F49" s="249"/>
      <c r="G49" s="249"/>
      <c r="H49" s="249"/>
      <c r="I49" s="249"/>
      <c r="J49" s="249"/>
      <c r="K49" s="249"/>
      <c r="L49" s="249">
        <f t="shared" si="10"/>
        <v>87.52</v>
      </c>
      <c r="N49" s="249">
        <f t="shared" si="11"/>
        <v>87.52</v>
      </c>
      <c r="O49" s="249">
        <f t="shared" si="12"/>
        <v>1575.36</v>
      </c>
      <c r="P49" s="249"/>
      <c r="Q49" s="1">
        <v>0</v>
      </c>
      <c r="R49" s="249"/>
      <c r="S49" s="327">
        <f>+'WP-11 - Non-Regulated'!$N$57</f>
        <v>0.87226151155039422</v>
      </c>
      <c r="T49" s="327"/>
      <c r="U49" s="326">
        <f t="shared" si="13"/>
        <v>0</v>
      </c>
      <c r="V49" s="249"/>
      <c r="W49" s="249">
        <f t="shared" si="14"/>
        <v>1575.36</v>
      </c>
      <c r="X49" s="1"/>
    </row>
    <row r="50" spans="1:24">
      <c r="A50" s="254">
        <v>31</v>
      </c>
      <c r="C50" s="249">
        <v>1020.11</v>
      </c>
      <c r="D50" s="249"/>
      <c r="E50" s="249">
        <v>53.69</v>
      </c>
      <c r="F50" s="249"/>
      <c r="G50" s="249"/>
      <c r="H50" s="249"/>
      <c r="I50" s="249"/>
      <c r="J50" s="249"/>
      <c r="K50" s="249"/>
      <c r="L50" s="249">
        <f t="shared" si="10"/>
        <v>53.69</v>
      </c>
      <c r="N50" s="249">
        <f t="shared" si="11"/>
        <v>53.69</v>
      </c>
      <c r="O50" s="249">
        <f t="shared" si="12"/>
        <v>1020.11</v>
      </c>
      <c r="P50" s="249"/>
      <c r="Q50" s="1">
        <v>0</v>
      </c>
      <c r="R50" s="249"/>
      <c r="S50" s="327">
        <f>+'WP-11 - Non-Regulated'!$N$57</f>
        <v>0.87226151155039422</v>
      </c>
      <c r="T50" s="327"/>
      <c r="U50" s="326">
        <f t="shared" si="13"/>
        <v>0</v>
      </c>
      <c r="V50" s="249"/>
      <c r="W50" s="249">
        <f t="shared" si="14"/>
        <v>1020.11</v>
      </c>
      <c r="X50" s="1"/>
    </row>
    <row r="51" spans="1:24">
      <c r="A51" s="254">
        <v>32</v>
      </c>
      <c r="C51" s="249">
        <v>8743.43</v>
      </c>
      <c r="D51" s="249"/>
      <c r="E51" s="249">
        <v>416.4</v>
      </c>
      <c r="F51" s="249">
        <v>5.71</v>
      </c>
      <c r="G51" s="249">
        <v>8</v>
      </c>
      <c r="H51" s="249"/>
      <c r="I51" s="249"/>
      <c r="J51" s="249"/>
      <c r="K51" s="249">
        <v>8</v>
      </c>
      <c r="L51" s="249">
        <f t="shared" si="10"/>
        <v>438.10999999999996</v>
      </c>
      <c r="N51" s="249">
        <f t="shared" si="11"/>
        <v>438.10999999999996</v>
      </c>
      <c r="O51" s="249">
        <f t="shared" si="12"/>
        <v>8743.43</v>
      </c>
      <c r="P51" s="249"/>
      <c r="Q51" s="1">
        <v>0</v>
      </c>
      <c r="R51" s="249"/>
      <c r="S51" s="327">
        <f>+'WP-11 - Non-Regulated'!$N$57</f>
        <v>0.87226151155039422</v>
      </c>
      <c r="T51" s="327"/>
      <c r="U51" s="326">
        <f t="shared" si="13"/>
        <v>0</v>
      </c>
      <c r="V51" s="249"/>
      <c r="W51" s="249">
        <f t="shared" si="14"/>
        <v>8743.43</v>
      </c>
      <c r="X51" s="1"/>
    </row>
    <row r="52" spans="1:24">
      <c r="A52" s="254">
        <v>33</v>
      </c>
      <c r="C52" s="249">
        <v>2197.9699999999998</v>
      </c>
      <c r="D52" s="249"/>
      <c r="E52" s="249">
        <v>112.51</v>
      </c>
      <c r="F52" s="249"/>
      <c r="G52" s="249"/>
      <c r="H52" s="249"/>
      <c r="I52" s="249"/>
      <c r="J52" s="249"/>
      <c r="K52" s="249"/>
      <c r="L52" s="249">
        <f t="shared" si="10"/>
        <v>112.51</v>
      </c>
      <c r="N52" s="249">
        <f t="shared" si="11"/>
        <v>112.51</v>
      </c>
      <c r="O52" s="249">
        <f t="shared" si="12"/>
        <v>2197.9699999999998</v>
      </c>
      <c r="P52" s="249"/>
      <c r="Q52" s="1">
        <v>0</v>
      </c>
      <c r="R52" s="249"/>
      <c r="S52" s="327">
        <f>+'WP-11 - Non-Regulated'!$N$57</f>
        <v>0.87226151155039422</v>
      </c>
      <c r="T52" s="327"/>
      <c r="U52" s="326">
        <f t="shared" si="13"/>
        <v>0</v>
      </c>
      <c r="V52" s="249"/>
      <c r="W52" s="249">
        <f t="shared" si="14"/>
        <v>2197.9699999999998</v>
      </c>
      <c r="X52" s="1"/>
    </row>
    <row r="53" spans="1:24">
      <c r="A53" s="256" t="s">
        <v>987</v>
      </c>
      <c r="C53" s="273">
        <f>SUM(C43:C52)</f>
        <v>87752.22</v>
      </c>
      <c r="D53" s="249"/>
      <c r="E53" s="273">
        <f>SUM(E43:E52)</f>
        <v>3523.19</v>
      </c>
      <c r="F53" s="273">
        <f t="shared" ref="F53:L53" si="15">SUM(F43:F52)</f>
        <v>30.730000000000004</v>
      </c>
      <c r="G53" s="273">
        <f t="shared" si="15"/>
        <v>40</v>
      </c>
      <c r="H53" s="273">
        <f t="shared" si="15"/>
        <v>0</v>
      </c>
      <c r="I53" s="273">
        <f t="shared" si="15"/>
        <v>0</v>
      </c>
      <c r="J53" s="273">
        <f t="shared" si="15"/>
        <v>52.599999999999994</v>
      </c>
      <c r="K53" s="273">
        <f t="shared" si="15"/>
        <v>48</v>
      </c>
      <c r="L53" s="273">
        <f t="shared" si="15"/>
        <v>3694.5200000000009</v>
      </c>
      <c r="N53" s="273">
        <f>SUM(N43:N52)</f>
        <v>3694.5200000000009</v>
      </c>
      <c r="O53" s="273">
        <f>SUM(O43:O52)</f>
        <v>87752.22</v>
      </c>
      <c r="P53" s="249"/>
      <c r="Q53" s="273">
        <f>SUM(Q43:Q52)</f>
        <v>1860</v>
      </c>
      <c r="R53" s="249"/>
      <c r="S53" s="249"/>
      <c r="T53" s="249"/>
      <c r="U53" s="273">
        <f>SUM(U43:U52)</f>
        <v>1622.4064114837331</v>
      </c>
      <c r="V53" s="249"/>
      <c r="W53" s="273">
        <f>SUM(W43:W52)</f>
        <v>85892.22</v>
      </c>
      <c r="X53" s="1"/>
    </row>
    <row r="54" spans="1:24">
      <c r="A54" s="254"/>
      <c r="C54" s="249"/>
      <c r="D54" s="249"/>
      <c r="E54" s="290"/>
      <c r="F54" s="290"/>
      <c r="G54" s="290"/>
      <c r="H54" s="290"/>
      <c r="I54" s="290"/>
      <c r="J54" s="290"/>
      <c r="K54" s="290"/>
      <c r="L54" s="290"/>
      <c r="N54" s="249"/>
      <c r="O54" s="249"/>
      <c r="P54" s="249"/>
      <c r="R54" s="249"/>
      <c r="S54" s="249"/>
      <c r="T54" s="249"/>
      <c r="U54" s="249"/>
      <c r="V54" s="249"/>
      <c r="W54" s="249"/>
      <c r="X54" s="1"/>
    </row>
    <row r="55" spans="1:24">
      <c r="A55" s="254">
        <v>34</v>
      </c>
      <c r="C55" s="249">
        <v>76934.06</v>
      </c>
      <c r="D55" s="249"/>
      <c r="E55" s="249">
        <v>1805.44</v>
      </c>
      <c r="F55" s="249">
        <v>4.43</v>
      </c>
      <c r="G55" s="249">
        <v>40</v>
      </c>
      <c r="H55" s="249"/>
      <c r="I55" s="249">
        <v>120</v>
      </c>
      <c r="J55" s="249">
        <v>43.75</v>
      </c>
      <c r="K55" s="249">
        <v>24</v>
      </c>
      <c r="L55" s="249">
        <f>SUM(E55:K55)</f>
        <v>2037.6200000000001</v>
      </c>
      <c r="N55" s="249">
        <f>L55</f>
        <v>2037.6200000000001</v>
      </c>
      <c r="O55" s="249">
        <f>+C55</f>
        <v>76934.06</v>
      </c>
      <c r="P55" s="249"/>
      <c r="Q55" s="1">
        <v>3500</v>
      </c>
      <c r="R55" s="249"/>
      <c r="S55" s="327">
        <f>+'WP-11 - Non-Regulated'!$N$57</f>
        <v>0.87226151155039422</v>
      </c>
      <c r="T55" s="327"/>
      <c r="U55" s="326">
        <f t="shared" ref="U55" si="16">+Q55*S55</f>
        <v>3052.9152904263797</v>
      </c>
      <c r="V55" s="249"/>
      <c r="W55" s="249">
        <f>+O55-Q55</f>
        <v>73434.06</v>
      </c>
      <c r="X55" s="1"/>
    </row>
    <row r="56" spans="1:24">
      <c r="A56" s="256" t="s">
        <v>989</v>
      </c>
      <c r="C56" s="273">
        <f>SUM(C55)</f>
        <v>76934.06</v>
      </c>
      <c r="D56" s="249"/>
      <c r="E56" s="273">
        <f t="shared" ref="E56:L56" si="17">SUM(E55:E55)</f>
        <v>1805.44</v>
      </c>
      <c r="F56" s="273">
        <f t="shared" si="17"/>
        <v>4.43</v>
      </c>
      <c r="G56" s="273">
        <f t="shared" si="17"/>
        <v>40</v>
      </c>
      <c r="H56" s="273">
        <f t="shared" si="17"/>
        <v>0</v>
      </c>
      <c r="I56" s="273">
        <f t="shared" si="17"/>
        <v>120</v>
      </c>
      <c r="J56" s="273">
        <f t="shared" si="17"/>
        <v>43.75</v>
      </c>
      <c r="K56" s="273">
        <f t="shared" si="17"/>
        <v>24</v>
      </c>
      <c r="L56" s="273">
        <f t="shared" si="17"/>
        <v>2037.6200000000001</v>
      </c>
      <c r="N56" s="273">
        <f>SUM(N55:N55)</f>
        <v>2037.6200000000001</v>
      </c>
      <c r="O56" s="273">
        <f>SUM(O55:O55)</f>
        <v>76934.06</v>
      </c>
      <c r="P56" s="249"/>
      <c r="Q56" s="273">
        <f>SUM(Q55)</f>
        <v>3500</v>
      </c>
      <c r="R56" s="249"/>
      <c r="S56" s="249"/>
      <c r="T56" s="249"/>
      <c r="U56" s="273">
        <f>SUM(U55)</f>
        <v>3052.9152904263797</v>
      </c>
      <c r="V56" s="249"/>
      <c r="W56" s="273">
        <f>SUM(W55)</f>
        <v>73434.06</v>
      </c>
      <c r="X56" s="1"/>
    </row>
    <row r="57" spans="1:24">
      <c r="A57" s="254"/>
      <c r="C57" s="249"/>
      <c r="D57" s="249"/>
      <c r="E57" s="290"/>
      <c r="F57" s="290"/>
      <c r="G57" s="291"/>
      <c r="H57" s="290"/>
      <c r="I57" s="290"/>
      <c r="J57" s="290"/>
      <c r="K57" s="290"/>
      <c r="L57" s="290"/>
      <c r="N57" s="249"/>
      <c r="O57" s="249"/>
      <c r="P57" s="289"/>
      <c r="R57" s="249"/>
      <c r="S57" s="249"/>
      <c r="T57" s="249"/>
      <c r="U57" s="249"/>
      <c r="V57" s="289"/>
      <c r="W57" s="249"/>
      <c r="X57" s="1"/>
    </row>
    <row r="58" spans="1:24" ht="16.5" thickBot="1">
      <c r="A58" s="2"/>
      <c r="C58" s="288">
        <f>+C56+C53+C41+C35+C19+C14</f>
        <v>1762636.44</v>
      </c>
      <c r="D58" s="249"/>
      <c r="E58" s="288">
        <f>+E56+E53+E41+E35+E19+E14</f>
        <v>47455.53</v>
      </c>
      <c r="F58" s="288">
        <f t="shared" ref="F58:L58" si="18">+F56+F53+F41+F35+F19+F14</f>
        <v>577.74999999999989</v>
      </c>
      <c r="G58" s="288">
        <f t="shared" si="18"/>
        <v>792</v>
      </c>
      <c r="H58" s="288">
        <f t="shared" si="18"/>
        <v>0</v>
      </c>
      <c r="I58" s="288">
        <f t="shared" si="18"/>
        <v>2128</v>
      </c>
      <c r="J58" s="288">
        <f t="shared" si="18"/>
        <v>1006.2999999999998</v>
      </c>
      <c r="K58" s="288">
        <f t="shared" si="18"/>
        <v>799</v>
      </c>
      <c r="L58" s="288">
        <f t="shared" si="18"/>
        <v>52758.58</v>
      </c>
      <c r="N58" s="288">
        <f>+N56+N53+N41+N35+N19+N14</f>
        <v>52758.58</v>
      </c>
      <c r="O58" s="288">
        <f>+O56+O53+O41+O35+O19+O14</f>
        <v>1762636.44</v>
      </c>
      <c r="P58" s="249"/>
      <c r="Q58" s="288">
        <f>+Q56+Q53+Q41+Q35+Q19+Q14</f>
        <v>71810</v>
      </c>
      <c r="R58" s="249"/>
      <c r="S58" s="249"/>
      <c r="T58" s="249"/>
      <c r="U58" s="288">
        <f>+U56+U53+U41+U35+U19+U14</f>
        <v>62637.099144433814</v>
      </c>
      <c r="V58" s="249"/>
      <c r="W58" s="288">
        <f>+W56+W53+W41+W35+W19+W14</f>
        <v>1690826.44</v>
      </c>
      <c r="X58" s="1"/>
    </row>
    <row r="59" spans="1:24" ht="16.5" thickTop="1">
      <c r="X59" s="1"/>
    </row>
    <row r="60" spans="1:24">
      <c r="C60" s="1">
        <f>+Operations!C64+Operations!C65+Operations!C66+Operations!C67+Operations!C81</f>
        <v>1762636.4400000004</v>
      </c>
      <c r="O60" s="1">
        <f>+C60</f>
        <v>1762636.4400000004</v>
      </c>
      <c r="X60" s="1"/>
    </row>
    <row r="61" spans="1:24" ht="16.5" thickBot="1">
      <c r="C61" s="304">
        <f>C58-C60</f>
        <v>0</v>
      </c>
      <c r="O61" s="305">
        <f>O58-O60</f>
        <v>0</v>
      </c>
      <c r="R61" s="411"/>
      <c r="S61" s="411"/>
      <c r="T61" s="411"/>
      <c r="U61" s="411"/>
      <c r="X61" s="1"/>
    </row>
    <row r="62" spans="1:24" ht="16.5" thickTop="1">
      <c r="C62" s="2"/>
      <c r="O62" s="2" t="s">
        <v>946</v>
      </c>
      <c r="R62" s="2"/>
      <c r="S62" s="2"/>
      <c r="T62" s="2"/>
      <c r="U62" s="2"/>
      <c r="X62" s="1"/>
    </row>
    <row r="63" spans="1:24">
      <c r="C63" s="2"/>
      <c r="X63" s="1"/>
    </row>
    <row r="64" spans="1:24">
      <c r="O64" s="1">
        <f>+O58*S55</f>
        <v>1537479.9254682057</v>
      </c>
      <c r="X64" s="1"/>
    </row>
    <row r="65" spans="15:24">
      <c r="O65" s="1">
        <f>-U58</f>
        <v>-62637.099144433814</v>
      </c>
      <c r="X65" s="1"/>
    </row>
    <row r="66" spans="15:24">
      <c r="O66" s="1">
        <f>+O64+O65</f>
        <v>1474842.8263237718</v>
      </c>
    </row>
    <row r="67" spans="15:24">
      <c r="O67" s="1">
        <f>+Operations!K68+Operations!K69+Operations!K70+Operations!K71+Operations!K72+Operations!K73</f>
        <v>1474842.8263237718</v>
      </c>
    </row>
    <row r="68" spans="15:24">
      <c r="O68" s="1">
        <f>+O66-O67</f>
        <v>0</v>
      </c>
    </row>
  </sheetData>
  <mergeCells count="4">
    <mergeCell ref="N9:O9"/>
    <mergeCell ref="A1:O1"/>
    <mergeCell ref="A3:O3"/>
    <mergeCell ref="A5:O5"/>
  </mergeCells>
  <pageMargins left="0.5" right="0.5" top="0.75" bottom="0.5" header="0.22" footer="0.26"/>
  <pageSetup scale="47" orientation="landscape"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9D1EE-A304-4610-88F3-7F16CACA1941}">
  <sheetPr transitionEvaluation="1">
    <pageSetUpPr fitToPage="1"/>
  </sheetPr>
  <dimension ref="A1:AC131"/>
  <sheetViews>
    <sheetView zoomScale="70" zoomScaleNormal="70" zoomScaleSheetLayoutView="55" workbookViewId="0">
      <pane xSplit="1" ySplit="10" topLeftCell="H11" activePane="bottomRight" state="frozen"/>
      <selection activeCell="D26" sqref="D26"/>
      <selection pane="topRight" activeCell="D26" sqref="D26"/>
      <selection pane="bottomLeft" activeCell="D26" sqref="D26"/>
      <selection pane="bottomRight" sqref="A1:Z1"/>
    </sheetView>
  </sheetViews>
  <sheetFormatPr defaultColWidth="8.88671875" defaultRowHeight="15.75"/>
  <cols>
    <col min="1" max="1" width="46.44140625" style="1" bestFit="1" customWidth="1"/>
    <col min="2" max="2" width="6.5546875" style="2" customWidth="1"/>
    <col min="3" max="3" width="47.33203125" style="2" bestFit="1" customWidth="1"/>
    <col min="4" max="4" width="12.6640625" style="2" bestFit="1" customWidth="1"/>
    <col min="5" max="5" width="9" style="2" customWidth="1"/>
    <col min="6" max="6" width="10.109375" style="2" customWidth="1"/>
    <col min="7" max="7" width="10.77734375" style="1" customWidth="1"/>
    <col min="8" max="8" width="1.88671875" style="1" customWidth="1"/>
    <col min="9" max="10" width="12.88671875" style="2" customWidth="1"/>
    <col min="11" max="11" width="1.88671875" style="2" customWidth="1"/>
    <col min="12" max="12" width="8.44140625" style="1" bestFit="1" customWidth="1"/>
    <col min="13" max="13" width="1.88671875" style="2" customWidth="1"/>
    <col min="14" max="14" width="14.6640625" style="2" bestFit="1" customWidth="1"/>
    <col min="15" max="15" width="10.33203125" style="2" customWidth="1"/>
    <col min="16" max="16" width="14.6640625" style="2" bestFit="1" customWidth="1"/>
    <col min="17" max="17" width="11.109375" style="2" customWidth="1"/>
    <col min="18" max="18" width="10.109375" style="1" bestFit="1" customWidth="1"/>
    <col min="19" max="19" width="16.33203125" style="1" customWidth="1"/>
    <col min="20" max="20" width="12.5546875" style="1" customWidth="1"/>
    <col min="21" max="22" width="12.109375" style="1" customWidth="1"/>
    <col min="23" max="25" width="9.88671875" style="1" customWidth="1"/>
    <col min="26" max="26" width="8.44140625" style="1" bestFit="1" customWidth="1"/>
    <col min="27" max="27" width="10.5546875" style="267" customWidth="1"/>
    <col min="28" max="16384" width="8.88671875" style="1"/>
  </cols>
  <sheetData>
    <row r="1" spans="1:27" ht="17.100000000000001" customHeight="1">
      <c r="A1" s="833" t="s">
        <v>601</v>
      </c>
      <c r="B1" s="833"/>
      <c r="C1" s="833"/>
      <c r="D1" s="833"/>
      <c r="E1" s="833"/>
      <c r="F1" s="833"/>
      <c r="G1" s="833"/>
      <c r="H1" s="833"/>
      <c r="I1" s="833"/>
      <c r="J1" s="833"/>
      <c r="K1" s="833"/>
      <c r="L1" s="833"/>
      <c r="M1" s="833"/>
      <c r="N1" s="833"/>
      <c r="O1" s="833"/>
      <c r="P1" s="833"/>
      <c r="Q1" s="833"/>
      <c r="R1" s="833"/>
      <c r="S1" s="833"/>
      <c r="T1" s="833"/>
      <c r="U1" s="833"/>
      <c r="V1" s="833"/>
      <c r="W1" s="833"/>
      <c r="X1" s="833"/>
      <c r="Y1" s="833"/>
      <c r="Z1" s="833"/>
      <c r="AA1" s="287"/>
    </row>
    <row r="2" spans="1:27" ht="13.5" customHeight="1">
      <c r="A2" s="266"/>
      <c r="B2" s="1"/>
      <c r="R2" s="2"/>
      <c r="S2" s="2"/>
      <c r="T2" s="2"/>
      <c r="U2" s="2"/>
      <c r="V2" s="2"/>
      <c r="W2" s="2"/>
      <c r="AA2" s="269"/>
    </row>
    <row r="3" spans="1:27" ht="17.100000000000001" customHeight="1">
      <c r="A3" s="833" t="s">
        <v>911</v>
      </c>
      <c r="B3" s="833"/>
      <c r="C3" s="833"/>
      <c r="D3" s="833"/>
      <c r="E3" s="833"/>
      <c r="F3" s="833"/>
      <c r="G3" s="833"/>
      <c r="H3" s="833"/>
      <c r="I3" s="833"/>
      <c r="J3" s="833"/>
      <c r="K3" s="833"/>
      <c r="L3" s="833"/>
      <c r="M3" s="833"/>
      <c r="N3" s="833"/>
      <c r="O3" s="833"/>
      <c r="P3" s="833"/>
      <c r="Q3" s="833"/>
      <c r="R3" s="833"/>
      <c r="S3" s="833"/>
      <c r="T3" s="833"/>
      <c r="U3" s="833"/>
      <c r="V3" s="833"/>
      <c r="W3" s="833"/>
      <c r="X3" s="833"/>
      <c r="Y3" s="833"/>
      <c r="Z3" s="833"/>
      <c r="AA3" s="287"/>
    </row>
    <row r="4" spans="1:27">
      <c r="A4" s="6"/>
      <c r="B4" s="6"/>
      <c r="C4" s="6"/>
      <c r="D4" s="6"/>
      <c r="E4" s="6"/>
      <c r="F4" s="6"/>
      <c r="G4" s="6"/>
      <c r="H4" s="6"/>
      <c r="I4" s="6"/>
      <c r="J4" s="6"/>
      <c r="K4" s="6"/>
      <c r="L4" s="6"/>
      <c r="M4" s="6"/>
      <c r="N4" s="6"/>
      <c r="O4" s="6"/>
      <c r="P4" s="6"/>
      <c r="Q4" s="6"/>
      <c r="R4" s="6"/>
      <c r="S4" s="6"/>
      <c r="T4" s="6"/>
      <c r="U4" s="6"/>
      <c r="V4" s="6"/>
      <c r="W4" s="6"/>
      <c r="X4" s="6"/>
      <c r="Y4" s="6"/>
      <c r="Z4" s="6"/>
      <c r="AA4" s="287"/>
    </row>
    <row r="5" spans="1:27" ht="15.75" customHeight="1">
      <c r="A5" s="834" t="str">
        <f>+'WP-1 Rate Case Cost'!A5:G5</f>
        <v>In Support of Tariff No. 18, G-143, effective March 1, 2024</v>
      </c>
      <c r="B5" s="834"/>
      <c r="C5" s="834"/>
      <c r="D5" s="834"/>
      <c r="E5" s="834"/>
      <c r="F5" s="834"/>
      <c r="G5" s="834"/>
      <c r="H5" s="834"/>
      <c r="I5" s="834"/>
      <c r="J5" s="834"/>
      <c r="K5" s="834"/>
      <c r="L5" s="834"/>
      <c r="M5" s="834"/>
      <c r="N5" s="834"/>
      <c r="O5" s="834"/>
      <c r="P5" s="834"/>
      <c r="Q5" s="834"/>
      <c r="R5" s="834"/>
      <c r="S5" s="834"/>
      <c r="T5" s="834"/>
      <c r="U5" s="834"/>
      <c r="V5" s="834"/>
      <c r="W5" s="834"/>
      <c r="X5" s="834"/>
      <c r="Y5" s="834"/>
      <c r="Z5" s="834"/>
      <c r="AA5" s="287"/>
    </row>
    <row r="6" spans="1:27" ht="15.75" customHeight="1">
      <c r="A6" s="20"/>
      <c r="B6" s="6"/>
      <c r="C6" s="6"/>
      <c r="D6" s="6"/>
      <c r="E6" s="6"/>
      <c r="F6" s="6"/>
      <c r="I6" s="6"/>
      <c r="J6" s="6"/>
      <c r="K6" s="6"/>
      <c r="M6" s="6"/>
      <c r="N6" s="14"/>
      <c r="O6" s="14"/>
      <c r="P6" s="14"/>
      <c r="Q6" s="14"/>
      <c r="R6" s="6"/>
      <c r="S6" s="6"/>
      <c r="T6" s="6"/>
      <c r="U6" s="6"/>
      <c r="V6" s="6"/>
      <c r="W6" s="6"/>
      <c r="X6" s="6"/>
      <c r="Y6" s="6"/>
      <c r="Z6" s="6"/>
      <c r="AA6" s="287"/>
    </row>
    <row r="7" spans="1:27">
      <c r="A7" s="12"/>
      <c r="B7" s="264"/>
      <c r="C7" s="264"/>
      <c r="D7" s="264"/>
      <c r="E7" s="264"/>
      <c r="F7" s="264"/>
      <c r="I7" s="14"/>
      <c r="J7" s="14"/>
      <c r="K7" s="264"/>
      <c r="M7" s="264"/>
      <c r="N7" s="784" t="s">
        <v>945</v>
      </c>
      <c r="O7" s="784"/>
      <c r="P7" s="784"/>
      <c r="Q7" s="784"/>
      <c r="T7" s="1">
        <v>168600</v>
      </c>
      <c r="U7" s="268" t="s">
        <v>944</v>
      </c>
      <c r="V7" s="1">
        <v>67600</v>
      </c>
      <c r="W7" s="323">
        <v>1.2199</v>
      </c>
      <c r="X7" s="325" t="s">
        <v>943</v>
      </c>
    </row>
    <row r="8" spans="1:27">
      <c r="A8" s="3"/>
      <c r="B8" s="285"/>
      <c r="C8" s="285"/>
      <c r="D8" s="285"/>
      <c r="E8" s="285"/>
      <c r="F8" s="285" t="s">
        <v>942</v>
      </c>
      <c r="G8" s="286"/>
      <c r="H8" s="3"/>
      <c r="I8" s="14" t="s">
        <v>941</v>
      </c>
      <c r="J8" s="14" t="s">
        <v>940</v>
      </c>
      <c r="K8" s="285"/>
      <c r="M8" s="285"/>
      <c r="N8" s="14">
        <v>1</v>
      </c>
      <c r="O8" s="14">
        <v>25</v>
      </c>
      <c r="P8" s="14"/>
      <c r="Q8" s="14"/>
      <c r="R8" s="284"/>
      <c r="S8" s="14" t="s">
        <v>0</v>
      </c>
      <c r="T8" s="323">
        <f>0.062+0.0145</f>
        <v>7.6499999999999999E-2</v>
      </c>
      <c r="U8" s="268" t="s">
        <v>939</v>
      </c>
      <c r="V8" s="323">
        <v>4.0000000000000001E-3</v>
      </c>
      <c r="W8" s="323">
        <v>9.8000000000000004E-2</v>
      </c>
      <c r="X8" s="325" t="s">
        <v>938</v>
      </c>
    </row>
    <row r="9" spans="1:27">
      <c r="A9" s="3"/>
      <c r="B9" s="14" t="s">
        <v>937</v>
      </c>
      <c r="C9" s="14" t="s">
        <v>77</v>
      </c>
      <c r="D9" s="14" t="s">
        <v>993</v>
      </c>
      <c r="E9" s="14" t="s">
        <v>936</v>
      </c>
      <c r="F9" s="282" t="s">
        <v>86</v>
      </c>
      <c r="G9" s="14" t="s">
        <v>129</v>
      </c>
      <c r="H9" s="3"/>
      <c r="I9" s="283" t="s">
        <v>935</v>
      </c>
      <c r="J9" s="283" t="s">
        <v>934</v>
      </c>
      <c r="K9" s="282"/>
      <c r="L9" s="14" t="s">
        <v>932</v>
      </c>
      <c r="M9" s="282"/>
      <c r="N9" s="14" t="s">
        <v>933</v>
      </c>
      <c r="O9" s="14" t="s">
        <v>933</v>
      </c>
      <c r="P9" s="14" t="s">
        <v>77</v>
      </c>
      <c r="Q9" s="14" t="s">
        <v>77</v>
      </c>
      <c r="R9" s="14" t="s">
        <v>932</v>
      </c>
      <c r="S9" s="14" t="s">
        <v>79</v>
      </c>
      <c r="T9" s="14"/>
      <c r="U9" s="3"/>
      <c r="V9" s="14" t="s">
        <v>931</v>
      </c>
      <c r="W9" s="3"/>
      <c r="X9" s="281">
        <v>0.03</v>
      </c>
      <c r="Y9" s="14" t="s">
        <v>0</v>
      </c>
    </row>
    <row r="10" spans="1:27">
      <c r="A10" s="280" t="s">
        <v>1005</v>
      </c>
      <c r="B10" s="280" t="s">
        <v>930</v>
      </c>
      <c r="C10" s="280" t="s">
        <v>928</v>
      </c>
      <c r="D10" s="280" t="s">
        <v>929</v>
      </c>
      <c r="E10" s="280" t="s">
        <v>902</v>
      </c>
      <c r="F10" s="280" t="s">
        <v>928</v>
      </c>
      <c r="G10" s="280" t="s">
        <v>2</v>
      </c>
      <c r="H10" s="3"/>
      <c r="I10" s="280" t="s">
        <v>927</v>
      </c>
      <c r="J10" s="280" t="s">
        <v>926</v>
      </c>
      <c r="K10" s="14"/>
      <c r="L10" s="280" t="s">
        <v>1</v>
      </c>
      <c r="M10" s="14"/>
      <c r="N10" s="14" t="s">
        <v>925</v>
      </c>
      <c r="O10" s="14" t="s">
        <v>924</v>
      </c>
      <c r="P10" s="14" t="s">
        <v>925</v>
      </c>
      <c r="Q10" s="14" t="s">
        <v>924</v>
      </c>
      <c r="R10" s="14" t="s">
        <v>78</v>
      </c>
      <c r="S10" s="14" t="s">
        <v>3</v>
      </c>
      <c r="T10" s="14" t="s">
        <v>80</v>
      </c>
      <c r="U10" s="14" t="s">
        <v>81</v>
      </c>
      <c r="V10" s="14" t="s">
        <v>923</v>
      </c>
      <c r="W10" s="14" t="s">
        <v>82</v>
      </c>
      <c r="X10" s="14" t="s">
        <v>922</v>
      </c>
      <c r="Y10" s="14" t="s">
        <v>921</v>
      </c>
    </row>
    <row r="11" spans="1:27">
      <c r="F11" s="272"/>
      <c r="G11" s="249"/>
      <c r="I11" s="272"/>
      <c r="J11" s="272"/>
      <c r="L11" s="249"/>
      <c r="N11" s="252"/>
      <c r="O11" s="252"/>
      <c r="P11" s="252"/>
      <c r="Q11" s="252"/>
      <c r="R11" s="249"/>
      <c r="S11" s="249"/>
      <c r="T11" s="249"/>
      <c r="U11" s="249"/>
      <c r="V11" s="249"/>
      <c r="W11" s="249"/>
      <c r="X11" s="249"/>
      <c r="Y11" s="249"/>
    </row>
    <row r="12" spans="1:27">
      <c r="A12" s="254">
        <v>1</v>
      </c>
      <c r="B12" s="2" t="s">
        <v>920</v>
      </c>
      <c r="C12" s="2" t="s">
        <v>918</v>
      </c>
      <c r="D12" s="2" t="s">
        <v>894</v>
      </c>
      <c r="E12" s="2" t="s">
        <v>894</v>
      </c>
      <c r="F12" s="272"/>
      <c r="G12" s="249">
        <f>+'WP-3 - Labor Analysis'!O12</f>
        <v>136810</v>
      </c>
      <c r="I12" s="272">
        <v>5400</v>
      </c>
      <c r="J12" s="272">
        <v>5400</v>
      </c>
      <c r="L12" s="249">
        <f>+'WP-3 - Labor Analysis'!N12</f>
        <v>2080</v>
      </c>
      <c r="N12" s="274">
        <f>+I12*N8</f>
        <v>5400</v>
      </c>
      <c r="O12" s="274">
        <f>+J12*O8</f>
        <v>135000</v>
      </c>
      <c r="P12" s="274"/>
      <c r="Q12" s="274"/>
      <c r="R12" s="249">
        <f>SUM(N12:Q12)</f>
        <v>140400</v>
      </c>
      <c r="S12" s="249">
        <f>R12-G12</f>
        <v>3590</v>
      </c>
      <c r="T12" s="249">
        <f>IF(R12&gt;$T$7,$T$7*0.062,R12*0.062)+R12*0.0145</f>
        <v>10740.599999999999</v>
      </c>
      <c r="U12" s="249">
        <f>IF(R12&gt;7000,7000*0.006,R12*0.006)</f>
        <v>42</v>
      </c>
      <c r="V12" s="249"/>
      <c r="W12" s="249"/>
      <c r="X12" s="255">
        <f>IF(D12="Y",R12*$X$9,0)</f>
        <v>4212</v>
      </c>
      <c r="Y12" s="249">
        <f>SUM(T12:X12)</f>
        <v>14994.599999999999</v>
      </c>
    </row>
    <row r="13" spans="1:27">
      <c r="A13" s="254">
        <v>2</v>
      </c>
      <c r="B13" s="2" t="s">
        <v>915</v>
      </c>
      <c r="C13" s="2" t="s">
        <v>918</v>
      </c>
      <c r="D13" s="2" t="s">
        <v>894</v>
      </c>
      <c r="E13" s="2" t="s">
        <v>894</v>
      </c>
      <c r="F13" s="272">
        <v>40.869999999999997</v>
      </c>
      <c r="G13" s="249">
        <f>+'WP-3 - Labor Analysis'!O13</f>
        <v>90251.76</v>
      </c>
      <c r="I13" s="272">
        <v>42.8</v>
      </c>
      <c r="J13" s="272">
        <v>44.94</v>
      </c>
      <c r="L13" s="249">
        <f>+'WP-3 - Labor Analysis'!N13</f>
        <v>2128</v>
      </c>
      <c r="N13" s="274">
        <f>(+'WP-3 - Labor Analysis'!E13+'WP-3 - Labor Analysis'!G13+'WP-3 - Labor Analysis'!H13+'WP-3 - Labor Analysis'!I13+'WP-3 - Labor Analysis'!J13+'WP-3 - Labor Analysis'!K13)*I13/26*$N$8</f>
        <v>3503.0153846153844</v>
      </c>
      <c r="O13" s="274">
        <f>(+'WP-3 - Labor Analysis'!E13+'WP-3 - Labor Analysis'!G13+'WP-3 - Labor Analysis'!H13+'WP-3 - Labor Analysis'!I13+'WP-3 - Labor Analysis'!J13+'WP-3 - Labor Analysis'!K13)*J13/26*$O$8</f>
        <v>91954.153846153844</v>
      </c>
      <c r="P13" s="274">
        <f>(+'WP-3 - Labor Analysis'!F13*I13*1.5)/26*$N$8</f>
        <v>0</v>
      </c>
      <c r="Q13" s="274">
        <f>(+'WP-3 - Labor Analysis'!F13*J13*1.5)/26*$O$8</f>
        <v>0</v>
      </c>
      <c r="R13" s="249">
        <f>SUM(N13:Q13)</f>
        <v>95457.169230769228</v>
      </c>
      <c r="S13" s="249">
        <f>R13-G13</f>
        <v>5205.4092307692335</v>
      </c>
      <c r="T13" s="249">
        <f>IF(R13&gt;$T$7,$T$7*0.062,R13*0.062)+R13*0.0145</f>
        <v>7302.4734461538465</v>
      </c>
      <c r="U13" s="249">
        <f>IF(R13&gt;7000,7000*0.006,R13*0.006)</f>
        <v>42</v>
      </c>
      <c r="V13" s="249">
        <f>IF(R13&gt;$V$7,$V$7*$V$8,+R13*$V$8)</f>
        <v>270.39999999999998</v>
      </c>
      <c r="W13" s="255">
        <f>$W$7*(+'WP-3 - Labor Analysis'!E13+'WP-3 - Labor Analysis'!F13)</f>
        <v>2508.1143999999999</v>
      </c>
      <c r="X13" s="255">
        <f>IF(D13="Y",R13*$X$9,0)</f>
        <v>2863.7150769230766</v>
      </c>
      <c r="Y13" s="249">
        <f>SUM(T13:X13)</f>
        <v>12986.702923076922</v>
      </c>
    </row>
    <row r="14" spans="1:27">
      <c r="A14" s="256" t="s">
        <v>899</v>
      </c>
      <c r="F14" s="272"/>
      <c r="G14" s="273">
        <f>SUM(G12:G13)</f>
        <v>227061.76000000001</v>
      </c>
      <c r="I14" s="272"/>
      <c r="J14" s="272"/>
      <c r="L14" s="273">
        <f>SUM(L12:L13)</f>
        <v>4208</v>
      </c>
      <c r="N14" s="274"/>
      <c r="O14" s="274"/>
      <c r="P14" s="274"/>
      <c r="Q14" s="274"/>
      <c r="R14" s="249"/>
      <c r="S14" s="612">
        <f>SUM(S12:S13)</f>
        <v>8795.4092307692335</v>
      </c>
      <c r="T14" s="249"/>
      <c r="U14" s="249"/>
      <c r="V14" s="249"/>
      <c r="W14" s="249"/>
      <c r="X14" s="255"/>
      <c r="Y14" s="249"/>
    </row>
    <row r="15" spans="1:27">
      <c r="A15" s="254"/>
      <c r="F15" s="272"/>
      <c r="G15" s="249"/>
      <c r="I15" s="272"/>
      <c r="J15" s="272"/>
      <c r="L15" s="249"/>
      <c r="N15" s="274"/>
      <c r="O15" s="274"/>
      <c r="P15" s="274"/>
      <c r="Q15" s="274"/>
      <c r="R15" s="249"/>
      <c r="S15" s="249"/>
      <c r="T15" s="249"/>
      <c r="U15" s="249"/>
      <c r="V15" s="249"/>
      <c r="W15" s="249"/>
      <c r="X15" s="255"/>
      <c r="Y15" s="249"/>
    </row>
    <row r="16" spans="1:27">
      <c r="A16" s="254">
        <v>3</v>
      </c>
      <c r="B16" s="2" t="s">
        <v>915</v>
      </c>
      <c r="C16" s="2" t="s">
        <v>918</v>
      </c>
      <c r="D16" s="2" t="s">
        <v>894</v>
      </c>
      <c r="E16" s="2" t="s">
        <v>894</v>
      </c>
      <c r="F16" s="272">
        <v>28</v>
      </c>
      <c r="G16" s="249">
        <f>+'WP-3 - Labor Analysis'!O16</f>
        <v>57065.919999999998</v>
      </c>
      <c r="I16" s="272">
        <v>29.4</v>
      </c>
      <c r="J16" s="272">
        <v>30.87</v>
      </c>
      <c r="L16" s="249">
        <f>+'WP-3 - Labor Analysis'!N16</f>
        <v>1942.6</v>
      </c>
      <c r="N16" s="274">
        <f>(+'WP-3 - Labor Analysis'!E16+'WP-3 - Labor Analysis'!G16+'WP-3 - Labor Analysis'!H16+'WP-3 - Labor Analysis'!I16+'WP-3 - Labor Analysis'!J16+'WP-3 - Labor Analysis'!K16)*I16/26*$N$8</f>
        <v>2193.1495384615382</v>
      </c>
      <c r="O16" s="274">
        <f>(+'WP-3 - Labor Analysis'!E16+'WP-3 - Labor Analysis'!G16+'WP-3 - Labor Analysis'!H16+'WP-3 - Labor Analysis'!I16+'WP-3 - Labor Analysis'!J16+'WP-3 - Labor Analysis'!K16)*J16/26*$O$8</f>
        <v>57570.175384615388</v>
      </c>
      <c r="P16" s="274">
        <f>(+'WP-3 - Labor Analysis'!F16*I16*1.5)/26*$N$8</f>
        <v>5.224153846153845</v>
      </c>
      <c r="Q16" s="274">
        <f>(+'WP-3 - Labor Analysis'!F16*J16*1.5)/26*$O$8</f>
        <v>137.13403846153844</v>
      </c>
      <c r="R16" s="249">
        <f>SUM(N16:Q16)</f>
        <v>59905.683115384621</v>
      </c>
      <c r="S16" s="249">
        <f>R16-G16</f>
        <v>2839.7631153846232</v>
      </c>
      <c r="T16" s="249">
        <f>IF(R16&gt;$T$7,$T$7*0.062,R16*0.062)+R16*0.0145</f>
        <v>4582.7847583269231</v>
      </c>
      <c r="U16" s="249">
        <f>IF(R16&gt;7000,7000*0.006,R16*0.006)</f>
        <v>42</v>
      </c>
      <c r="V16" s="249">
        <f>IF(R16&gt;$V$7,$V$7*$V$8,+R16*$V$8)</f>
        <v>239.6227324615385</v>
      </c>
      <c r="W16" s="255">
        <f>$W$8*(+'WP-3 - Labor Analysis'!E16+'WP-3 - Labor Analysis'!F16)</f>
        <v>165.97378</v>
      </c>
      <c r="X16" s="255">
        <v>1300</v>
      </c>
      <c r="Y16" s="249">
        <f>SUM(T16:X16)</f>
        <v>6330.3812707884617</v>
      </c>
    </row>
    <row r="17" spans="1:29">
      <c r="A17" s="254">
        <v>4</v>
      </c>
      <c r="B17" s="2" t="s">
        <v>915</v>
      </c>
      <c r="C17" s="2" t="s">
        <v>918</v>
      </c>
      <c r="D17" s="2" t="s">
        <v>894</v>
      </c>
      <c r="E17" s="2" t="s">
        <v>894</v>
      </c>
      <c r="F17" s="272">
        <v>30.5</v>
      </c>
      <c r="G17" s="249">
        <f>+'WP-3 - Labor Analysis'!O17</f>
        <v>65085.55</v>
      </c>
      <c r="I17" s="272">
        <v>35</v>
      </c>
      <c r="J17" s="272">
        <v>36.75</v>
      </c>
      <c r="L17" s="249">
        <f>+'WP-3 - Labor Analysis'!N17</f>
        <v>2022.03</v>
      </c>
      <c r="N17" s="274">
        <f>(+'WP-3 - Labor Analysis'!E17+'WP-3 - Labor Analysis'!G17+'WP-3 - Labor Analysis'!H17+'WP-3 - Labor Analysis'!I17+'WP-3 - Labor Analysis'!J17+'WP-3 - Labor Analysis'!K17)*I17/26*$N$8</f>
        <v>2685.4557692307694</v>
      </c>
      <c r="O17" s="274">
        <f>(+'WP-3 - Labor Analysis'!E17+'WP-3 - Labor Analysis'!G17+'WP-3 - Labor Analysis'!H17+'WP-3 - Labor Analysis'!I17+'WP-3 - Labor Analysis'!J17+'WP-3 - Labor Analysis'!K17)*J17/26*$O$8</f>
        <v>70493.213942307688</v>
      </c>
      <c r="P17" s="274">
        <f>(+'WP-3 - Labor Analysis'!F17*I17*1.5)/26*$N$8</f>
        <v>54.761538461538471</v>
      </c>
      <c r="Q17" s="274">
        <f>(+'WP-3 - Labor Analysis'!F17*J17*1.5)/26*$O$8</f>
        <v>1437.490384615385</v>
      </c>
      <c r="R17" s="249">
        <f>SUM(N17:Q17)</f>
        <v>74670.921634615384</v>
      </c>
      <c r="S17" s="249">
        <f>R17-G17</f>
        <v>9585.3716346153815</v>
      </c>
      <c r="T17" s="249">
        <f t="shared" ref="T17:T18" si="0">IF(R17&gt;$T$7,$T$7*0.062,R17*0.062)+R17*0.0145</f>
        <v>5712.3255050480766</v>
      </c>
      <c r="U17" s="249">
        <f t="shared" ref="U17:U18" si="1">IF(R17&gt;7000,7000*0.006,R17*0.006)</f>
        <v>42</v>
      </c>
      <c r="V17" s="249">
        <f t="shared" ref="V17:V18" si="2">IF(R17&gt;$V$7,$V$7*$V$8,+R17*$V$8)</f>
        <v>270.39999999999998</v>
      </c>
      <c r="W17" s="255">
        <f>$W$8*(+'WP-3 - Labor Analysis'!E17+'WP-3 - Labor Analysis'!F17)</f>
        <v>172.28694000000002</v>
      </c>
      <c r="X17" s="255">
        <f>IF(D17="Y",R17*$X$9,0)</f>
        <v>2240.1276490384616</v>
      </c>
      <c r="Y17" s="249">
        <f t="shared" ref="Y17:Y18" si="3">SUM(T17:X17)</f>
        <v>8437.1400940865387</v>
      </c>
    </row>
    <row r="18" spans="1:29">
      <c r="A18" s="254">
        <v>5</v>
      </c>
      <c r="B18" s="2" t="s">
        <v>915</v>
      </c>
      <c r="C18" s="2" t="s">
        <v>918</v>
      </c>
      <c r="D18" s="2" t="s">
        <v>894</v>
      </c>
      <c r="E18" s="2" t="s">
        <v>894</v>
      </c>
      <c r="F18" s="272">
        <v>25</v>
      </c>
      <c r="G18" s="249">
        <f>+'WP-3 - Labor Analysis'!O18</f>
        <v>42974.26</v>
      </c>
      <c r="I18" s="272">
        <v>26.25</v>
      </c>
      <c r="J18" s="272">
        <v>27.56</v>
      </c>
      <c r="L18" s="249">
        <f>1828.74/24*26</f>
        <v>1981.1350000000002</v>
      </c>
      <c r="N18" s="274">
        <f>+L18*I18/26*$N$8</f>
        <v>2000.1843750000003</v>
      </c>
      <c r="O18" s="274">
        <f>+L18*J18/26*$O$8</f>
        <v>52500.077499999999</v>
      </c>
      <c r="P18" s="274">
        <v>0</v>
      </c>
      <c r="Q18" s="274">
        <v>0</v>
      </c>
      <c r="R18" s="249">
        <f>SUM(N18:Q18)</f>
        <v>54500.261874999997</v>
      </c>
      <c r="S18" s="249">
        <f>R18-G18</f>
        <v>11526.001874999994</v>
      </c>
      <c r="T18" s="249">
        <f t="shared" si="0"/>
        <v>4169.2700334374995</v>
      </c>
      <c r="U18" s="249">
        <f t="shared" si="1"/>
        <v>42</v>
      </c>
      <c r="V18" s="249">
        <f t="shared" si="2"/>
        <v>218.0010475</v>
      </c>
      <c r="W18" s="255">
        <f>$W$8*(+'WP-3 - Labor Analysis'!E18+'WP-3 - Labor Analysis'!F18)</f>
        <v>153.00445999999999</v>
      </c>
      <c r="X18" s="255">
        <f>IF(D18="Y",R18*$X$9,0)</f>
        <v>1635.0078562499998</v>
      </c>
      <c r="Y18" s="249">
        <f t="shared" si="3"/>
        <v>6217.2833971874988</v>
      </c>
    </row>
    <row r="19" spans="1:29">
      <c r="A19" s="256" t="s">
        <v>898</v>
      </c>
      <c r="F19" s="272"/>
      <c r="G19" s="273">
        <f>SUM(G16:G18)</f>
        <v>165125.73000000001</v>
      </c>
      <c r="I19" s="272"/>
      <c r="J19" s="272"/>
      <c r="L19" s="273">
        <f>SUM(L16:L18)</f>
        <v>5945.7650000000003</v>
      </c>
      <c r="N19" s="274"/>
      <c r="O19" s="274"/>
      <c r="P19" s="274"/>
      <c r="Q19" s="274"/>
      <c r="R19" s="249"/>
      <c r="S19" s="612">
        <f>SUM(S16:S18)</f>
        <v>23951.136624999999</v>
      </c>
      <c r="T19" s="249"/>
      <c r="U19" s="249"/>
      <c r="V19" s="249"/>
      <c r="W19" s="249"/>
      <c r="X19" s="255"/>
      <c r="Y19" s="249"/>
      <c r="AA19" s="278"/>
      <c r="AC19" s="277"/>
    </row>
    <row r="20" spans="1:29">
      <c r="A20" s="254"/>
      <c r="F20" s="272"/>
      <c r="G20" s="249"/>
      <c r="I20" s="272"/>
      <c r="J20" s="272"/>
      <c r="L20" s="249"/>
      <c r="N20" s="274"/>
      <c r="O20" s="274"/>
      <c r="P20" s="274"/>
      <c r="Q20" s="274"/>
      <c r="R20" s="249"/>
      <c r="S20" s="249"/>
      <c r="T20" s="249"/>
      <c r="U20" s="249"/>
      <c r="V20" s="249"/>
      <c r="W20" s="249"/>
      <c r="X20" s="255"/>
      <c r="Y20" s="249"/>
    </row>
    <row r="21" spans="1:29">
      <c r="A21" s="254">
        <v>6</v>
      </c>
      <c r="B21" s="2" t="s">
        <v>915</v>
      </c>
      <c r="C21" s="2" t="s">
        <v>918</v>
      </c>
      <c r="D21" s="279" t="s">
        <v>894</v>
      </c>
      <c r="E21" s="2" t="s">
        <v>894</v>
      </c>
      <c r="F21" s="272">
        <v>33</v>
      </c>
      <c r="G21" s="249">
        <f>+'WP-3 - Labor Analysis'!O21</f>
        <v>72800.25</v>
      </c>
      <c r="I21" s="272">
        <v>34.5</v>
      </c>
      <c r="J21" s="272">
        <v>36.229999999999997</v>
      </c>
      <c r="L21" s="249">
        <f>+'WP-3 - Labor Analysis'!N21</f>
        <v>2103.9299999999998</v>
      </c>
      <c r="N21" s="274">
        <f>(+'WP-3 - Labor Analysis'!E21+'WP-3 - Labor Analysis'!G21+'WP-3 - Labor Analysis'!H21+'WP-3 - Labor Analysis'!I21+'WP-3 - Labor Analysis'!J21+'WP-3 - Labor Analysis'!K21)*I21/26*$N$8</f>
        <v>2765.9578846153845</v>
      </c>
      <c r="O21" s="274">
        <f>(+'WP-3 - Labor Analysis'!E21+'WP-3 - Labor Analysis'!G21+'WP-3 - Labor Analysis'!H21+'WP-3 - Labor Analysis'!I21+'WP-3 - Labor Analysis'!J21+'WP-3 - Labor Analysis'!K21)*J21/26*$O$8</f>
        <v>72616.416057692302</v>
      </c>
      <c r="P21" s="274">
        <f>(+'WP-3 - Labor Analysis'!F21*I21*1.5)/26*$N$8</f>
        <v>38.69307692307693</v>
      </c>
      <c r="Q21" s="274">
        <f>(+'WP-3 - Labor Analysis'!F21*J21*1.5)/26*$O$8</f>
        <v>1015.8334615384614</v>
      </c>
      <c r="R21" s="249">
        <f t="shared" ref="R21:R34" si="4">SUM(N21:Q21)</f>
        <v>76436.90048076924</v>
      </c>
      <c r="S21" s="249">
        <f t="shared" ref="S21:S34" si="5">R21-G21</f>
        <v>3636.6504807692399</v>
      </c>
      <c r="T21" s="249">
        <f t="shared" ref="T21:T34" si="6">IF(R21&gt;$T$7,$T$7*0.062,R21*0.062)+R21*0.0145</f>
        <v>5847.422886778847</v>
      </c>
      <c r="U21" s="249">
        <f t="shared" ref="U21:U34" si="7">IF(R21&gt;7000,7000*0.006,R21*0.006)</f>
        <v>42</v>
      </c>
      <c r="V21" s="249">
        <f t="shared" ref="V21:V34" si="8">IF(R21&gt;$V$7,$V$7*$V$8,+R21*$V$8)</f>
        <v>270.39999999999998</v>
      </c>
      <c r="W21" s="255">
        <f>$W$7*(+'WP-3 - Labor Analysis'!E21+'WP-3 - Labor Analysis'!F21)</f>
        <v>2286.6537539999999</v>
      </c>
      <c r="X21" s="255">
        <f>IF(D21="Y",R21*$X$9,0)</f>
        <v>2293.1070144230771</v>
      </c>
      <c r="Y21" s="249">
        <f>SUM(T21:X21)</f>
        <v>10739.583655201925</v>
      </c>
    </row>
    <row r="22" spans="1:29">
      <c r="A22" s="254">
        <v>7</v>
      </c>
      <c r="B22" s="2" t="s">
        <v>915</v>
      </c>
      <c r="C22" s="2" t="s">
        <v>918</v>
      </c>
      <c r="D22" s="2" t="s">
        <v>894</v>
      </c>
      <c r="E22" s="2" t="s">
        <v>894</v>
      </c>
      <c r="F22" s="272">
        <v>33</v>
      </c>
      <c r="G22" s="249">
        <f>+'WP-3 - Labor Analysis'!O22</f>
        <v>71507.740000000005</v>
      </c>
      <c r="I22" s="272">
        <v>34.5</v>
      </c>
      <c r="J22" s="272">
        <v>36.229999999999997</v>
      </c>
      <c r="L22" s="249">
        <f>+'WP-3 - Labor Analysis'!N22</f>
        <v>2069.19</v>
      </c>
      <c r="N22" s="274">
        <f>(+'WP-3 - Labor Analysis'!E22+'WP-3 - Labor Analysis'!G22+'WP-3 - Labor Analysis'!H22+'WP-3 - Labor Analysis'!I22+'WP-3 - Labor Analysis'!J22+'WP-3 - Labor Analysis'!K22)*I22/26*$N$8</f>
        <v>2722.0367307692313</v>
      </c>
      <c r="O22" s="274">
        <f>(+'WP-3 - Labor Analysis'!E22+'WP-3 - Labor Analysis'!G22+'WP-3 - Labor Analysis'!H22+'WP-3 - Labor Analysis'!I22+'WP-3 - Labor Analysis'!J22+'WP-3 - Labor Analysis'!K22)*J22/26*$O$8</f>
        <v>71463.326634615383</v>
      </c>
      <c r="P22" s="274">
        <f>(+'WP-3 - Labor Analysis'!F22*I22*1.5)/26*$N$8</f>
        <v>35.428846153846159</v>
      </c>
      <c r="Q22" s="274">
        <f>(+'WP-3 - Labor Analysis'!F22*J22*1.5)/26*$O$8</f>
        <v>930.13557692307688</v>
      </c>
      <c r="R22" s="249">
        <f t="shared" si="4"/>
        <v>75150.927788461544</v>
      </c>
      <c r="S22" s="249">
        <f t="shared" si="5"/>
        <v>3643.1877884615387</v>
      </c>
      <c r="T22" s="249">
        <f t="shared" si="6"/>
        <v>5749.0459758173083</v>
      </c>
      <c r="U22" s="249">
        <f t="shared" si="7"/>
        <v>42</v>
      </c>
      <c r="V22" s="249">
        <f t="shared" si="8"/>
        <v>270.39999999999998</v>
      </c>
      <c r="W22" s="255">
        <f>$W$7*(+'WP-3 - Labor Analysis'!E22+'WP-3 - Labor Analysis'!F22)</f>
        <v>2235.5399440000001</v>
      </c>
      <c r="X22" s="255">
        <v>1300</v>
      </c>
      <c r="Y22" s="249">
        <f t="shared" ref="Y22:Y34" si="9">SUM(T22:X22)</f>
        <v>9596.9859198173071</v>
      </c>
    </row>
    <row r="23" spans="1:29">
      <c r="A23" s="254">
        <v>8</v>
      </c>
      <c r="B23" s="2" t="s">
        <v>915</v>
      </c>
      <c r="C23" s="2" t="s">
        <v>918</v>
      </c>
      <c r="D23" s="2" t="s">
        <v>76</v>
      </c>
      <c r="E23" s="2" t="s">
        <v>894</v>
      </c>
      <c r="F23" s="272">
        <v>28</v>
      </c>
      <c r="G23" s="249">
        <f>+'WP-3 - Labor Analysis'!O23</f>
        <v>59839.199999999997</v>
      </c>
      <c r="I23" s="272">
        <v>31.5</v>
      </c>
      <c r="J23" s="272">
        <v>33.08</v>
      </c>
      <c r="L23" s="249">
        <f>+'WP-3 - Labor Analysis'!N23</f>
        <v>2031.3</v>
      </c>
      <c r="N23" s="274">
        <f>(+'WP-3 - Labor Analysis'!E23+'WP-3 - Labor Analysis'!G23+'WP-3 - Labor Analysis'!H23+'WP-3 - Labor Analysis'!I23+'WP-3 - Labor Analysis'!J23+'WP-3 - Labor Analysis'!K23)*I23/26*$N$8</f>
        <v>2442.582692307692</v>
      </c>
      <c r="O23" s="274">
        <f>(+'WP-3 - Labor Analysis'!E23+'WP-3 - Labor Analysis'!G23+'WP-3 - Labor Analysis'!H23+'WP-3 - Labor Analysis'!I23+'WP-3 - Labor Analysis'!J23+'WP-3 - Labor Analysis'!K23)*J23/26*$O$8</f>
        <v>64127.488461538451</v>
      </c>
      <c r="P23" s="274">
        <f>(+'WP-3 - Labor Analysis'!F23*I23*1.5)/26*$N$8</f>
        <v>27.623076923076919</v>
      </c>
      <c r="Q23" s="274">
        <f>(+'WP-3 - Labor Analysis'!F23*J23*1.5)/26*$O$8</f>
        <v>725.21538461538455</v>
      </c>
      <c r="R23" s="249">
        <f t="shared" si="4"/>
        <v>67322.909615384604</v>
      </c>
      <c r="S23" s="249">
        <f t="shared" si="5"/>
        <v>7483.7096153846069</v>
      </c>
      <c r="T23" s="249">
        <f t="shared" si="6"/>
        <v>5150.2025855769225</v>
      </c>
      <c r="U23" s="249">
        <f t="shared" si="7"/>
        <v>42</v>
      </c>
      <c r="V23" s="249">
        <f t="shared" si="8"/>
        <v>269.29163846153841</v>
      </c>
      <c r="W23" s="255">
        <f>$W$7*(+'WP-3 - Labor Analysis'!E23+'WP-3 - Labor Analysis'!F23)</f>
        <v>2273.0396700000001</v>
      </c>
      <c r="X23" s="255">
        <f t="shared" ref="X23:X34" si="10">IF(D23="Y",R23*$X$9,0)</f>
        <v>0</v>
      </c>
      <c r="Y23" s="249">
        <f t="shared" si="9"/>
        <v>7734.5338940384609</v>
      </c>
      <c r="AA23" s="278"/>
      <c r="AC23" s="277"/>
    </row>
    <row r="24" spans="1:29">
      <c r="A24" s="254">
        <v>9</v>
      </c>
      <c r="B24" s="2" t="s">
        <v>915</v>
      </c>
      <c r="C24" s="2" t="s">
        <v>918</v>
      </c>
      <c r="D24" s="2" t="s">
        <v>76</v>
      </c>
      <c r="E24" s="2" t="s">
        <v>894</v>
      </c>
      <c r="F24" s="272">
        <v>33</v>
      </c>
      <c r="G24" s="249">
        <f>+'WP-3 - Labor Analysis'!O24</f>
        <v>74136.61</v>
      </c>
      <c r="I24" s="272">
        <v>34.5</v>
      </c>
      <c r="J24" s="272">
        <v>36.229999999999997</v>
      </c>
      <c r="L24" s="249">
        <f>+'WP-3 - Labor Analysis'!N24</f>
        <v>2138.2199999999998</v>
      </c>
      <c r="N24" s="274">
        <f>(+'WP-3 - Labor Analysis'!E24+'WP-3 - Labor Analysis'!G24+'WP-3 - Labor Analysis'!H24+'WP-3 - Labor Analysis'!I24+'WP-3 - Labor Analysis'!J24+'WP-3 - Labor Analysis'!K24)*I24/26*$N$8</f>
        <v>2791.4215384615381</v>
      </c>
      <c r="O24" s="274">
        <f>(+'WP-3 - Labor Analysis'!E24+'WP-3 - Labor Analysis'!G24+'WP-3 - Labor Analysis'!H24+'WP-3 - Labor Analysis'!I24+'WP-3 - Labor Analysis'!J24+'WP-3 - Labor Analysis'!K24)*J24/26*$O$8</f>
        <v>73284.929230769223</v>
      </c>
      <c r="P24" s="274">
        <f>(+'WP-3 - Labor Analysis'!F24*I24*1.5)/26*$N$8</f>
        <v>68.747884615384606</v>
      </c>
      <c r="Q24" s="274">
        <f>(+'WP-3 - Labor Analysis'!F24*J24*1.5)/26*$O$8</f>
        <v>1804.8810576923079</v>
      </c>
      <c r="R24" s="249">
        <f t="shared" si="4"/>
        <v>77949.979711538457</v>
      </c>
      <c r="S24" s="249">
        <f t="shared" si="5"/>
        <v>3813.3697115384566</v>
      </c>
      <c r="T24" s="249">
        <f t="shared" si="6"/>
        <v>5963.1734479326915</v>
      </c>
      <c r="U24" s="249">
        <f t="shared" si="7"/>
        <v>42</v>
      </c>
      <c r="V24" s="249">
        <f t="shared" si="8"/>
        <v>270.39999999999998</v>
      </c>
      <c r="W24" s="255">
        <f>$W$7*(+'WP-3 - Labor Analysis'!E24+'WP-3 - Labor Analysis'!F24)</f>
        <v>2356.0538649999999</v>
      </c>
      <c r="X24" s="255">
        <f t="shared" si="10"/>
        <v>0</v>
      </c>
      <c r="Y24" s="249">
        <f t="shared" si="9"/>
        <v>8631.627312932691</v>
      </c>
    </row>
    <row r="25" spans="1:29">
      <c r="A25" s="254">
        <v>10</v>
      </c>
      <c r="B25" s="2" t="s">
        <v>915</v>
      </c>
      <c r="C25" s="2" t="s">
        <v>918</v>
      </c>
      <c r="D25" s="2" t="s">
        <v>894</v>
      </c>
      <c r="E25" s="2" t="s">
        <v>894</v>
      </c>
      <c r="F25" s="272">
        <v>33</v>
      </c>
      <c r="G25" s="249">
        <f>+'WP-3 - Labor Analysis'!O25</f>
        <v>69919.19</v>
      </c>
      <c r="I25" s="272">
        <v>34.5</v>
      </c>
      <c r="J25" s="272">
        <v>36.229999999999997</v>
      </c>
      <c r="L25" s="249">
        <f>+'WP-3 - Labor Analysis'!N25</f>
        <v>2024.3400000000001</v>
      </c>
      <c r="N25" s="274">
        <f>(+'WP-3 - Labor Analysis'!E25+'WP-3 - Labor Analysis'!G25+'WP-3 - Labor Analysis'!H25+'WP-3 - Labor Analysis'!I25+'WP-3 - Labor Analysis'!J25+'WP-3 - Labor Analysis'!K25)*I25/26*$N$8</f>
        <v>2669.6232692307694</v>
      </c>
      <c r="O25" s="274">
        <f>(+'WP-3 - Labor Analysis'!E25+'WP-3 - Labor Analysis'!G25+'WP-3 - Labor Analysis'!H25+'WP-3 - Labor Analysis'!I25+'WP-3 - Labor Analysis'!J25+'WP-3 - Labor Analysis'!K25)*J25/26*$O$8</f>
        <v>70087.283365384617</v>
      </c>
      <c r="P25" s="274">
        <f>(+'WP-3 - Labor Analysis'!F25*I25*1.5)/26*$N$8</f>
        <v>24.780288461538458</v>
      </c>
      <c r="Q25" s="274">
        <f>(+'WP-3 - Labor Analysis'!F25*J25*1.5)/26*$O$8</f>
        <v>650.57235576923063</v>
      </c>
      <c r="R25" s="249">
        <f t="shared" si="4"/>
        <v>73432.259278846148</v>
      </c>
      <c r="S25" s="249">
        <f t="shared" si="5"/>
        <v>3513.0692788461456</v>
      </c>
      <c r="T25" s="249">
        <f t="shared" si="6"/>
        <v>5617.5678348317306</v>
      </c>
      <c r="U25" s="249">
        <f t="shared" si="7"/>
        <v>42</v>
      </c>
      <c r="V25" s="249">
        <f t="shared" si="8"/>
        <v>270.39999999999998</v>
      </c>
      <c r="W25" s="255">
        <f>$W$7*(+'WP-3 - Labor Analysis'!E25+'WP-3 - Labor Analysis'!F25)</f>
        <v>2235.2715660000003</v>
      </c>
      <c r="X25" s="255">
        <f t="shared" si="10"/>
        <v>2202.9677783653842</v>
      </c>
      <c r="Y25" s="249">
        <f t="shared" si="9"/>
        <v>10368.207179197114</v>
      </c>
    </row>
    <row r="26" spans="1:29">
      <c r="A26" s="254">
        <v>11</v>
      </c>
      <c r="B26" s="2" t="s">
        <v>915</v>
      </c>
      <c r="C26" s="2" t="s">
        <v>918</v>
      </c>
      <c r="D26" s="2" t="s">
        <v>894</v>
      </c>
      <c r="E26" s="2" t="s">
        <v>894</v>
      </c>
      <c r="F26" s="272">
        <v>34.5</v>
      </c>
      <c r="G26" s="249">
        <f>+'WP-3 - Labor Analysis'!O26</f>
        <v>75714.12</v>
      </c>
      <c r="I26" s="272">
        <v>36</v>
      </c>
      <c r="J26" s="272">
        <v>37.799999999999997</v>
      </c>
      <c r="L26" s="249">
        <f>+'WP-3 - Labor Analysis'!N26</f>
        <v>2095.23</v>
      </c>
      <c r="N26" s="274">
        <f>(+'WP-3 - Labor Analysis'!E26+'WP-3 - Labor Analysis'!G26+'WP-3 - Labor Analysis'!H26+'WP-3 - Labor Analysis'!I26+'WP-3 - Labor Analysis'!J26+'WP-3 - Labor Analysis'!K26)*I26/26*$N$8</f>
        <v>2868.6876923076925</v>
      </c>
      <c r="O26" s="274">
        <f>(+'WP-3 - Labor Analysis'!E26+'WP-3 - Labor Analysis'!G26+'WP-3 - Labor Analysis'!H26+'WP-3 - Labor Analysis'!I26+'WP-3 - Labor Analysis'!J26+'WP-3 - Labor Analysis'!K26)*J26/26*$O$8</f>
        <v>75303.051923076913</v>
      </c>
      <c r="P26" s="274">
        <f>(+'WP-3 - Labor Analysis'!F26*I26*1.5)/26*$N$8</f>
        <v>48.599999999999994</v>
      </c>
      <c r="Q26" s="274">
        <f>(+'WP-3 - Labor Analysis'!F26*J26*1.5)/26*$O$8</f>
        <v>1275.7499999999998</v>
      </c>
      <c r="R26" s="249">
        <f t="shared" si="4"/>
        <v>79496.089615384612</v>
      </c>
      <c r="S26" s="249">
        <f t="shared" si="5"/>
        <v>3781.9696153846162</v>
      </c>
      <c r="T26" s="249">
        <f t="shared" si="6"/>
        <v>6081.4508555769225</v>
      </c>
      <c r="U26" s="249">
        <f t="shared" si="7"/>
        <v>42</v>
      </c>
      <c r="V26" s="249">
        <f t="shared" si="8"/>
        <v>270.39999999999998</v>
      </c>
      <c r="W26" s="255">
        <f>$W$7*(+'WP-3 - Labor Analysis'!E26+'WP-3 - Labor Analysis'!F26)</f>
        <v>2219.1932839999999</v>
      </c>
      <c r="X26" s="255">
        <f t="shared" si="10"/>
        <v>2384.8826884615382</v>
      </c>
      <c r="Y26" s="249">
        <f t="shared" si="9"/>
        <v>10997.92682803846</v>
      </c>
    </row>
    <row r="27" spans="1:29">
      <c r="A27" s="254">
        <v>12</v>
      </c>
      <c r="B27" s="2" t="s">
        <v>915</v>
      </c>
      <c r="C27" s="2" t="s">
        <v>918</v>
      </c>
      <c r="D27" s="2" t="s">
        <v>76</v>
      </c>
      <c r="E27" s="2" t="s">
        <v>894</v>
      </c>
      <c r="F27" s="272">
        <v>30.98</v>
      </c>
      <c r="G27" s="249">
        <f>+'WP-3 - Labor Analysis'!O27</f>
        <v>69324.05</v>
      </c>
      <c r="I27" s="272">
        <v>32.5</v>
      </c>
      <c r="J27" s="272">
        <v>34.130000000000003</v>
      </c>
      <c r="L27" s="249">
        <f>+'WP-3 - Labor Analysis'!N27</f>
        <v>2124.81</v>
      </c>
      <c r="N27" s="274">
        <f>(+'WP-3 - Labor Analysis'!E27+'WP-3 - Labor Analysis'!G27+'WP-3 - Labor Analysis'!H27+'WP-3 - Labor Analysis'!I27+'WP-3 - Labor Analysis'!J27+'WP-3 - Labor Analysis'!K27)*I27/26*$N$8</f>
        <v>2626.3624999999997</v>
      </c>
      <c r="O27" s="274">
        <f>(+'WP-3 - Labor Analysis'!E27+'WP-3 - Labor Analysis'!G27+'WP-3 - Labor Analysis'!H27+'WP-3 - Labor Analysis'!I27+'WP-3 - Labor Analysis'!J27+'WP-3 - Labor Analysis'!K27)*J27/26*$O$8</f>
        <v>68952.117019230762</v>
      </c>
      <c r="P27" s="274">
        <f>(+'WP-3 - Labor Analysis'!F27*I27*1.5)/26*$N$8</f>
        <v>44.474999999999994</v>
      </c>
      <c r="Q27" s="274">
        <f>(+'WP-3 - Labor Analysis'!F27*J27*1.5)/26*$O$8</f>
        <v>1167.6398076923078</v>
      </c>
      <c r="R27" s="249">
        <f t="shared" si="4"/>
        <v>72790.594326923077</v>
      </c>
      <c r="S27" s="249">
        <f t="shared" si="5"/>
        <v>3466.5443269230745</v>
      </c>
      <c r="T27" s="249">
        <f t="shared" si="6"/>
        <v>5568.4804660096152</v>
      </c>
      <c r="U27" s="249">
        <f t="shared" si="7"/>
        <v>42</v>
      </c>
      <c r="V27" s="249">
        <f t="shared" si="8"/>
        <v>270.39999999999998</v>
      </c>
      <c r="W27" s="255">
        <f>$W$7*(+'WP-3 - Labor Analysis'!E27+'WP-3 - Labor Analysis'!F27)</f>
        <v>2320.9573419999997</v>
      </c>
      <c r="X27" s="255">
        <f t="shared" si="10"/>
        <v>0</v>
      </c>
      <c r="Y27" s="249">
        <f t="shared" si="9"/>
        <v>8201.8378080096154</v>
      </c>
    </row>
    <row r="28" spans="1:29">
      <c r="A28" s="254">
        <v>13</v>
      </c>
      <c r="B28" s="2" t="s">
        <v>915</v>
      </c>
      <c r="C28" s="2" t="s">
        <v>918</v>
      </c>
      <c r="D28" s="2" t="s">
        <v>894</v>
      </c>
      <c r="E28" s="2" t="s">
        <v>894</v>
      </c>
      <c r="F28" s="272">
        <v>33</v>
      </c>
      <c r="G28" s="249">
        <f>+'WP-3 - Labor Analysis'!O28</f>
        <v>71397.41</v>
      </c>
      <c r="I28" s="272">
        <v>34.5</v>
      </c>
      <c r="J28" s="272">
        <v>36.229999999999997</v>
      </c>
      <c r="L28" s="249">
        <f>+'WP-3 - Labor Analysis'!N28</f>
        <v>2066.21</v>
      </c>
      <c r="N28" s="274">
        <f>(+'WP-3 - Labor Analysis'!E28+'WP-3 - Labor Analysis'!G28+'WP-3 - Labor Analysis'!H28+'WP-3 - Labor Analysis'!I28+'WP-3 - Labor Analysis'!J28+'WP-3 - Labor Analysis'!K28)*I28/26*$N$8</f>
        <v>2716.8484615384614</v>
      </c>
      <c r="O28" s="274">
        <f>(+'WP-3 - Labor Analysis'!E28+'WP-3 - Labor Analysis'!G28+'WP-3 - Labor Analysis'!H28+'WP-3 - Labor Analysis'!I28+'WP-3 - Labor Analysis'!J28+'WP-3 - Labor Analysis'!K28)*J28/26*$O$8</f>
        <v>71327.115769230775</v>
      </c>
      <c r="P28" s="274">
        <f>(+'WP-3 - Labor Analysis'!F28*I28*1.5)/26*$N$8</f>
        <v>37.27990384615385</v>
      </c>
      <c r="Q28" s="274">
        <f>(+'WP-3 - Labor Analysis'!F28*J28*1.5)/26*$O$8</f>
        <v>978.73254807692297</v>
      </c>
      <c r="R28" s="249">
        <f t="shared" si="4"/>
        <v>75059.976682692315</v>
      </c>
      <c r="S28" s="249">
        <f t="shared" si="5"/>
        <v>3662.5666826923116</v>
      </c>
      <c r="T28" s="249">
        <f t="shared" si="6"/>
        <v>5742.0882162259622</v>
      </c>
      <c r="U28" s="249">
        <f t="shared" si="7"/>
        <v>42</v>
      </c>
      <c r="V28" s="249">
        <f t="shared" si="8"/>
        <v>270.39999999999998</v>
      </c>
      <c r="W28" s="255">
        <f>$W$7*(+'WP-3 - Labor Analysis'!E28+'WP-3 - Labor Analysis'!F28)</f>
        <v>2184.5725219999999</v>
      </c>
      <c r="X28" s="255">
        <f t="shared" si="10"/>
        <v>2251.7993004807695</v>
      </c>
      <c r="Y28" s="249">
        <f t="shared" si="9"/>
        <v>10490.860038706731</v>
      </c>
    </row>
    <row r="29" spans="1:29">
      <c r="A29" s="254">
        <v>14</v>
      </c>
      <c r="B29" s="2" t="s">
        <v>915</v>
      </c>
      <c r="C29" s="2" t="s">
        <v>996</v>
      </c>
      <c r="D29" s="2" t="s">
        <v>894</v>
      </c>
      <c r="E29" s="2" t="s">
        <v>76</v>
      </c>
      <c r="F29" s="272">
        <v>32.5</v>
      </c>
      <c r="G29" s="249">
        <f>+'WP-3 - Labor Analysis'!O29</f>
        <v>72954.28</v>
      </c>
      <c r="I29" s="272"/>
      <c r="J29" s="272"/>
      <c r="L29" s="249">
        <v>0</v>
      </c>
      <c r="N29" s="274">
        <v>0</v>
      </c>
      <c r="O29" s="274">
        <v>0</v>
      </c>
      <c r="P29" s="274">
        <v>0</v>
      </c>
      <c r="Q29" s="274">
        <v>0</v>
      </c>
      <c r="R29" s="249">
        <f t="shared" si="4"/>
        <v>0</v>
      </c>
      <c r="S29" s="249">
        <f t="shared" si="5"/>
        <v>-72954.28</v>
      </c>
      <c r="T29" s="249">
        <f>IF(R29&gt;$T$7,$T$7*0.062,R29*0.062)+R29*0.0145</f>
        <v>0</v>
      </c>
      <c r="U29" s="249">
        <f>IF(R29&gt;7000,7000*0.006,R29*0.006)</f>
        <v>0</v>
      </c>
      <c r="V29" s="249">
        <f>IF(R29&gt;$V$7,$V$7*$V$8,+R29*$V$8)</f>
        <v>0</v>
      </c>
      <c r="W29" s="255">
        <v>0</v>
      </c>
      <c r="X29" s="255">
        <f t="shared" si="10"/>
        <v>0</v>
      </c>
      <c r="Y29" s="249">
        <f t="shared" si="9"/>
        <v>0</v>
      </c>
    </row>
    <row r="30" spans="1:29">
      <c r="A30" s="254">
        <v>15</v>
      </c>
      <c r="B30" s="2" t="s">
        <v>915</v>
      </c>
      <c r="C30" s="2" t="s">
        <v>918</v>
      </c>
      <c r="D30" s="2" t="s">
        <v>76</v>
      </c>
      <c r="E30" s="2" t="s">
        <v>76</v>
      </c>
      <c r="F30" s="272">
        <v>31.5</v>
      </c>
      <c r="G30" s="249">
        <f>+'WP-3 - Labor Analysis'!O30</f>
        <v>66376.37</v>
      </c>
      <c r="I30" s="272">
        <v>32.5</v>
      </c>
      <c r="J30" s="272">
        <v>34.130000000000003</v>
      </c>
      <c r="L30" s="249">
        <f>+'WP-3 - Labor Analysis'!N30</f>
        <v>2047.76</v>
      </c>
      <c r="N30" s="274">
        <f>(+'WP-3 - Labor Analysis'!E30+'WP-3 - Labor Analysis'!G30+'WP-3 - Labor Analysis'!H30+'WP-3 - Labor Analysis'!I30+'WP-3 - Labor Analysis'!J30+'WP-3 - Labor Analysis'!K30)*I30/26*$N$8</f>
        <v>2538.8625000000002</v>
      </c>
      <c r="O30" s="274">
        <f>(+'WP-3 - Labor Analysis'!E30+'WP-3 - Labor Analysis'!G30+'WP-3 - Labor Analysis'!H30+'WP-3 - Labor Analysis'!I30+'WP-3 - Labor Analysis'!J30+'WP-3 - Labor Analysis'!K30)*J30/26*$O$8</f>
        <v>66654.90548076923</v>
      </c>
      <c r="P30" s="274">
        <f>(+'WP-3 - Labor Analysis'!F30*I30*1.5)/26*$N$8</f>
        <v>31.256250000000005</v>
      </c>
      <c r="Q30" s="274">
        <f>(+'WP-3 - Labor Analysis'!F30*J30*1.5)/26*$O$8</f>
        <v>820.59677884615394</v>
      </c>
      <c r="R30" s="249">
        <f t="shared" si="4"/>
        <v>70045.621009615395</v>
      </c>
      <c r="S30" s="249">
        <f t="shared" si="5"/>
        <v>3669.2510096154001</v>
      </c>
      <c r="T30" s="249">
        <f t="shared" si="6"/>
        <v>5358.4900072355777</v>
      </c>
      <c r="U30" s="249">
        <f t="shared" si="7"/>
        <v>42</v>
      </c>
      <c r="V30" s="249">
        <f t="shared" si="8"/>
        <v>270.39999999999998</v>
      </c>
      <c r="W30" s="255">
        <f>$W$7*(+'WP-3 - Labor Analysis'!E30+'WP-3 - Labor Analysis'!F30)</f>
        <v>2257.632333</v>
      </c>
      <c r="X30" s="255">
        <f t="shared" si="10"/>
        <v>0</v>
      </c>
      <c r="Y30" s="249">
        <f t="shared" si="9"/>
        <v>7928.5223402355768</v>
      </c>
    </row>
    <row r="31" spans="1:29">
      <c r="A31" s="254">
        <v>16</v>
      </c>
      <c r="B31" s="2" t="s">
        <v>915</v>
      </c>
      <c r="C31" s="2" t="s">
        <v>918</v>
      </c>
      <c r="D31" s="2" t="s">
        <v>894</v>
      </c>
      <c r="E31" s="2" t="s">
        <v>894</v>
      </c>
      <c r="F31" s="272">
        <v>33</v>
      </c>
      <c r="G31" s="249">
        <f>+'WP-3 - Labor Analysis'!O31</f>
        <v>74423.87</v>
      </c>
      <c r="I31" s="272">
        <v>34.5</v>
      </c>
      <c r="J31" s="272">
        <v>36.229999999999997</v>
      </c>
      <c r="L31" s="249">
        <f>+'WP-3 - Labor Analysis'!N31</f>
        <v>2131.8200000000002</v>
      </c>
      <c r="N31" s="274">
        <f>(+'WP-3 - Labor Analysis'!E31+'WP-3 - Labor Analysis'!G31+'WP-3 - Labor Analysis'!H31+'WP-3 - Labor Analysis'!I31+'WP-3 - Labor Analysis'!J31+'WP-3 - Labor Analysis'!K31)*I31/26*$N$8</f>
        <v>2745.6559615384617</v>
      </c>
      <c r="O31" s="274">
        <f>(+'WP-3 - Labor Analysis'!E31+'WP-3 - Labor Analysis'!G31+'WP-3 - Labor Analysis'!H31+'WP-3 - Labor Analysis'!I31+'WP-3 - Labor Analysis'!J31+'WP-3 - Labor Analysis'!K31)*J31/26*$O$8</f>
        <v>72083.417019230779</v>
      </c>
      <c r="P31" s="274">
        <f>(+'WP-3 - Labor Analysis'!F31*I31*1.5)/26*$N$8</f>
        <v>124.65778846153846</v>
      </c>
      <c r="Q31" s="274">
        <f>(+'WP-3 - Labor Analysis'!F31*J31*1.5)/26*$O$8</f>
        <v>3272.7186057692306</v>
      </c>
      <c r="R31" s="249">
        <f t="shared" si="4"/>
        <v>78226.449375000011</v>
      </c>
      <c r="S31" s="249">
        <f t="shared" si="5"/>
        <v>3802.5793750000157</v>
      </c>
      <c r="T31" s="249">
        <f t="shared" si="6"/>
        <v>5984.3233771875002</v>
      </c>
      <c r="U31" s="249">
        <f t="shared" si="7"/>
        <v>42</v>
      </c>
      <c r="V31" s="249">
        <f t="shared" si="8"/>
        <v>270.39999999999998</v>
      </c>
      <c r="W31" s="255">
        <f>$W$7*(+'WP-3 - Labor Analysis'!E31+'WP-3 - Labor Analysis'!F31)</f>
        <v>2311.539714</v>
      </c>
      <c r="X31" s="255">
        <f t="shared" si="10"/>
        <v>2346.7934812500002</v>
      </c>
      <c r="Y31" s="249">
        <f t="shared" si="9"/>
        <v>10955.056572437501</v>
      </c>
    </row>
    <row r="32" spans="1:29">
      <c r="A32" s="254">
        <v>17</v>
      </c>
      <c r="B32" s="2" t="s">
        <v>915</v>
      </c>
      <c r="C32" s="2" t="s">
        <v>997</v>
      </c>
      <c r="D32" s="2" t="s">
        <v>76</v>
      </c>
      <c r="E32" s="2" t="s">
        <v>894</v>
      </c>
      <c r="F32" s="272">
        <v>24</v>
      </c>
      <c r="G32" s="249">
        <f>+'WP-3 - Labor Analysis'!O32</f>
        <v>47550.03</v>
      </c>
      <c r="I32" s="272"/>
      <c r="J32" s="272"/>
      <c r="L32" s="249">
        <v>0</v>
      </c>
      <c r="N32" s="274">
        <v>0</v>
      </c>
      <c r="O32" s="274">
        <v>0</v>
      </c>
      <c r="P32" s="274">
        <v>0</v>
      </c>
      <c r="Q32" s="274">
        <v>0</v>
      </c>
      <c r="R32" s="249">
        <f t="shared" si="4"/>
        <v>0</v>
      </c>
      <c r="S32" s="249">
        <f t="shared" si="5"/>
        <v>-47550.03</v>
      </c>
      <c r="T32" s="249">
        <f>IF(R32&gt;$T$7,$T$7*0.062,R32*0.062)+R32*0.0145</f>
        <v>0</v>
      </c>
      <c r="U32" s="249">
        <f>IF(R32&gt;7000,7000*0.006,R32*0.006)</f>
        <v>0</v>
      </c>
      <c r="V32" s="249">
        <f>IF(R32&gt;$V$7,$V$7*$V$8,+R32*$V$8)</f>
        <v>0</v>
      </c>
      <c r="W32" s="255">
        <v>0</v>
      </c>
      <c r="X32" s="255">
        <f t="shared" si="10"/>
        <v>0</v>
      </c>
      <c r="Y32" s="249">
        <f t="shared" si="9"/>
        <v>0</v>
      </c>
    </row>
    <row r="33" spans="1:28">
      <c r="A33" s="254">
        <v>18</v>
      </c>
      <c r="B33" s="2" t="s">
        <v>915</v>
      </c>
      <c r="C33" s="2" t="s">
        <v>918</v>
      </c>
      <c r="D33" s="2" t="s">
        <v>894</v>
      </c>
      <c r="E33" s="2" t="s">
        <v>894</v>
      </c>
      <c r="F33" s="272">
        <v>24</v>
      </c>
      <c r="G33" s="249">
        <f>+'WP-3 - Labor Analysis'!O33</f>
        <v>49531.22</v>
      </c>
      <c r="I33" s="272">
        <v>25.5</v>
      </c>
      <c r="J33" s="272">
        <v>26.78</v>
      </c>
      <c r="L33" s="249">
        <f>+'WP-3 - Labor Analysis'!N33</f>
        <v>1994.25</v>
      </c>
      <c r="N33" s="274">
        <f>(+'WP-3 - Labor Analysis'!E33+'WP-3 - Labor Analysis'!G33+'WP-3 - Labor Analysis'!H33+'WP-3 - Labor Analysis'!I33+'WP-3 - Labor Analysis'!J33+'WP-3 - Labor Analysis'!K33)*I33/26*$N$8</f>
        <v>1945.0517307692307</v>
      </c>
      <c r="O33" s="274">
        <f>(+'WP-3 - Labor Analysis'!E33+'WP-3 - Labor Analysis'!G33+'WP-3 - Labor Analysis'!H33+'WP-3 - Labor Analysis'!I33+'WP-3 - Labor Analysis'!J33+'WP-3 - Labor Analysis'!K33)*J33/26*$O$8</f>
        <v>51067.142500000009</v>
      </c>
      <c r="P33" s="274">
        <f>(+'WP-3 - Labor Analysis'!F33*I33*1.5)/26*$N$8</f>
        <v>16.270961538461542</v>
      </c>
      <c r="Q33" s="274">
        <f>(+'WP-3 - Labor Analysis'!F33*J33*1.5)/26*$O$8</f>
        <v>427.19250000000005</v>
      </c>
      <c r="R33" s="249">
        <f t="shared" si="4"/>
        <v>53455.657692307694</v>
      </c>
      <c r="S33" s="249">
        <f t="shared" si="5"/>
        <v>3924.4376923076925</v>
      </c>
      <c r="T33" s="249">
        <f t="shared" si="6"/>
        <v>4089.3578134615386</v>
      </c>
      <c r="U33" s="249">
        <f t="shared" si="7"/>
        <v>42</v>
      </c>
      <c r="V33" s="249">
        <f t="shared" si="8"/>
        <v>213.82263076923078</v>
      </c>
      <c r="W33" s="255">
        <f>$W$7*(+'WP-3 - Labor Analysis'!E33+'WP-3 - Labor Analysis'!F33)</f>
        <v>2233.941875</v>
      </c>
      <c r="X33" s="255">
        <f t="shared" si="10"/>
        <v>1603.6697307692307</v>
      </c>
      <c r="Y33" s="249">
        <f t="shared" si="9"/>
        <v>8182.79205</v>
      </c>
    </row>
    <row r="34" spans="1:28">
      <c r="A34" s="254">
        <v>19</v>
      </c>
      <c r="B34" s="2" t="s">
        <v>915</v>
      </c>
      <c r="C34" s="2" t="s">
        <v>918</v>
      </c>
      <c r="D34" s="2" t="s">
        <v>894</v>
      </c>
      <c r="E34" s="2" t="s">
        <v>894</v>
      </c>
      <c r="F34" s="272">
        <v>33</v>
      </c>
      <c r="G34" s="249">
        <f>+'WP-3 - Labor Analysis'!O34</f>
        <v>69895.710000000006</v>
      </c>
      <c r="I34" s="272">
        <v>34.5</v>
      </c>
      <c r="J34" s="272">
        <v>36.229999999999997</v>
      </c>
      <c r="L34" s="249">
        <f>+'WP-3 - Labor Analysis'!N34</f>
        <v>2024.82</v>
      </c>
      <c r="N34" s="274">
        <f>(+'WP-3 - Labor Analysis'!E34+'WP-3 - Labor Analysis'!G34+'WP-3 - Labor Analysis'!H34+'WP-3 - Labor Analysis'!I34+'WP-3 - Labor Analysis'!J34+'WP-3 - Labor Analysis'!K34)*I34/26*$N$8</f>
        <v>2669.0526923076923</v>
      </c>
      <c r="O34" s="274">
        <f>(+'WP-3 - Labor Analysis'!E34+'WP-3 - Labor Analysis'!G34+'WP-3 - Labor Analysis'!H34+'WP-3 - Labor Analysis'!I34+'WP-3 - Labor Analysis'!J34+'WP-3 - Labor Analysis'!K34)*J34/26*$O$8</f>
        <v>70072.30365384616</v>
      </c>
      <c r="P34" s="274">
        <f>(+'WP-3 - Labor Analysis'!F34*I34*1.5)/26*$N$8</f>
        <v>26.591538461538455</v>
      </c>
      <c r="Q34" s="274">
        <f>(+'WP-3 - Labor Analysis'!F34*J34*1.5)/26*$O$8</f>
        <v>698.12423076923073</v>
      </c>
      <c r="R34" s="249">
        <f t="shared" si="4"/>
        <v>73466.072115384624</v>
      </c>
      <c r="S34" s="249">
        <f t="shared" si="5"/>
        <v>3570.3621153846179</v>
      </c>
      <c r="T34" s="249">
        <f t="shared" si="6"/>
        <v>5620.154516826924</v>
      </c>
      <c r="U34" s="249">
        <f t="shared" si="7"/>
        <v>42</v>
      </c>
      <c r="V34" s="249">
        <f t="shared" si="8"/>
        <v>270.39999999999998</v>
      </c>
      <c r="W34" s="255">
        <f>$W$7*(+'WP-3 - Labor Analysis'!E34+'WP-3 - Labor Analysis'!F34)</f>
        <v>2178.1558479999999</v>
      </c>
      <c r="X34" s="255">
        <f t="shared" si="10"/>
        <v>2203.9821634615387</v>
      </c>
      <c r="Y34" s="249">
        <f t="shared" si="9"/>
        <v>10314.692528288462</v>
      </c>
    </row>
    <row r="35" spans="1:28">
      <c r="A35" s="256" t="s">
        <v>897</v>
      </c>
      <c r="F35" s="272"/>
      <c r="G35" s="273">
        <f>SUM(G21:G34)</f>
        <v>945370.04999999993</v>
      </c>
      <c r="I35" s="272"/>
      <c r="J35" s="272"/>
      <c r="L35" s="273">
        <f>SUM(L21:L34)</f>
        <v>24851.879999999997</v>
      </c>
      <c r="N35" s="274"/>
      <c r="O35" s="274"/>
      <c r="P35" s="274"/>
      <c r="Q35" s="274"/>
      <c r="R35" s="249"/>
      <c r="S35" s="612">
        <f>SUM(S21:S34)</f>
        <v>-72536.612307692281</v>
      </c>
      <c r="T35" s="249"/>
      <c r="U35" s="249"/>
      <c r="V35" s="249"/>
      <c r="W35" s="249"/>
      <c r="X35" s="255"/>
      <c r="Y35" s="249"/>
    </row>
    <row r="36" spans="1:28">
      <c r="A36" s="254"/>
      <c r="F36" s="272"/>
      <c r="G36" s="249"/>
      <c r="I36" s="272"/>
      <c r="J36" s="272"/>
      <c r="L36" s="249"/>
      <c r="N36" s="274"/>
      <c r="O36" s="274"/>
      <c r="P36" s="274"/>
      <c r="Q36" s="274"/>
      <c r="R36" s="249"/>
      <c r="S36" s="249"/>
      <c r="T36" s="249"/>
      <c r="U36" s="249"/>
      <c r="V36" s="249"/>
      <c r="W36" s="249"/>
      <c r="X36" s="255"/>
      <c r="Y36" s="249"/>
    </row>
    <row r="37" spans="1:28">
      <c r="A37" s="254">
        <v>20</v>
      </c>
      <c r="B37" s="2" t="s">
        <v>915</v>
      </c>
      <c r="C37" s="2" t="s">
        <v>918</v>
      </c>
      <c r="D37" s="2" t="s">
        <v>894</v>
      </c>
      <c r="E37" s="2" t="s">
        <v>894</v>
      </c>
      <c r="F37" s="272">
        <v>31.5</v>
      </c>
      <c r="G37" s="249">
        <f>+'WP-3 - Labor Analysis'!O37</f>
        <v>71843.45</v>
      </c>
      <c r="I37" s="272">
        <v>32.5</v>
      </c>
      <c r="J37" s="272">
        <v>34.130000000000003</v>
      </c>
      <c r="L37" s="249">
        <f>+'WP-3 - Labor Analysis'!N37</f>
        <v>2158.1699999999996</v>
      </c>
      <c r="N37" s="274">
        <f>(+'WP-3 - Labor Analysis'!E37+'WP-3 - Labor Analysis'!G37+'WP-3 - Labor Analysis'!H37+'WP-3 - Labor Analysis'!I37+'WP-3 - Labor Analysis'!J37+'WP-3 - Labor Analysis'!K37)*I37/26*$N$8</f>
        <v>2648.4249999999997</v>
      </c>
      <c r="O37" s="274">
        <f>(+'WP-3 - Labor Analysis'!E37+'WP-3 - Labor Analysis'!G37+'WP-3 - Labor Analysis'!H37+'WP-3 - Labor Analysis'!I37+'WP-3 - Labor Analysis'!J37+'WP-3 - Labor Analysis'!K37)*J37/26*$O$8</f>
        <v>69531.342499999999</v>
      </c>
      <c r="P37" s="274">
        <f>(+'WP-3 - Labor Analysis'!F37*I37*1.5)/26*$N$8</f>
        <v>73.931249999999991</v>
      </c>
      <c r="Q37" s="274">
        <f>(+'WP-3 - Labor Analysis'!F37*J37*1.5)/26*$O$8</f>
        <v>1940.9796634615386</v>
      </c>
      <c r="R37" s="249">
        <f>SUM(N37:Q37)</f>
        <v>74194.67841346153</v>
      </c>
      <c r="S37" s="249">
        <f>R37-G37</f>
        <v>2351.2284134615329</v>
      </c>
      <c r="T37" s="249">
        <f>IF(R37&gt;$T$7,$T$7*0.062,R37*0.062)+R37*0.0145</f>
        <v>5675.892898629807</v>
      </c>
      <c r="U37" s="249">
        <f>IF(R37&gt;7000,7000*0.006,R37*0.006)</f>
        <v>42</v>
      </c>
      <c r="V37" s="249">
        <f>IF(R37&gt;$V$7,$V$7*$V$8,+R37*$V$8)</f>
        <v>270.39999999999998</v>
      </c>
      <c r="W37" s="255">
        <f>$W$7*(+'WP-3 - Labor Analysis'!E37+'WP-3 - Labor Analysis'!F37)</f>
        <v>2351.3450509999998</v>
      </c>
      <c r="X37" s="255">
        <f>IF(D37="Y",R37*$X$9,0)</f>
        <v>2225.8403524038458</v>
      </c>
      <c r="Y37" s="249">
        <f>SUM(T37:X37)</f>
        <v>10565.478302033653</v>
      </c>
    </row>
    <row r="38" spans="1:28">
      <c r="A38" s="254">
        <v>21</v>
      </c>
      <c r="B38" s="2" t="s">
        <v>915</v>
      </c>
      <c r="C38" s="2" t="s">
        <v>918</v>
      </c>
      <c r="D38" s="2" t="s">
        <v>894</v>
      </c>
      <c r="E38" s="2" t="s">
        <v>894</v>
      </c>
      <c r="F38" s="272">
        <v>33</v>
      </c>
      <c r="G38" s="249">
        <f>+'WP-3 - Labor Analysis'!O38</f>
        <v>65875.77</v>
      </c>
      <c r="I38" s="272">
        <v>34</v>
      </c>
      <c r="J38" s="272">
        <v>35.700000000000003</v>
      </c>
      <c r="L38" s="249">
        <f>+'WP-3 - Labor Analysis'!N38</f>
        <v>1996.0900000000001</v>
      </c>
      <c r="N38" s="274">
        <f>(+'WP-3 - Labor Analysis'!E38+'WP-3 - Labor Analysis'!G38+'WP-3 - Labor Analysis'!H38+'WP-3 - Labor Analysis'!I38+'WP-3 - Labor Analysis'!J38+'WP-3 - Labor Analysis'!K38)*I38/26*$N$8</f>
        <v>2560.6184615384618</v>
      </c>
      <c r="O38" s="274">
        <f>(+'WP-3 - Labor Analysis'!E38+'WP-3 - Labor Analysis'!G38+'WP-3 - Labor Analysis'!H38+'WP-3 - Labor Analysis'!I38+'WP-3 - Labor Analysis'!J38+'WP-3 - Labor Analysis'!K38)*J38/26*$O$8</f>
        <v>67216.234615384616</v>
      </c>
      <c r="P38" s="274">
        <f>(+'WP-3 - Labor Analysis'!F38*I38*1.5)/26*$N$8</f>
        <v>74.479615384615386</v>
      </c>
      <c r="Q38" s="274">
        <f>(+'WP-3 - Labor Analysis'!F38*J38*1.5)/26*$O$8</f>
        <v>1955.0899038461537</v>
      </c>
      <c r="R38" s="249">
        <f>SUM(N38:Q38)</f>
        <v>71806.422596153832</v>
      </c>
      <c r="S38" s="249">
        <f>R38-G38</f>
        <v>5930.6525961538282</v>
      </c>
      <c r="T38" s="249">
        <f t="shared" ref="T38" si="11">IF(R38&gt;$T$7,$T$7*0.062,R38*0.062)+R38*0.0145</f>
        <v>5493.1913286057679</v>
      </c>
      <c r="U38" s="249">
        <f t="shared" ref="U38" si="12">IF(R38&gt;7000,7000*0.006,R38*0.006)</f>
        <v>42</v>
      </c>
      <c r="V38" s="249">
        <f t="shared" ref="V38" si="13">IF(R38&gt;$V$7,$V$7*$V$8,+R38*$V$8)</f>
        <v>270.39999999999998</v>
      </c>
      <c r="W38" s="255">
        <f>$W$7*(+'WP-3 - Labor Analysis'!E38+'WP-3 - Labor Analysis'!F38)</f>
        <v>2253.3626829999998</v>
      </c>
      <c r="X38" s="255">
        <f>IF(D38="Y",R38*$X$9,0)</f>
        <v>2154.192677884615</v>
      </c>
      <c r="Y38" s="249">
        <f t="shared" ref="Y38:Y40" si="14">SUM(T38:X38)</f>
        <v>10213.146689490382</v>
      </c>
      <c r="AB38" s="276"/>
    </row>
    <row r="39" spans="1:28">
      <c r="A39" s="254">
        <v>22</v>
      </c>
      <c r="B39" s="2" t="s">
        <v>915</v>
      </c>
      <c r="C39" s="2" t="s">
        <v>918</v>
      </c>
      <c r="D39" s="2" t="s">
        <v>76</v>
      </c>
      <c r="E39" s="2" t="s">
        <v>894</v>
      </c>
      <c r="F39" s="272">
        <v>25</v>
      </c>
      <c r="G39" s="249">
        <f>+'WP-3 - Labor Analysis'!O39</f>
        <v>50102.3</v>
      </c>
      <c r="I39" s="272">
        <v>0</v>
      </c>
      <c r="J39" s="272">
        <v>0</v>
      </c>
      <c r="L39" s="249">
        <v>0</v>
      </c>
      <c r="N39" s="274">
        <v>0</v>
      </c>
      <c r="O39" s="274">
        <v>0</v>
      </c>
      <c r="P39" s="274">
        <v>0</v>
      </c>
      <c r="Q39" s="274">
        <v>0</v>
      </c>
      <c r="R39" s="249">
        <f>SUM(N39:Q39)</f>
        <v>0</v>
      </c>
      <c r="S39" s="249">
        <f>R39-G39</f>
        <v>-50102.3</v>
      </c>
      <c r="T39" s="249">
        <f>IF(R39&gt;$T$7,$T$7*0.062,R39*0.062)+R39*0.0145</f>
        <v>0</v>
      </c>
      <c r="U39" s="249">
        <f>IF(R39&gt;7000,7000*0.006,R39*0.006)</f>
        <v>0</v>
      </c>
      <c r="V39" s="249">
        <f>IF(R39&gt;$V$7,$V$7*$V$8,+R39*$V$8)</f>
        <v>0</v>
      </c>
      <c r="W39" s="255">
        <v>0</v>
      </c>
      <c r="X39" s="255">
        <f>IF(D39="Y",R39*$X$9,0)</f>
        <v>0</v>
      </c>
      <c r="Y39" s="249">
        <f t="shared" si="14"/>
        <v>0</v>
      </c>
    </row>
    <row r="40" spans="1:28">
      <c r="A40" s="254">
        <v>23</v>
      </c>
      <c r="B40" s="2" t="s">
        <v>915</v>
      </c>
      <c r="C40" s="2" t="s">
        <v>918</v>
      </c>
      <c r="D40" s="2" t="s">
        <v>894</v>
      </c>
      <c r="E40" s="2" t="s">
        <v>894</v>
      </c>
      <c r="F40" s="272">
        <v>33.5</v>
      </c>
      <c r="G40" s="249">
        <f>+'WP-3 - Labor Analysis'!O40</f>
        <v>72571.100000000006</v>
      </c>
      <c r="I40" s="272">
        <v>0</v>
      </c>
      <c r="J40" s="272">
        <v>0</v>
      </c>
      <c r="L40" s="249">
        <v>0</v>
      </c>
      <c r="N40" s="274">
        <v>0</v>
      </c>
      <c r="O40" s="274">
        <v>0</v>
      </c>
      <c r="P40" s="274">
        <v>0</v>
      </c>
      <c r="Q40" s="274">
        <v>0</v>
      </c>
      <c r="R40" s="249">
        <f>SUM(N40:Q40)</f>
        <v>0</v>
      </c>
      <c r="S40" s="249">
        <f>R40-G40</f>
        <v>-72571.100000000006</v>
      </c>
      <c r="T40" s="249">
        <f>IF(R40&gt;$T$7,$T$7*0.062,R40*0.062)+R40*0.0145</f>
        <v>0</v>
      </c>
      <c r="U40" s="249">
        <f>IF(R40&gt;7000,7000*0.006,R40*0.006)</f>
        <v>0</v>
      </c>
      <c r="V40" s="249">
        <f>IF(R40&gt;$V$7,$V$7*$V$8,+R40*$V$8)</f>
        <v>0</v>
      </c>
      <c r="W40" s="255">
        <v>0</v>
      </c>
      <c r="X40" s="255">
        <f>IF(D40="Y",R40*$X$9,0)</f>
        <v>0</v>
      </c>
      <c r="Y40" s="249">
        <f t="shared" si="14"/>
        <v>0</v>
      </c>
    </row>
    <row r="41" spans="1:28">
      <c r="A41" s="256" t="s">
        <v>896</v>
      </c>
      <c r="F41" s="272"/>
      <c r="G41" s="273">
        <f>SUM(G37:G40)</f>
        <v>260392.62000000002</v>
      </c>
      <c r="I41" s="272"/>
      <c r="J41" s="272"/>
      <c r="L41" s="273">
        <f>SUM(L37:L40)</f>
        <v>4154.26</v>
      </c>
      <c r="N41" s="274"/>
      <c r="O41" s="274"/>
      <c r="P41" s="274"/>
      <c r="Q41" s="274"/>
      <c r="R41" s="249"/>
      <c r="S41" s="612">
        <f>SUM(S37:S40)</f>
        <v>-114391.51899038465</v>
      </c>
      <c r="T41" s="249"/>
      <c r="U41" s="249"/>
      <c r="V41" s="249"/>
      <c r="W41" s="249"/>
      <c r="X41" s="255"/>
      <c r="Y41" s="249"/>
      <c r="AB41" s="275"/>
    </row>
    <row r="42" spans="1:28">
      <c r="A42" s="254"/>
      <c r="F42" s="272"/>
      <c r="G42" s="249"/>
      <c r="I42" s="272"/>
      <c r="J42" s="272"/>
      <c r="L42" s="249"/>
      <c r="N42" s="274"/>
      <c r="O42" s="274"/>
      <c r="P42" s="274"/>
      <c r="Q42" s="274"/>
      <c r="R42" s="249"/>
      <c r="S42" s="249"/>
      <c r="T42" s="249"/>
      <c r="U42" s="249"/>
      <c r="V42" s="249"/>
      <c r="W42" s="249"/>
      <c r="X42" s="255"/>
      <c r="Y42" s="249"/>
    </row>
    <row r="43" spans="1:28">
      <c r="A43" s="254">
        <v>24</v>
      </c>
      <c r="B43" s="2" t="s">
        <v>915</v>
      </c>
      <c r="C43" s="2" t="s">
        <v>918</v>
      </c>
      <c r="D43" s="2" t="s">
        <v>894</v>
      </c>
      <c r="E43" s="2" t="s">
        <v>894</v>
      </c>
      <c r="F43" s="272">
        <v>33</v>
      </c>
      <c r="G43" s="249">
        <f>+'WP-3 - Labor Analysis'!O43</f>
        <v>6749.75</v>
      </c>
      <c r="I43" s="272">
        <v>33</v>
      </c>
      <c r="J43" s="272">
        <v>33</v>
      </c>
      <c r="L43" s="249">
        <f>+'WP-3 - Labor Analysis'!N43</f>
        <v>207.38</v>
      </c>
      <c r="N43" s="274">
        <f>+L43*I43/26*$N$8</f>
        <v>263.21307692307693</v>
      </c>
      <c r="O43" s="274">
        <f>+L43*J43/26*$O$8</f>
        <v>6580.3269230769229</v>
      </c>
      <c r="P43" s="274">
        <v>0</v>
      </c>
      <c r="Q43" s="274">
        <v>0</v>
      </c>
      <c r="R43" s="249">
        <f t="shared" ref="R43:R52" si="15">SUM(N43:Q43)</f>
        <v>6843.54</v>
      </c>
      <c r="S43" s="249">
        <f t="shared" ref="S43:S52" si="16">R43-G43</f>
        <v>93.789999999999964</v>
      </c>
      <c r="T43" s="249">
        <f t="shared" ref="T43:T52" si="17">IF(R43&gt;$T$7,$T$7*0.062,R43*0.062)+R43*0.0145</f>
        <v>523.53080999999997</v>
      </c>
      <c r="U43" s="249">
        <f t="shared" ref="U43:U52" si="18">IF(R43&gt;7000,7000*0.006,R43*0.006)</f>
        <v>41.061239999999998</v>
      </c>
      <c r="V43" s="249">
        <f t="shared" ref="V43:V52" si="19">IF(R43&gt;$V$7,$V$7*$V$8,+R43*$V$8)</f>
        <v>27.37416</v>
      </c>
      <c r="W43" s="255">
        <f>$W$7*(+'WP-3 - Labor Analysis'!E43+'WP-3 - Labor Analysis'!F43)</f>
        <v>252.98286199999998</v>
      </c>
      <c r="X43" s="255">
        <f t="shared" ref="X43:X52" si="20">IF(D43="Y",R43*$X$9,0)</f>
        <v>205.30619999999999</v>
      </c>
      <c r="Y43" s="249">
        <f>SUM(T43:X43)</f>
        <v>1050.2552719999999</v>
      </c>
    </row>
    <row r="44" spans="1:28">
      <c r="A44" s="254">
        <v>25</v>
      </c>
      <c r="B44" s="2" t="s">
        <v>915</v>
      </c>
      <c r="C44" s="2" t="s">
        <v>919</v>
      </c>
      <c r="D44" s="2" t="s">
        <v>76</v>
      </c>
      <c r="E44" s="2" t="s">
        <v>76</v>
      </c>
      <c r="F44" s="272">
        <v>23</v>
      </c>
      <c r="G44" s="249">
        <f>+'WP-3 - Labor Analysis'!O44</f>
        <v>13785.72</v>
      </c>
      <c r="I44" s="272">
        <v>25</v>
      </c>
      <c r="J44" s="272">
        <v>26.25</v>
      </c>
      <c r="L44" s="249">
        <v>2080</v>
      </c>
      <c r="N44" s="274">
        <f>+L44*I44/26*$N$8</f>
        <v>2000</v>
      </c>
      <c r="O44" s="274">
        <f>+L44*J44/26*$O$8</f>
        <v>52500</v>
      </c>
      <c r="P44" s="274">
        <v>0</v>
      </c>
      <c r="Q44" s="274">
        <v>0</v>
      </c>
      <c r="R44" s="249">
        <f t="shared" si="15"/>
        <v>54500</v>
      </c>
      <c r="S44" s="249">
        <f t="shared" si="16"/>
        <v>40714.28</v>
      </c>
      <c r="T44" s="249">
        <f t="shared" si="17"/>
        <v>4169.25</v>
      </c>
      <c r="U44" s="249">
        <f t="shared" si="18"/>
        <v>42</v>
      </c>
      <c r="V44" s="249">
        <f t="shared" si="19"/>
        <v>218</v>
      </c>
      <c r="W44" s="255">
        <f>$W$7*L44</f>
        <v>2537.3919999999998</v>
      </c>
      <c r="X44" s="255">
        <f t="shared" si="20"/>
        <v>0</v>
      </c>
      <c r="Y44" s="249">
        <f t="shared" ref="Y44:Y52" si="21">SUM(T44:X44)</f>
        <v>6966.6419999999998</v>
      </c>
    </row>
    <row r="45" spans="1:28">
      <c r="A45" s="254">
        <v>26</v>
      </c>
      <c r="B45" s="2" t="s">
        <v>915</v>
      </c>
      <c r="C45" s="2" t="s">
        <v>995</v>
      </c>
      <c r="D45" s="2" t="s">
        <v>76</v>
      </c>
      <c r="E45" s="2" t="s">
        <v>76</v>
      </c>
      <c r="F45" s="272">
        <v>20.5</v>
      </c>
      <c r="G45" s="249">
        <f>+'WP-3 - Labor Analysis'!O45</f>
        <v>4267.28</v>
      </c>
      <c r="I45" s="272"/>
      <c r="J45" s="272"/>
      <c r="L45" s="249">
        <v>0</v>
      </c>
      <c r="N45" s="274">
        <v>0</v>
      </c>
      <c r="O45" s="274">
        <v>0</v>
      </c>
      <c r="P45" s="274">
        <v>0</v>
      </c>
      <c r="Q45" s="274">
        <v>0</v>
      </c>
      <c r="R45" s="249">
        <f t="shared" si="15"/>
        <v>0</v>
      </c>
      <c r="S45" s="249">
        <f t="shared" si="16"/>
        <v>-4267.28</v>
      </c>
      <c r="T45" s="249">
        <f t="shared" si="17"/>
        <v>0</v>
      </c>
      <c r="U45" s="249">
        <f t="shared" si="18"/>
        <v>0</v>
      </c>
      <c r="V45" s="249">
        <f t="shared" si="19"/>
        <v>0</v>
      </c>
      <c r="W45" s="255">
        <f>$W$7*L45</f>
        <v>0</v>
      </c>
      <c r="X45" s="255">
        <f t="shared" si="20"/>
        <v>0</v>
      </c>
      <c r="Y45" s="249">
        <f t="shared" si="21"/>
        <v>0</v>
      </c>
    </row>
    <row r="46" spans="1:28">
      <c r="A46" s="254">
        <v>27</v>
      </c>
      <c r="B46" s="2" t="s">
        <v>915</v>
      </c>
      <c r="C46" s="2" t="s">
        <v>914</v>
      </c>
      <c r="D46" s="2" t="s">
        <v>76</v>
      </c>
      <c r="E46" s="2" t="s">
        <v>76</v>
      </c>
      <c r="F46" s="272">
        <v>20</v>
      </c>
      <c r="G46" s="249">
        <f>+'WP-3 - Labor Analysis'!O46</f>
        <v>2591.6</v>
      </c>
      <c r="I46" s="272">
        <v>22</v>
      </c>
      <c r="J46" s="272">
        <v>22</v>
      </c>
      <c r="L46" s="249">
        <f>+'WP-3 - Labor Analysis'!N46</f>
        <v>129.58000000000001</v>
      </c>
      <c r="N46" s="274">
        <f>+L46*I46/26*$N$8</f>
        <v>109.64461538461539</v>
      </c>
      <c r="O46" s="274">
        <f>+L46*J46/26*$O$8</f>
        <v>2741.1153846153848</v>
      </c>
      <c r="P46" s="274">
        <v>0</v>
      </c>
      <c r="Q46" s="274">
        <v>0</v>
      </c>
      <c r="R46" s="249">
        <f t="shared" si="15"/>
        <v>2850.76</v>
      </c>
      <c r="S46" s="249">
        <f t="shared" si="16"/>
        <v>259.16000000000031</v>
      </c>
      <c r="T46" s="249">
        <f t="shared" si="17"/>
        <v>218.08314000000001</v>
      </c>
      <c r="U46" s="249">
        <f t="shared" si="18"/>
        <v>17.104560000000003</v>
      </c>
      <c r="V46" s="249">
        <f t="shared" si="19"/>
        <v>11.403040000000001</v>
      </c>
      <c r="W46" s="255">
        <f>$W$7*(+'WP-3 - Labor Analysis'!E46+'WP-3 - Labor Analysis'!F46)</f>
        <v>158.07464200000001</v>
      </c>
      <c r="X46" s="255">
        <f t="shared" si="20"/>
        <v>0</v>
      </c>
      <c r="Y46" s="249">
        <f t="shared" si="21"/>
        <v>404.66538200000002</v>
      </c>
    </row>
    <row r="47" spans="1:28">
      <c r="A47" s="254">
        <v>28</v>
      </c>
      <c r="B47" s="2" t="s">
        <v>915</v>
      </c>
      <c r="C47" s="2" t="s">
        <v>998</v>
      </c>
      <c r="D47" s="2" t="s">
        <v>894</v>
      </c>
      <c r="E47" s="2" t="s">
        <v>76</v>
      </c>
      <c r="F47" s="272">
        <v>28</v>
      </c>
      <c r="G47" s="249">
        <f>+'WP-3 - Labor Analysis'!O47</f>
        <v>18265.11</v>
      </c>
      <c r="I47" s="272"/>
      <c r="J47" s="272"/>
      <c r="L47" s="249">
        <v>0</v>
      </c>
      <c r="N47" s="274">
        <v>0</v>
      </c>
      <c r="O47" s="274">
        <v>0</v>
      </c>
      <c r="P47" s="274">
        <v>0</v>
      </c>
      <c r="Q47" s="274">
        <v>0</v>
      </c>
      <c r="R47" s="249">
        <f t="shared" si="15"/>
        <v>0</v>
      </c>
      <c r="S47" s="249">
        <f t="shared" si="16"/>
        <v>-18265.11</v>
      </c>
      <c r="T47" s="249">
        <f t="shared" si="17"/>
        <v>0</v>
      </c>
      <c r="U47" s="249">
        <f t="shared" si="18"/>
        <v>0</v>
      </c>
      <c r="V47" s="249">
        <f t="shared" si="19"/>
        <v>0</v>
      </c>
      <c r="W47" s="255">
        <v>0</v>
      </c>
      <c r="X47" s="255">
        <f t="shared" si="20"/>
        <v>0</v>
      </c>
      <c r="Y47" s="249">
        <f t="shared" si="21"/>
        <v>0</v>
      </c>
    </row>
    <row r="48" spans="1:28">
      <c r="A48" s="254">
        <v>29</v>
      </c>
      <c r="B48" s="2" t="s">
        <v>915</v>
      </c>
      <c r="C48" s="2" t="s">
        <v>994</v>
      </c>
      <c r="D48" s="2" t="s">
        <v>76</v>
      </c>
      <c r="E48" s="2" t="s">
        <v>76</v>
      </c>
      <c r="F48" s="272">
        <v>24</v>
      </c>
      <c r="G48" s="249">
        <f>+'WP-3 - Labor Analysis'!O48</f>
        <v>28555.89</v>
      </c>
      <c r="I48" s="272"/>
      <c r="J48" s="272"/>
      <c r="L48" s="249">
        <v>0</v>
      </c>
      <c r="N48" s="274">
        <v>0</v>
      </c>
      <c r="O48" s="274">
        <v>0</v>
      </c>
      <c r="P48" s="274">
        <v>0</v>
      </c>
      <c r="Q48" s="274">
        <v>0</v>
      </c>
      <c r="R48" s="249">
        <f t="shared" si="15"/>
        <v>0</v>
      </c>
      <c r="S48" s="249">
        <f t="shared" si="16"/>
        <v>-28555.89</v>
      </c>
      <c r="T48" s="249">
        <f t="shared" si="17"/>
        <v>0</v>
      </c>
      <c r="U48" s="249">
        <f t="shared" si="18"/>
        <v>0</v>
      </c>
      <c r="V48" s="249">
        <f t="shared" si="19"/>
        <v>0</v>
      </c>
      <c r="W48" s="255">
        <v>0</v>
      </c>
      <c r="X48" s="255">
        <f t="shared" si="20"/>
        <v>0</v>
      </c>
      <c r="Y48" s="249">
        <f t="shared" si="21"/>
        <v>0</v>
      </c>
    </row>
    <row r="49" spans="1:27">
      <c r="A49" s="254">
        <v>30</v>
      </c>
      <c r="B49" s="2" t="s">
        <v>915</v>
      </c>
      <c r="C49" s="2" t="s">
        <v>999</v>
      </c>
      <c r="D49" s="2" t="s">
        <v>76</v>
      </c>
      <c r="E49" s="2" t="s">
        <v>76</v>
      </c>
      <c r="F49" s="272">
        <v>18</v>
      </c>
      <c r="G49" s="249">
        <f>+'WP-3 - Labor Analysis'!O49</f>
        <v>1575.36</v>
      </c>
      <c r="I49" s="272">
        <v>0</v>
      </c>
      <c r="J49" s="272">
        <v>0</v>
      </c>
      <c r="L49" s="249">
        <f>+'WP-3 - Labor Analysis'!N15/12*0</f>
        <v>0</v>
      </c>
      <c r="N49" s="274">
        <v>0</v>
      </c>
      <c r="O49" s="274">
        <v>0</v>
      </c>
      <c r="P49" s="274">
        <v>0</v>
      </c>
      <c r="Q49" s="274">
        <v>0</v>
      </c>
      <c r="R49" s="249">
        <f t="shared" si="15"/>
        <v>0</v>
      </c>
      <c r="S49" s="249">
        <f t="shared" si="16"/>
        <v>-1575.36</v>
      </c>
      <c r="T49" s="249">
        <f t="shared" si="17"/>
        <v>0</v>
      </c>
      <c r="U49" s="249">
        <f t="shared" si="18"/>
        <v>0</v>
      </c>
      <c r="V49" s="249">
        <f t="shared" si="19"/>
        <v>0</v>
      </c>
      <c r="W49" s="255">
        <v>0</v>
      </c>
      <c r="X49" s="255">
        <f t="shared" si="20"/>
        <v>0</v>
      </c>
      <c r="Y49" s="249">
        <f t="shared" si="21"/>
        <v>0</v>
      </c>
    </row>
    <row r="50" spans="1:27">
      <c r="A50" s="254">
        <v>31</v>
      </c>
      <c r="B50" s="2" t="s">
        <v>915</v>
      </c>
      <c r="C50" s="2" t="s">
        <v>1000</v>
      </c>
      <c r="D50" s="2" t="s">
        <v>76</v>
      </c>
      <c r="E50" s="2" t="s">
        <v>76</v>
      </c>
      <c r="F50" s="272">
        <v>19</v>
      </c>
      <c r="G50" s="249">
        <f>+'WP-3 - Labor Analysis'!O50</f>
        <v>1020.11</v>
      </c>
      <c r="I50" s="272">
        <v>0</v>
      </c>
      <c r="J50" s="272">
        <v>0</v>
      </c>
      <c r="L50" s="249">
        <f>+'WP-3 - Labor Analysis'!N17/12*0</f>
        <v>0</v>
      </c>
      <c r="N50" s="274">
        <v>0</v>
      </c>
      <c r="O50" s="274">
        <v>0</v>
      </c>
      <c r="P50" s="274">
        <v>0</v>
      </c>
      <c r="Q50" s="274">
        <v>0</v>
      </c>
      <c r="R50" s="249">
        <f t="shared" si="15"/>
        <v>0</v>
      </c>
      <c r="S50" s="249">
        <f t="shared" si="16"/>
        <v>-1020.11</v>
      </c>
      <c r="T50" s="249">
        <f t="shared" si="17"/>
        <v>0</v>
      </c>
      <c r="U50" s="249">
        <f t="shared" si="18"/>
        <v>0</v>
      </c>
      <c r="V50" s="249">
        <f t="shared" si="19"/>
        <v>0</v>
      </c>
      <c r="W50" s="255">
        <v>0</v>
      </c>
      <c r="X50" s="255">
        <f t="shared" si="20"/>
        <v>0</v>
      </c>
      <c r="Y50" s="249">
        <f t="shared" si="21"/>
        <v>0</v>
      </c>
    </row>
    <row r="51" spans="1:27">
      <c r="A51" s="254">
        <v>32</v>
      </c>
      <c r="B51" s="2" t="s">
        <v>915</v>
      </c>
      <c r="C51" s="2" t="s">
        <v>918</v>
      </c>
      <c r="D51" s="2" t="s">
        <v>76</v>
      </c>
      <c r="E51" s="2" t="s">
        <v>76</v>
      </c>
      <c r="F51" s="272">
        <v>20</v>
      </c>
      <c r="G51" s="249">
        <f>+'WP-3 - Labor Analysis'!O51</f>
        <v>8743.43</v>
      </c>
      <c r="I51" s="272">
        <v>23</v>
      </c>
      <c r="J51" s="272">
        <v>23</v>
      </c>
      <c r="L51" s="249">
        <f>+'WP-3 - Labor Analysis'!N51</f>
        <v>438.10999999999996</v>
      </c>
      <c r="N51" s="274">
        <f>+L51*I51/26*$N$8</f>
        <v>387.5588461538461</v>
      </c>
      <c r="O51" s="274">
        <f>+L51*J51/26*$O$8</f>
        <v>9688.9711538461524</v>
      </c>
      <c r="P51" s="274">
        <v>0</v>
      </c>
      <c r="Q51" s="274">
        <v>0</v>
      </c>
      <c r="R51" s="249">
        <f t="shared" si="15"/>
        <v>10076.529999999999</v>
      </c>
      <c r="S51" s="249">
        <f t="shared" si="16"/>
        <v>1333.0999999999985</v>
      </c>
      <c r="T51" s="249">
        <f t="shared" si="17"/>
        <v>770.85454499999992</v>
      </c>
      <c r="U51" s="249">
        <f t="shared" si="18"/>
        <v>42</v>
      </c>
      <c r="V51" s="249">
        <f t="shared" si="19"/>
        <v>40.306119999999993</v>
      </c>
      <c r="W51" s="255">
        <f>$W$7*(+'WP-3 - Labor Analysis'!E51+'WP-3 - Labor Analysis'!F51)</f>
        <v>514.93198899999993</v>
      </c>
      <c r="X51" s="255">
        <f t="shared" si="20"/>
        <v>0</v>
      </c>
      <c r="Y51" s="249">
        <f t="shared" si="21"/>
        <v>1368.0926539999998</v>
      </c>
    </row>
    <row r="52" spans="1:27">
      <c r="A52" s="254">
        <v>33</v>
      </c>
      <c r="B52" s="2" t="s">
        <v>915</v>
      </c>
      <c r="C52" s="2" t="s">
        <v>1000</v>
      </c>
      <c r="D52" s="2" t="s">
        <v>76</v>
      </c>
      <c r="E52" s="2" t="s">
        <v>76</v>
      </c>
      <c r="F52" s="272">
        <v>20</v>
      </c>
      <c r="G52" s="249">
        <f>+'WP-3 - Labor Analysis'!O52</f>
        <v>2197.9699999999998</v>
      </c>
      <c r="I52" s="272"/>
      <c r="J52" s="272"/>
      <c r="L52" s="249">
        <f>+'WP-3 - Labor Analysis'!N24/12*0</f>
        <v>0</v>
      </c>
      <c r="N52" s="274">
        <v>0</v>
      </c>
      <c r="O52" s="274">
        <v>0</v>
      </c>
      <c r="P52" s="274">
        <v>0</v>
      </c>
      <c r="Q52" s="274">
        <v>0</v>
      </c>
      <c r="R52" s="249">
        <f t="shared" si="15"/>
        <v>0</v>
      </c>
      <c r="S52" s="249">
        <f t="shared" si="16"/>
        <v>-2197.9699999999998</v>
      </c>
      <c r="T52" s="249">
        <f t="shared" si="17"/>
        <v>0</v>
      </c>
      <c r="U52" s="249">
        <f t="shared" si="18"/>
        <v>0</v>
      </c>
      <c r="V52" s="249">
        <f t="shared" si="19"/>
        <v>0</v>
      </c>
      <c r="W52" s="255">
        <v>0</v>
      </c>
      <c r="X52" s="255">
        <f t="shared" si="20"/>
        <v>0</v>
      </c>
      <c r="Y52" s="249">
        <f t="shared" si="21"/>
        <v>0</v>
      </c>
    </row>
    <row r="53" spans="1:27" s="2" customFormat="1">
      <c r="A53" s="256" t="s">
        <v>987</v>
      </c>
      <c r="F53" s="272"/>
      <c r="G53" s="273">
        <f>SUM(G43:G52)</f>
        <v>87752.22</v>
      </c>
      <c r="H53" s="1"/>
      <c r="I53" s="272"/>
      <c r="J53" s="272"/>
      <c r="L53" s="273">
        <f>SUM(L43:L52)</f>
        <v>2855.07</v>
      </c>
      <c r="N53" s="274"/>
      <c r="O53" s="274"/>
      <c r="P53" s="274"/>
      <c r="Q53" s="274"/>
      <c r="R53" s="249"/>
      <c r="S53" s="612">
        <f>SUM(S43:S52)</f>
        <v>-13481.389999999998</v>
      </c>
      <c r="T53" s="249"/>
      <c r="U53" s="249"/>
      <c r="V53" s="249"/>
      <c r="W53" s="249"/>
      <c r="X53" s="255"/>
      <c r="Y53" s="249"/>
      <c r="Z53" s="1"/>
      <c r="AA53" s="267"/>
    </row>
    <row r="54" spans="1:27" ht="17.25" customHeight="1">
      <c r="A54" s="254"/>
      <c r="F54" s="272"/>
      <c r="G54" s="249"/>
      <c r="I54" s="272"/>
      <c r="J54" s="272"/>
      <c r="L54" s="249"/>
      <c r="N54" s="274"/>
      <c r="O54" s="274"/>
      <c r="P54" s="274"/>
      <c r="Q54" s="274"/>
      <c r="R54" s="249"/>
      <c r="S54" s="249"/>
      <c r="T54" s="249"/>
      <c r="U54" s="249"/>
      <c r="V54" s="249"/>
      <c r="W54" s="249"/>
      <c r="X54" s="255"/>
      <c r="Y54" s="249"/>
    </row>
    <row r="55" spans="1:27">
      <c r="A55" s="254">
        <v>34</v>
      </c>
      <c r="B55" s="2" t="s">
        <v>915</v>
      </c>
      <c r="C55" s="2" t="s">
        <v>918</v>
      </c>
      <c r="D55" s="2" t="s">
        <v>894</v>
      </c>
      <c r="E55" s="2" t="s">
        <v>894</v>
      </c>
      <c r="F55" s="272">
        <v>36</v>
      </c>
      <c r="G55" s="249">
        <f>+'WP-3 - Labor Analysis'!O55</f>
        <v>76934.06</v>
      </c>
      <c r="I55" s="272">
        <v>36</v>
      </c>
      <c r="J55" s="272">
        <v>37.799999999999997</v>
      </c>
      <c r="L55" s="249">
        <f>+'WP-3 - Labor Analysis'!N55</f>
        <v>2037.6200000000001</v>
      </c>
      <c r="N55" s="274">
        <f>(+'WP-3 - Labor Analysis'!E55+'WP-3 - Labor Analysis'!G55+'WP-3 - Labor Analysis'!H55+'WP-3 - Labor Analysis'!I55+'WP-3 - Labor Analysis'!J55+'WP-3 - Labor Analysis'!K55)*I55/26*$N$8</f>
        <v>2815.1861538461535</v>
      </c>
      <c r="O55" s="274">
        <f>(+'WP-3 - Labor Analysis'!E55+'WP-3 - Labor Analysis'!G55+'WP-3 - Labor Analysis'!H55+'WP-3 - Labor Analysis'!I55+'WP-3 - Labor Analysis'!J55+'WP-3 - Labor Analysis'!K55)*J55/26*$O$8</f>
        <v>73898.636538461535</v>
      </c>
      <c r="P55" s="274">
        <f>(+'WP-3 - Labor Analysis'!F55*I55*1.5)/26*$N$8</f>
        <v>9.2007692307692288</v>
      </c>
      <c r="Q55" s="274">
        <f>(+'WP-3 - Labor Analysis'!F55*J55*1.5)/26*$O$8</f>
        <v>241.5201923076923</v>
      </c>
      <c r="R55" s="249">
        <f>SUM(N55:Q55)</f>
        <v>76964.543653846151</v>
      </c>
      <c r="S55" s="249">
        <f>R55-G55</f>
        <v>30.483653846153175</v>
      </c>
      <c r="T55" s="249">
        <f t="shared" ref="T55" si="22">IF(R55&gt;$T$7,$T$7*0.062,R55*0.062)+R55*0.0145</f>
        <v>5887.7875895192301</v>
      </c>
      <c r="U55" s="249">
        <f t="shared" ref="U55" si="23">IF(R55&gt;7000,7000*0.006,R55*0.006)</f>
        <v>42</v>
      </c>
      <c r="V55" s="249">
        <f t="shared" ref="V55" si="24">IF(R55&gt;$V$7,$V$7*$V$8,+R55*$V$8)</f>
        <v>270.39999999999998</v>
      </c>
      <c r="W55" s="255">
        <f>$W$7*(+'WP-3 - Labor Analysis'!E55+'WP-3 - Labor Analysis'!F55)</f>
        <v>2207.8604130000003</v>
      </c>
      <c r="X55" s="255">
        <v>1300</v>
      </c>
      <c r="Y55" s="249">
        <f>SUM(T55:X55)</f>
        <v>9708.0480025192301</v>
      </c>
    </row>
    <row r="56" spans="1:27">
      <c r="A56" s="256" t="s">
        <v>893</v>
      </c>
      <c r="F56" s="272"/>
      <c r="G56" s="273">
        <f>SUM(G55)</f>
        <v>76934.06</v>
      </c>
      <c r="I56" s="272"/>
      <c r="J56" s="272"/>
      <c r="L56" s="273">
        <f>SUM(L55:L55)</f>
        <v>2037.6200000000001</v>
      </c>
      <c r="N56" s="274"/>
      <c r="O56" s="274"/>
      <c r="P56" s="274"/>
      <c r="Q56" s="274"/>
      <c r="R56" s="249"/>
      <c r="S56" s="612">
        <f>SUM(S55)</f>
        <v>30.483653846153175</v>
      </c>
      <c r="T56" s="249"/>
      <c r="U56" s="249"/>
      <c r="V56" s="249"/>
      <c r="W56" s="249"/>
      <c r="X56" s="255"/>
      <c r="Y56" s="249"/>
    </row>
    <row r="57" spans="1:27">
      <c r="A57" s="256"/>
      <c r="F57" s="272"/>
      <c r="G57" s="249"/>
      <c r="I57" s="272"/>
      <c r="J57" s="272"/>
      <c r="L57" s="249"/>
      <c r="N57" s="274"/>
      <c r="O57" s="274"/>
      <c r="P57" s="274"/>
      <c r="Q57" s="274"/>
      <c r="R57" s="249"/>
      <c r="S57" s="249"/>
      <c r="T57" s="249"/>
      <c r="U57" s="249"/>
      <c r="V57" s="249"/>
      <c r="W57" s="249"/>
      <c r="X57" s="255"/>
      <c r="Y57" s="249"/>
    </row>
    <row r="58" spans="1:27">
      <c r="A58" s="254">
        <v>35</v>
      </c>
      <c r="B58" s="2" t="s">
        <v>915</v>
      </c>
      <c r="C58" s="2" t="s">
        <v>917</v>
      </c>
      <c r="D58" s="2" t="s">
        <v>76</v>
      </c>
      <c r="E58" s="2" t="s">
        <v>76</v>
      </c>
      <c r="F58" s="272">
        <v>0</v>
      </c>
      <c r="G58" s="249">
        <v>0</v>
      </c>
      <c r="I58" s="272">
        <v>23</v>
      </c>
      <c r="J58" s="272">
        <v>24.15</v>
      </c>
      <c r="L58" s="249">
        <v>2056</v>
      </c>
      <c r="N58" s="274">
        <f>+L58*I58/26*$N$8</f>
        <v>1818.7692307692307</v>
      </c>
      <c r="O58" s="274">
        <f>+L58*J58/26*$O$8</f>
        <v>47742.692307692298</v>
      </c>
      <c r="P58" s="274">
        <v>0</v>
      </c>
      <c r="Q58" s="274">
        <v>0</v>
      </c>
      <c r="R58" s="249">
        <f>SUM(N58:Q58)</f>
        <v>49561.461538461532</v>
      </c>
      <c r="S58" s="249">
        <f>R58-G58</f>
        <v>49561.461538461532</v>
      </c>
      <c r="T58" s="249">
        <f t="shared" ref="T58:T61" si="25">IF(R58&gt;$T$7,$T$7*0.062,R58*0.062)+R58*0.0145</f>
        <v>3791.4518076923068</v>
      </c>
      <c r="U58" s="249">
        <f t="shared" ref="U58:U61" si="26">IF(R58&gt;7000,7000*0.006,R58*0.006)</f>
        <v>42</v>
      </c>
      <c r="V58" s="249">
        <f t="shared" ref="V58:V61" si="27">IF(R58&gt;$V$7,$V$7*$V$8,+R58*$V$8)</f>
        <v>198.24584615384614</v>
      </c>
      <c r="W58" s="255">
        <f>$W$7*L58</f>
        <v>2508.1143999999999</v>
      </c>
      <c r="X58" s="255">
        <f>IF(D58="Y",R58*$X$9,0)</f>
        <v>0</v>
      </c>
      <c r="Y58" s="249">
        <f>SUM(T58:X58)</f>
        <v>6539.8120538461535</v>
      </c>
    </row>
    <row r="59" spans="1:27">
      <c r="A59" s="254">
        <v>36</v>
      </c>
      <c r="B59" s="2" t="s">
        <v>915</v>
      </c>
      <c r="C59" s="2" t="s">
        <v>914</v>
      </c>
      <c r="D59" s="2" t="s">
        <v>76</v>
      </c>
      <c r="E59" s="2" t="s">
        <v>76</v>
      </c>
      <c r="F59" s="272">
        <v>0</v>
      </c>
      <c r="G59" s="249">
        <v>0</v>
      </c>
      <c r="I59" s="272">
        <v>23</v>
      </c>
      <c r="J59" s="272">
        <v>24.15</v>
      </c>
      <c r="L59" s="249">
        <v>31.62</v>
      </c>
      <c r="N59" s="274">
        <f>+L59*I59/26*$N$8</f>
        <v>27.971538461538461</v>
      </c>
      <c r="O59" s="274">
        <f>+L59*J59/26*$O$8</f>
        <v>734.25288461538457</v>
      </c>
      <c r="P59" s="274">
        <v>0</v>
      </c>
      <c r="Q59" s="274">
        <v>0</v>
      </c>
      <c r="R59" s="249">
        <f>SUM(N59:Q59)</f>
        <v>762.22442307692302</v>
      </c>
      <c r="S59" s="249">
        <f>R59-G59</f>
        <v>762.22442307692302</v>
      </c>
      <c r="T59" s="249">
        <f t="shared" si="25"/>
        <v>58.310168365384612</v>
      </c>
      <c r="U59" s="249">
        <f t="shared" si="26"/>
        <v>4.5733465384615384</v>
      </c>
      <c r="V59" s="249">
        <f t="shared" si="27"/>
        <v>3.0488976923076923</v>
      </c>
      <c r="W59" s="255">
        <f>$W$7*L59</f>
        <v>38.573238000000003</v>
      </c>
      <c r="X59" s="255">
        <f>IF(D59="Y",R59*$X$9,0)</f>
        <v>0</v>
      </c>
      <c r="Y59" s="249">
        <f t="shared" ref="Y59:Y61" si="28">SUM(T59:X59)</f>
        <v>104.50565059615384</v>
      </c>
    </row>
    <row r="60" spans="1:27">
      <c r="A60" s="254">
        <v>37</v>
      </c>
      <c r="B60" s="2" t="s">
        <v>915</v>
      </c>
      <c r="C60" s="2" t="s">
        <v>916</v>
      </c>
      <c r="D60" s="2" t="s">
        <v>76</v>
      </c>
      <c r="E60" s="2" t="s">
        <v>76</v>
      </c>
      <c r="F60" s="272">
        <v>0</v>
      </c>
      <c r="G60" s="249">
        <v>0</v>
      </c>
      <c r="I60" s="272">
        <v>33</v>
      </c>
      <c r="J60" s="272">
        <v>33</v>
      </c>
      <c r="L60" s="249">
        <v>2080</v>
      </c>
      <c r="N60" s="274">
        <f>+L60*I60/26*$N$8</f>
        <v>2640</v>
      </c>
      <c r="O60" s="274">
        <f>+L60*J60/26*$O$8</f>
        <v>66000</v>
      </c>
      <c r="P60" s="274">
        <v>0</v>
      </c>
      <c r="Q60" s="274">
        <v>0</v>
      </c>
      <c r="R60" s="249">
        <f>SUM(N60:Q60)</f>
        <v>68640</v>
      </c>
      <c r="S60" s="249">
        <f>R60-G60</f>
        <v>68640</v>
      </c>
      <c r="T60" s="249">
        <f t="shared" si="25"/>
        <v>5250.96</v>
      </c>
      <c r="U60" s="249">
        <f t="shared" si="26"/>
        <v>42</v>
      </c>
      <c r="V60" s="249">
        <f t="shared" si="27"/>
        <v>270.39999999999998</v>
      </c>
      <c r="W60" s="255">
        <f>$W$8*L60</f>
        <v>203.84</v>
      </c>
      <c r="X60" s="255">
        <f>IF(D60="Y",R60*$X$9,0)</f>
        <v>0</v>
      </c>
      <c r="Y60" s="249">
        <f t="shared" si="28"/>
        <v>5767.2</v>
      </c>
    </row>
    <row r="61" spans="1:27">
      <c r="A61" s="254">
        <v>38</v>
      </c>
      <c r="B61" s="2" t="s">
        <v>915</v>
      </c>
      <c r="C61" s="2" t="s">
        <v>914</v>
      </c>
      <c r="D61" s="2" t="s">
        <v>76</v>
      </c>
      <c r="E61" s="2" t="s">
        <v>76</v>
      </c>
      <c r="F61" s="272">
        <v>0</v>
      </c>
      <c r="G61" s="249">
        <v>0</v>
      </c>
      <c r="I61" s="272">
        <v>26.5</v>
      </c>
      <c r="J61" s="272">
        <v>27.83</v>
      </c>
      <c r="L61" s="249">
        <v>125.62</v>
      </c>
      <c r="N61" s="274">
        <f>+L61*I61/26*$N$8</f>
        <v>128.03576923076923</v>
      </c>
      <c r="O61" s="274">
        <f>+L61*J61/26*$O$8</f>
        <v>3361.5428846153845</v>
      </c>
      <c r="P61" s="274">
        <v>0</v>
      </c>
      <c r="Q61" s="274">
        <v>0</v>
      </c>
      <c r="R61" s="249">
        <f>SUM(N61:Q61)</f>
        <v>3489.5786538461539</v>
      </c>
      <c r="S61" s="249">
        <f>R61-G61</f>
        <v>3489.5786538461539</v>
      </c>
      <c r="T61" s="249">
        <f t="shared" si="25"/>
        <v>266.95276701923081</v>
      </c>
      <c r="U61" s="249">
        <f t="shared" si="26"/>
        <v>20.937471923076924</v>
      </c>
      <c r="V61" s="249">
        <f t="shared" si="27"/>
        <v>13.958314615384616</v>
      </c>
      <c r="W61" s="255">
        <f>$W$7*L61</f>
        <v>153.24383800000001</v>
      </c>
      <c r="X61" s="255">
        <f>IF(D61="Y",R61*$X$9,0)</f>
        <v>0</v>
      </c>
      <c r="Y61" s="249">
        <f t="shared" si="28"/>
        <v>455.09239155769239</v>
      </c>
    </row>
    <row r="62" spans="1:27">
      <c r="A62" s="256" t="s">
        <v>913</v>
      </c>
      <c r="F62" s="272"/>
      <c r="G62" s="273">
        <f>SUM(G58:G61)</f>
        <v>0</v>
      </c>
      <c r="I62" s="272"/>
      <c r="J62" s="272"/>
      <c r="L62" s="273">
        <f>SUM(L58:L61)</f>
        <v>4293.24</v>
      </c>
      <c r="N62" s="252"/>
      <c r="O62" s="252"/>
      <c r="P62" s="252"/>
      <c r="Q62" s="252"/>
      <c r="R62" s="249"/>
      <c r="S62" s="612">
        <f>SUM(S58:S61)</f>
        <v>122453.26461538461</v>
      </c>
      <c r="T62" s="249"/>
      <c r="U62" s="249"/>
      <c r="V62" s="249"/>
      <c r="W62" s="249"/>
      <c r="X62" s="249"/>
      <c r="Y62" s="249"/>
    </row>
    <row r="63" spans="1:27">
      <c r="F63" s="272"/>
      <c r="N63" s="252"/>
      <c r="O63" s="252"/>
      <c r="P63" s="252"/>
      <c r="Q63" s="252"/>
      <c r="R63" s="253"/>
      <c r="S63" s="253"/>
      <c r="T63" s="253"/>
      <c r="U63" s="253"/>
      <c r="V63" s="253"/>
      <c r="W63" s="253"/>
      <c r="X63" s="253"/>
      <c r="Y63" s="253"/>
    </row>
    <row r="64" spans="1:27" ht="16.5" thickBot="1">
      <c r="F64" s="272"/>
      <c r="G64" s="251">
        <f>+G14+G19+G35+G41+G53+G56+G62</f>
        <v>1762636.4400000002</v>
      </c>
      <c r="L64" s="251">
        <f>+L14+L19+L35+L41+L53+L56+L62</f>
        <v>48345.834999999999</v>
      </c>
      <c r="N64" s="252"/>
      <c r="O64" s="252"/>
      <c r="P64" s="252"/>
      <c r="Q64" s="252"/>
      <c r="R64" s="251">
        <f>SUM(R12:R63)</f>
        <v>1717457.2128269232</v>
      </c>
      <c r="S64" s="251">
        <f>+S62+S56+S53+S41+S35+S19+S14</f>
        <v>-45179.227173076928</v>
      </c>
      <c r="T64" s="251">
        <f t="shared" ref="T64:Y64" si="29">SUM(T12:T63)</f>
        <v>131385.47678125961</v>
      </c>
      <c r="U64" s="251">
        <f t="shared" si="29"/>
        <v>1091.6766184615383</v>
      </c>
      <c r="V64" s="251">
        <f t="shared" si="29"/>
        <v>5779.4744276538459</v>
      </c>
      <c r="W64" s="251">
        <f t="shared" si="29"/>
        <v>43271.652412999989</v>
      </c>
      <c r="X64" s="251">
        <f t="shared" si="29"/>
        <v>34723.391969711534</v>
      </c>
      <c r="Y64" s="251">
        <f t="shared" si="29"/>
        <v>216251.67221008654</v>
      </c>
    </row>
    <row r="65" spans="1:27" ht="16.5" thickTop="1">
      <c r="R65" s="249"/>
    </row>
    <row r="66" spans="1:27">
      <c r="F66" s="268" t="s">
        <v>912</v>
      </c>
      <c r="G66" s="1">
        <f>+Operations!C64+Operations!C65+Operations!C66+Operations!C67+Operations!C81</f>
        <v>1762636.4400000004</v>
      </c>
      <c r="Q66" s="608"/>
      <c r="S66" s="17" t="s">
        <v>1198</v>
      </c>
      <c r="T66" s="327"/>
      <c r="U66" s="249"/>
      <c r="V66" s="249"/>
      <c r="W66" s="249"/>
      <c r="X66" s="249"/>
      <c r="Y66" s="249"/>
    </row>
    <row r="67" spans="1:27">
      <c r="A67" s="324"/>
      <c r="H67" s="2"/>
      <c r="Q67" s="17"/>
      <c r="S67" s="608" t="s">
        <v>129</v>
      </c>
      <c r="T67" s="249">
        <f>+Operations!C79</f>
        <v>134333.49</v>
      </c>
      <c r="U67" s="249">
        <f>+Operations!C78</f>
        <v>1286.3900000000001</v>
      </c>
      <c r="V67" s="249">
        <f>+Operations!C77</f>
        <v>5663.920000000001</v>
      </c>
      <c r="W67" s="249">
        <f>+Operations!C74</f>
        <v>56476.28</v>
      </c>
      <c r="X67" s="249">
        <f>+Operations!C76</f>
        <v>36733.020000000004</v>
      </c>
      <c r="Y67" s="1">
        <f>SUM(T67:X67)</f>
        <v>234493.10000000003</v>
      </c>
    </row>
    <row r="68" spans="1:27">
      <c r="A68" s="271"/>
      <c r="B68" s="271"/>
      <c r="C68" s="271"/>
      <c r="D68" s="271"/>
      <c r="E68" s="271"/>
      <c r="F68" s="271"/>
      <c r="I68" s="271"/>
      <c r="J68" s="271"/>
      <c r="Q68" s="268"/>
      <c r="S68" s="608"/>
      <c r="T68" s="327"/>
      <c r="U68" s="249"/>
      <c r="V68" s="249"/>
      <c r="W68" s="249"/>
      <c r="X68" s="249"/>
      <c r="Z68" s="270"/>
    </row>
    <row r="69" spans="1:27">
      <c r="Q69" s="268"/>
      <c r="S69" s="608" t="s">
        <v>1196</v>
      </c>
      <c r="T69" s="609">
        <f>+T64-T67</f>
        <v>-2948.0132187403797</v>
      </c>
      <c r="U69" s="609">
        <f>+U64-U67</f>
        <v>-194.71338153846182</v>
      </c>
      <c r="V69" s="609">
        <f>+V64-V67</f>
        <v>115.55442765384487</v>
      </c>
      <c r="W69" s="609">
        <f>W64-W67-W68</f>
        <v>-13204.62758700001</v>
      </c>
      <c r="X69" s="609">
        <f>X64-X67</f>
        <v>-2009.6280302884697</v>
      </c>
      <c r="Y69" s="609">
        <f>SUM(T69:X69)</f>
        <v>-18241.427789913476</v>
      </c>
      <c r="Z69" s="2"/>
      <c r="AA69" s="269"/>
    </row>
    <row r="70" spans="1:27">
      <c r="Q70" s="268"/>
      <c r="S70" s="611"/>
      <c r="T70" s="2"/>
      <c r="U70" s="2"/>
      <c r="V70" s="2"/>
      <c r="W70" s="2"/>
      <c r="X70" s="2"/>
      <c r="Y70" s="2"/>
    </row>
    <row r="71" spans="1:27">
      <c r="Q71" s="268"/>
      <c r="S71" s="268" t="s">
        <v>1083</v>
      </c>
      <c r="T71" s="610">
        <f>+'WP-11 - Non-Regulated'!$N$57</f>
        <v>0.87226151155039422</v>
      </c>
      <c r="U71" s="610">
        <f>+'WP-11 - Non-Regulated'!$N$57</f>
        <v>0.87226151155039422</v>
      </c>
      <c r="V71" s="610">
        <f>+'WP-11 - Non-Regulated'!$N$57</f>
        <v>0.87226151155039422</v>
      </c>
      <c r="W71" s="610">
        <f>+'WP-11 - Non-Regulated'!$N$57</f>
        <v>0.87226151155039422</v>
      </c>
      <c r="X71" s="610">
        <f>+'WP-11 - Non-Regulated'!$N$57</f>
        <v>0.87226151155039422</v>
      </c>
      <c r="Y71" s="610"/>
    </row>
    <row r="72" spans="1:27">
      <c r="Q72" s="268"/>
      <c r="S72" s="268" t="s">
        <v>1199</v>
      </c>
      <c r="T72" s="1">
        <f>+T69*T71</f>
        <v>-2571.4384662490265</v>
      </c>
      <c r="U72" s="1">
        <f t="shared" ref="U72:X72" si="30">+U69*U71</f>
        <v>-169.84098849982732</v>
      </c>
      <c r="V72" s="1">
        <f t="shared" si="30"/>
        <v>100.7936797316834</v>
      </c>
      <c r="W72" s="1">
        <f t="shared" si="30"/>
        <v>-11517.888418496663</v>
      </c>
      <c r="X72" s="1">
        <f t="shared" si="30"/>
        <v>-1752.9211833534621</v>
      </c>
    </row>
    <row r="73" spans="1:27">
      <c r="V73" s="276"/>
      <c r="W73" s="276"/>
      <c r="X73" s="276"/>
    </row>
    <row r="75" spans="1:27">
      <c r="S75" s="3" t="s">
        <v>1197</v>
      </c>
    </row>
    <row r="76" spans="1:27">
      <c r="T76" s="1" t="s">
        <v>0</v>
      </c>
      <c r="U76" s="1" t="s">
        <v>1083</v>
      </c>
      <c r="V76" s="1" t="s">
        <v>1199</v>
      </c>
    </row>
    <row r="77" spans="1:27">
      <c r="S77" s="1" t="s">
        <v>499</v>
      </c>
      <c r="T77" s="1">
        <f>+S14</f>
        <v>8795.4092307692335</v>
      </c>
      <c r="U77" s="610">
        <f>+'WP-11 - Non-Regulated'!$N$57</f>
        <v>0.87226151155039422</v>
      </c>
      <c r="V77" s="1">
        <f>+T77*U77</f>
        <v>7671.8969503350618</v>
      </c>
    </row>
    <row r="78" spans="1:27">
      <c r="S78" s="1" t="s">
        <v>500</v>
      </c>
      <c r="T78" s="1">
        <f>+S19+S60</f>
        <v>92591.136624999999</v>
      </c>
      <c r="U78" s="610">
        <f>+'WP-11 - Non-Regulated'!$N$57</f>
        <v>0.87226151155039422</v>
      </c>
      <c r="V78" s="1">
        <f t="shared" ref="V78:V82" si="31">+T78*U78</f>
        <v>80763.684788691564</v>
      </c>
    </row>
    <row r="79" spans="1:27">
      <c r="S79" s="1" t="s">
        <v>9</v>
      </c>
      <c r="T79" s="1">
        <f>+S35</f>
        <v>-72536.612307692281</v>
      </c>
      <c r="U79" s="610">
        <f>+'WP-11 - Non-Regulated'!$N$57</f>
        <v>0.87226151155039422</v>
      </c>
      <c r="V79" s="1">
        <f t="shared" si="31"/>
        <v>-63270.895094252599</v>
      </c>
    </row>
    <row r="80" spans="1:27">
      <c r="S80" s="1" t="s">
        <v>990</v>
      </c>
      <c r="T80" s="1">
        <f>+S41</f>
        <v>-114391.51899038465</v>
      </c>
      <c r="U80" s="610">
        <f>+'WP-11 - Non-Regulated'!$N$57</f>
        <v>0.87226151155039422</v>
      </c>
      <c r="V80" s="1">
        <f t="shared" si="31"/>
        <v>-99779.319263098543</v>
      </c>
    </row>
    <row r="81" spans="1:27">
      <c r="S81" s="1" t="s">
        <v>1089</v>
      </c>
      <c r="T81" s="1">
        <f>+S53+S58+S59+S61</f>
        <v>40331.874615384608</v>
      </c>
      <c r="U81" s="610">
        <f>+'WP-11 - Non-Regulated'!$N$57</f>
        <v>0.87226151155039422</v>
      </c>
      <c r="V81" s="1">
        <f t="shared" si="31"/>
        <v>35179.941915676354</v>
      </c>
    </row>
    <row r="82" spans="1:27">
      <c r="S82" s="1" t="s">
        <v>992</v>
      </c>
      <c r="T82" s="1">
        <f>+S56</f>
        <v>30.483653846153175</v>
      </c>
      <c r="U82" s="610">
        <f>+'WP-11 - Non-Regulated'!$N$57</f>
        <v>0.87226151155039422</v>
      </c>
      <c r="V82" s="1">
        <f t="shared" si="31"/>
        <v>26.589717981424556</v>
      </c>
    </row>
    <row r="88" spans="1:27">
      <c r="A88" s="2"/>
      <c r="E88" s="1"/>
      <c r="F88" s="1"/>
      <c r="G88" s="2"/>
      <c r="H88" s="2"/>
      <c r="J88" s="1"/>
      <c r="L88" s="2"/>
      <c r="Y88" s="267"/>
      <c r="AA88" s="1"/>
    </row>
    <row r="89" spans="1:27">
      <c r="A89" s="2"/>
      <c r="E89" s="1"/>
      <c r="F89" s="1"/>
      <c r="G89" s="2"/>
      <c r="H89" s="2"/>
      <c r="J89" s="1"/>
      <c r="L89" s="2"/>
      <c r="Y89" s="267"/>
      <c r="AA89" s="1"/>
    </row>
    <row r="90" spans="1:27">
      <c r="A90" s="2"/>
      <c r="E90" s="1"/>
      <c r="F90" s="1"/>
      <c r="G90" s="2"/>
      <c r="H90" s="2"/>
      <c r="J90" s="1"/>
      <c r="L90" s="2"/>
      <c r="Y90" s="267"/>
      <c r="AA90" s="1"/>
    </row>
    <row r="91" spans="1:27">
      <c r="A91" s="2"/>
      <c r="E91" s="1"/>
      <c r="F91" s="1"/>
      <c r="G91" s="2"/>
      <c r="H91" s="2"/>
      <c r="J91" s="1"/>
      <c r="L91" s="2"/>
      <c r="Y91" s="267"/>
      <c r="AA91" s="1"/>
    </row>
    <row r="92" spans="1:27">
      <c r="A92" s="2"/>
      <c r="E92" s="1"/>
      <c r="F92" s="1"/>
      <c r="G92" s="2"/>
      <c r="H92" s="2"/>
      <c r="J92" s="1"/>
      <c r="L92" s="2"/>
      <c r="Y92" s="267"/>
      <c r="AA92" s="1"/>
    </row>
    <row r="93" spans="1:27">
      <c r="A93" s="2"/>
      <c r="E93" s="1"/>
      <c r="F93" s="1"/>
      <c r="G93" s="2"/>
      <c r="H93" s="2"/>
      <c r="J93" s="1"/>
      <c r="L93" s="2"/>
      <c r="Y93" s="267"/>
      <c r="AA93" s="1"/>
    </row>
    <row r="94" spans="1:27">
      <c r="A94" s="2"/>
      <c r="E94" s="1"/>
      <c r="F94" s="1"/>
      <c r="G94" s="2"/>
      <c r="H94" s="2"/>
      <c r="J94" s="1"/>
      <c r="L94" s="2"/>
      <c r="Y94" s="267"/>
      <c r="AA94" s="1"/>
    </row>
    <row r="95" spans="1:27">
      <c r="A95" s="2"/>
      <c r="E95" s="1"/>
      <c r="F95" s="1"/>
      <c r="G95" s="2"/>
      <c r="H95" s="2"/>
      <c r="J95" s="1"/>
      <c r="L95" s="2"/>
      <c r="Y95" s="267"/>
      <c r="AA95" s="1"/>
    </row>
    <row r="96" spans="1:27">
      <c r="A96" s="2"/>
      <c r="E96" s="1"/>
      <c r="F96" s="1"/>
      <c r="G96" s="2"/>
      <c r="H96" s="2"/>
      <c r="J96" s="1"/>
      <c r="L96" s="2"/>
      <c r="Y96" s="267"/>
      <c r="AA96" s="1"/>
    </row>
    <row r="97" spans="1:27">
      <c r="A97" s="2"/>
      <c r="E97" s="1"/>
      <c r="F97" s="1"/>
      <c r="G97" s="2"/>
      <c r="H97" s="2"/>
      <c r="J97" s="1"/>
      <c r="L97" s="2"/>
      <c r="Y97" s="267"/>
      <c r="AA97" s="1"/>
    </row>
    <row r="98" spans="1:27">
      <c r="A98" s="2"/>
      <c r="E98" s="1"/>
      <c r="F98" s="1"/>
      <c r="G98" s="2"/>
      <c r="H98" s="2"/>
      <c r="J98" s="1"/>
      <c r="L98" s="2"/>
      <c r="Y98" s="267"/>
      <c r="AA98" s="1"/>
    </row>
    <row r="99" spans="1:27">
      <c r="A99" s="2"/>
      <c r="E99" s="1"/>
      <c r="F99" s="1"/>
      <c r="G99" s="2"/>
      <c r="H99" s="2"/>
      <c r="J99" s="1"/>
      <c r="L99" s="2"/>
      <c r="Y99" s="267"/>
      <c r="AA99" s="1"/>
    </row>
    <row r="100" spans="1:27">
      <c r="A100" s="2"/>
      <c r="E100" s="1"/>
      <c r="F100" s="1"/>
      <c r="G100" s="2"/>
      <c r="H100" s="2"/>
      <c r="J100" s="1"/>
      <c r="L100" s="2"/>
      <c r="Y100" s="267"/>
      <c r="AA100" s="1"/>
    </row>
    <row r="101" spans="1:27">
      <c r="A101" s="2"/>
      <c r="E101" s="1"/>
      <c r="F101" s="1"/>
      <c r="G101" s="2"/>
      <c r="H101" s="2"/>
      <c r="J101" s="1"/>
      <c r="L101" s="2"/>
      <c r="Y101" s="267"/>
      <c r="AA101" s="1"/>
    </row>
    <row r="102" spans="1:27">
      <c r="A102" s="2"/>
      <c r="E102" s="1"/>
      <c r="F102" s="1"/>
      <c r="G102" s="2"/>
      <c r="H102" s="2"/>
      <c r="J102" s="1"/>
      <c r="L102" s="2"/>
      <c r="Y102" s="267"/>
      <c r="AA102" s="1"/>
    </row>
    <row r="103" spans="1:27">
      <c r="A103" s="2"/>
      <c r="E103" s="1"/>
      <c r="F103" s="1"/>
      <c r="G103" s="2"/>
      <c r="H103" s="2"/>
      <c r="J103" s="1"/>
      <c r="L103" s="2"/>
      <c r="Y103" s="267"/>
      <c r="AA103" s="1"/>
    </row>
    <row r="104" spans="1:27">
      <c r="A104" s="2"/>
      <c r="E104" s="1"/>
      <c r="F104" s="1"/>
      <c r="G104" s="2"/>
      <c r="H104" s="2"/>
      <c r="J104" s="1"/>
      <c r="L104" s="2"/>
      <c r="Y104" s="267"/>
      <c r="AA104" s="1"/>
    </row>
    <row r="105" spans="1:27">
      <c r="A105" s="2"/>
      <c r="E105" s="1"/>
      <c r="F105" s="1"/>
      <c r="G105" s="2"/>
      <c r="H105" s="2"/>
      <c r="J105" s="1"/>
      <c r="L105" s="2"/>
      <c r="Y105" s="267"/>
      <c r="AA105" s="1"/>
    </row>
    <row r="106" spans="1:27">
      <c r="A106" s="2"/>
      <c r="E106" s="1"/>
      <c r="F106" s="1"/>
      <c r="G106" s="2"/>
      <c r="H106" s="2"/>
      <c r="J106" s="1"/>
      <c r="L106" s="2"/>
      <c r="Y106" s="267"/>
      <c r="AA106" s="1"/>
    </row>
    <row r="107" spans="1:27">
      <c r="A107" s="2"/>
      <c r="E107" s="1"/>
      <c r="F107" s="1"/>
      <c r="G107" s="2"/>
      <c r="H107" s="2"/>
      <c r="J107" s="1"/>
      <c r="L107" s="2"/>
      <c r="Y107" s="267"/>
      <c r="AA107" s="1"/>
    </row>
    <row r="108" spans="1:27">
      <c r="A108" s="2"/>
      <c r="E108" s="1"/>
      <c r="F108" s="1"/>
      <c r="G108" s="2"/>
      <c r="H108" s="2"/>
      <c r="J108" s="1"/>
      <c r="L108" s="2"/>
      <c r="Y108" s="267"/>
      <c r="AA108" s="1"/>
    </row>
    <row r="109" spans="1:27">
      <c r="A109" s="2"/>
      <c r="E109" s="1"/>
      <c r="F109" s="1"/>
      <c r="G109" s="2"/>
      <c r="H109" s="2"/>
      <c r="J109" s="1"/>
      <c r="L109" s="2"/>
      <c r="Y109" s="267"/>
      <c r="AA109" s="1"/>
    </row>
    <row r="110" spans="1:27">
      <c r="A110" s="2"/>
      <c r="E110" s="1"/>
      <c r="F110" s="1"/>
      <c r="G110" s="2"/>
      <c r="H110" s="2"/>
      <c r="J110" s="1"/>
      <c r="L110" s="2"/>
      <c r="Y110" s="267"/>
      <c r="AA110" s="1"/>
    </row>
    <row r="111" spans="1:27">
      <c r="A111" s="2"/>
      <c r="E111" s="1"/>
      <c r="F111" s="1"/>
      <c r="G111" s="2"/>
      <c r="H111" s="2"/>
      <c r="J111" s="1"/>
      <c r="L111" s="2"/>
      <c r="Y111" s="267"/>
      <c r="AA111" s="1"/>
    </row>
    <row r="112" spans="1:27">
      <c r="A112" s="2"/>
      <c r="E112" s="1"/>
      <c r="F112" s="1"/>
      <c r="G112" s="2"/>
      <c r="H112" s="2"/>
      <c r="J112" s="1"/>
      <c r="L112" s="2"/>
      <c r="Y112" s="267"/>
      <c r="AA112" s="1"/>
    </row>
    <row r="113" spans="1:27">
      <c r="A113" s="2"/>
      <c r="E113" s="1"/>
      <c r="F113" s="1"/>
      <c r="G113" s="2"/>
      <c r="H113" s="2"/>
      <c r="J113" s="1"/>
      <c r="L113" s="2"/>
      <c r="Y113" s="267"/>
      <c r="AA113" s="1"/>
    </row>
    <row r="114" spans="1:27">
      <c r="A114" s="2"/>
      <c r="E114" s="1"/>
      <c r="F114" s="1"/>
      <c r="G114" s="2"/>
      <c r="H114" s="2"/>
      <c r="J114" s="1"/>
      <c r="L114" s="2"/>
      <c r="Y114" s="267"/>
      <c r="AA114" s="1"/>
    </row>
    <row r="115" spans="1:27">
      <c r="A115" s="2"/>
      <c r="E115" s="1"/>
      <c r="F115" s="1"/>
      <c r="G115" s="2"/>
      <c r="H115" s="2"/>
      <c r="J115" s="1"/>
      <c r="L115" s="2"/>
      <c r="Y115" s="267"/>
      <c r="AA115" s="1"/>
    </row>
    <row r="116" spans="1:27">
      <c r="A116" s="2"/>
      <c r="E116" s="1"/>
      <c r="F116" s="1"/>
      <c r="G116" s="2"/>
      <c r="H116" s="2"/>
      <c r="J116" s="1"/>
      <c r="L116" s="2"/>
      <c r="Y116" s="267"/>
      <c r="AA116" s="1"/>
    </row>
    <row r="117" spans="1:27">
      <c r="A117" s="2"/>
      <c r="E117" s="1"/>
      <c r="F117" s="1"/>
      <c r="G117" s="2"/>
      <c r="H117" s="2"/>
      <c r="J117" s="1"/>
      <c r="L117" s="2"/>
      <c r="Y117" s="267"/>
      <c r="AA117" s="1"/>
    </row>
    <row r="118" spans="1:27">
      <c r="A118" s="2"/>
      <c r="E118" s="1"/>
      <c r="F118" s="1"/>
      <c r="G118" s="2"/>
      <c r="H118" s="2"/>
      <c r="J118" s="1"/>
      <c r="L118" s="2"/>
      <c r="Y118" s="267"/>
      <c r="AA118" s="1"/>
    </row>
    <row r="119" spans="1:27">
      <c r="A119" s="2"/>
      <c r="E119" s="1"/>
      <c r="F119" s="1"/>
      <c r="G119" s="2"/>
      <c r="H119" s="2"/>
      <c r="J119" s="1"/>
      <c r="L119" s="2"/>
      <c r="Y119" s="267"/>
      <c r="AA119" s="1"/>
    </row>
    <row r="120" spans="1:27">
      <c r="A120" s="2"/>
      <c r="E120" s="1"/>
      <c r="F120" s="1"/>
      <c r="G120" s="2"/>
      <c r="H120" s="2"/>
      <c r="J120" s="1"/>
      <c r="L120" s="2"/>
      <c r="Y120" s="267"/>
      <c r="AA120" s="1"/>
    </row>
    <row r="121" spans="1:27">
      <c r="A121" s="2"/>
      <c r="E121" s="1"/>
      <c r="F121" s="1"/>
      <c r="G121" s="2"/>
      <c r="H121" s="2"/>
      <c r="J121" s="1"/>
      <c r="L121" s="2"/>
      <c r="Y121" s="267"/>
      <c r="AA121" s="1"/>
    </row>
    <row r="122" spans="1:27">
      <c r="A122" s="2"/>
      <c r="E122" s="1"/>
      <c r="F122" s="1"/>
      <c r="G122" s="2"/>
      <c r="H122" s="2"/>
      <c r="J122" s="1"/>
      <c r="L122" s="2"/>
      <c r="Y122" s="267"/>
      <c r="AA122" s="1"/>
    </row>
    <row r="123" spans="1:27">
      <c r="A123" s="2"/>
      <c r="E123" s="1"/>
      <c r="F123" s="1"/>
      <c r="G123" s="2"/>
      <c r="H123" s="2"/>
      <c r="J123" s="1"/>
      <c r="L123" s="2"/>
      <c r="Y123" s="267"/>
      <c r="AA123" s="1"/>
    </row>
    <row r="124" spans="1:27">
      <c r="A124" s="2"/>
      <c r="E124" s="1"/>
      <c r="F124" s="1"/>
      <c r="G124" s="2"/>
      <c r="H124" s="2"/>
      <c r="J124" s="1"/>
      <c r="L124" s="2"/>
      <c r="Y124" s="267"/>
      <c r="AA124" s="1"/>
    </row>
    <row r="125" spans="1:27">
      <c r="A125" s="2"/>
      <c r="E125" s="1"/>
      <c r="F125" s="1"/>
      <c r="G125" s="2"/>
      <c r="H125" s="2"/>
      <c r="J125" s="1"/>
      <c r="L125" s="2"/>
      <c r="Y125" s="267"/>
      <c r="AA125" s="1"/>
    </row>
    <row r="126" spans="1:27">
      <c r="A126" s="2"/>
      <c r="E126" s="1"/>
      <c r="F126" s="1"/>
      <c r="G126" s="2"/>
      <c r="H126" s="2"/>
      <c r="J126" s="1"/>
      <c r="L126" s="2"/>
      <c r="Y126" s="267"/>
      <c r="AA126" s="1"/>
    </row>
    <row r="127" spans="1:27">
      <c r="A127" s="2"/>
      <c r="E127" s="1"/>
      <c r="F127" s="1"/>
      <c r="G127" s="2"/>
      <c r="H127" s="2"/>
      <c r="J127" s="1"/>
      <c r="L127" s="2"/>
      <c r="Y127" s="267"/>
      <c r="AA127" s="1"/>
    </row>
    <row r="128" spans="1:27">
      <c r="A128" s="2"/>
      <c r="E128" s="1"/>
      <c r="F128" s="1"/>
      <c r="G128" s="2"/>
      <c r="H128" s="2"/>
      <c r="J128" s="1"/>
      <c r="L128" s="2"/>
      <c r="Y128" s="267"/>
      <c r="AA128" s="1"/>
    </row>
    <row r="129" spans="1:27">
      <c r="A129" s="2"/>
      <c r="E129" s="1"/>
      <c r="F129" s="1"/>
      <c r="G129" s="2"/>
      <c r="H129" s="2"/>
      <c r="J129" s="1"/>
      <c r="L129" s="2"/>
      <c r="Y129" s="267"/>
      <c r="AA129" s="1"/>
    </row>
    <row r="130" spans="1:27">
      <c r="A130" s="2"/>
      <c r="E130" s="1"/>
      <c r="F130" s="1"/>
      <c r="G130" s="2"/>
      <c r="H130" s="2"/>
      <c r="J130" s="1"/>
      <c r="L130" s="2"/>
      <c r="Y130" s="267"/>
      <c r="AA130" s="1"/>
    </row>
    <row r="131" spans="1:27">
      <c r="A131" s="2"/>
      <c r="E131" s="1"/>
      <c r="F131" s="1"/>
      <c r="G131" s="2"/>
      <c r="H131" s="2"/>
      <c r="J131" s="1"/>
      <c r="L131" s="2"/>
      <c r="Y131" s="267"/>
      <c r="AA131" s="1"/>
    </row>
  </sheetData>
  <mergeCells count="4">
    <mergeCell ref="N7:Q7"/>
    <mergeCell ref="A1:Z1"/>
    <mergeCell ref="A3:Z3"/>
    <mergeCell ref="A5:Z5"/>
  </mergeCells>
  <pageMargins left="0.5" right="0.5" top="0.75" bottom="0.5" header="0" footer="0.25"/>
  <pageSetup scale="27" fitToHeight="0" orientation="landscape" r:id="rId1"/>
  <headerFooter alignWithMargins="0"/>
  <colBreaks count="1" manualBreakCount="1">
    <brk id="17" max="1048575" man="1"/>
  </colBreaks>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B7ED4-B3A0-4679-A534-544CA3CE0CF4}">
  <sheetPr transitionEvaluation="1">
    <pageSetUpPr fitToPage="1"/>
  </sheetPr>
  <dimension ref="A1:S67"/>
  <sheetViews>
    <sheetView zoomScale="85" zoomScaleNormal="85" workbookViewId="0">
      <selection sqref="A1:P1"/>
    </sheetView>
  </sheetViews>
  <sheetFormatPr defaultColWidth="9.88671875" defaultRowHeight="15.75"/>
  <cols>
    <col min="1" max="1" width="30.33203125" style="1" customWidth="1"/>
    <col min="2" max="2" width="8.109375" style="2" bestFit="1" customWidth="1"/>
    <col min="3" max="3" width="8.109375" style="2" customWidth="1"/>
    <col min="4" max="4" width="14.6640625" style="1" customWidth="1"/>
    <col min="5" max="5" width="15.109375" style="1" customWidth="1"/>
    <col min="6" max="7" width="9.88671875" style="1"/>
    <col min="8" max="11" width="10.109375" style="1" customWidth="1"/>
    <col min="12" max="12" width="2.6640625" style="1" customWidth="1"/>
    <col min="13" max="16384" width="9.88671875" style="1"/>
  </cols>
  <sheetData>
    <row r="1" spans="1:19" ht="16.5">
      <c r="A1" s="831" t="s">
        <v>601</v>
      </c>
      <c r="B1" s="831"/>
      <c r="C1" s="831"/>
      <c r="D1" s="831"/>
      <c r="E1" s="831"/>
      <c r="F1" s="831"/>
      <c r="G1" s="831"/>
      <c r="H1" s="831"/>
      <c r="I1" s="831"/>
      <c r="J1" s="831"/>
      <c r="K1" s="831"/>
      <c r="L1" s="831"/>
      <c r="M1" s="831"/>
      <c r="N1" s="831"/>
      <c r="O1" s="831"/>
      <c r="P1" s="831"/>
    </row>
    <row r="2" spans="1:19" ht="13.5" customHeight="1">
      <c r="A2" s="266"/>
    </row>
    <row r="3" spans="1:19" ht="16.5">
      <c r="A3" s="831" t="s">
        <v>911</v>
      </c>
      <c r="B3" s="831"/>
      <c r="C3" s="831"/>
      <c r="D3" s="831"/>
      <c r="E3" s="831"/>
      <c r="F3" s="831"/>
      <c r="G3" s="831"/>
      <c r="H3" s="831"/>
      <c r="I3" s="831"/>
      <c r="J3" s="831"/>
      <c r="K3" s="831"/>
      <c r="L3" s="831"/>
      <c r="M3" s="831"/>
      <c r="N3" s="831"/>
      <c r="O3" s="831"/>
      <c r="P3" s="831"/>
    </row>
    <row r="4" spans="1:19">
      <c r="A4" s="6"/>
      <c r="B4" s="6"/>
      <c r="C4" s="6"/>
      <c r="D4" s="6"/>
      <c r="E4" s="6"/>
      <c r="F4" s="6"/>
      <c r="G4" s="6"/>
      <c r="H4" s="6"/>
      <c r="I4" s="6"/>
      <c r="J4" s="6"/>
      <c r="K4" s="6"/>
      <c r="L4" s="6"/>
    </row>
    <row r="5" spans="1:19">
      <c r="A5" s="832" t="str">
        <f>+'WP-1 Rate Case Cost'!A5:G5</f>
        <v>In Support of Tariff No. 18, G-143, effective March 1, 2024</v>
      </c>
      <c r="B5" s="832"/>
      <c r="C5" s="832"/>
      <c r="D5" s="832"/>
      <c r="E5" s="832"/>
      <c r="F5" s="832"/>
      <c r="G5" s="832"/>
      <c r="H5" s="832"/>
      <c r="I5" s="832"/>
      <c r="J5" s="832"/>
      <c r="K5" s="832"/>
      <c r="L5" s="832"/>
      <c r="M5" s="832"/>
      <c r="N5" s="832"/>
      <c r="O5" s="832"/>
      <c r="P5" s="832"/>
    </row>
    <row r="6" spans="1:19">
      <c r="A6" s="12"/>
      <c r="B6" s="264"/>
      <c r="C6" s="264"/>
      <c r="N6" s="263"/>
      <c r="O6" s="263"/>
    </row>
    <row r="7" spans="1:19">
      <c r="D7" s="262" t="s">
        <v>910</v>
      </c>
      <c r="E7" s="262" t="s">
        <v>910</v>
      </c>
      <c r="F7" s="262"/>
      <c r="G7" s="261"/>
      <c r="H7" s="261"/>
      <c r="I7" s="261"/>
      <c r="J7" s="261"/>
      <c r="K7" s="261" t="s">
        <v>25</v>
      </c>
      <c r="M7" s="14" t="s">
        <v>909</v>
      </c>
      <c r="N7" s="14" t="s">
        <v>549</v>
      </c>
      <c r="O7" s="14" t="s">
        <v>549</v>
      </c>
      <c r="P7" s="14"/>
    </row>
    <row r="8" spans="1:19">
      <c r="A8" s="3"/>
      <c r="B8" s="14"/>
      <c r="C8" s="14"/>
      <c r="D8" s="262">
        <v>44926</v>
      </c>
      <c r="E8" s="262">
        <v>44926</v>
      </c>
      <c r="F8" s="262"/>
      <c r="G8" s="261"/>
      <c r="H8" s="261" t="s">
        <v>908</v>
      </c>
      <c r="I8" s="261" t="s">
        <v>907</v>
      </c>
      <c r="J8" s="261"/>
      <c r="K8" s="261" t="s">
        <v>906</v>
      </c>
      <c r="M8" s="14" t="s">
        <v>38</v>
      </c>
      <c r="N8" s="14" t="s">
        <v>905</v>
      </c>
      <c r="O8" s="14" t="s">
        <v>1006</v>
      </c>
    </row>
    <row r="9" spans="1:19">
      <c r="A9" s="14" t="s">
        <v>904</v>
      </c>
      <c r="B9" s="257" t="s">
        <v>903</v>
      </c>
      <c r="C9" s="257" t="s">
        <v>902</v>
      </c>
      <c r="D9" s="257" t="s">
        <v>903</v>
      </c>
      <c r="E9" s="257" t="s">
        <v>902</v>
      </c>
      <c r="F9" s="257" t="s">
        <v>1008</v>
      </c>
      <c r="G9" s="257" t="s">
        <v>0</v>
      </c>
      <c r="H9" s="260" t="s">
        <v>901</v>
      </c>
      <c r="I9" s="260" t="s">
        <v>901</v>
      </c>
      <c r="J9" s="259" t="s">
        <v>900</v>
      </c>
      <c r="K9" s="259" t="s">
        <v>8</v>
      </c>
      <c r="M9" s="258">
        <f>+'WP-11 - Non-Regulated'!N57</f>
        <v>0.87226151155039422</v>
      </c>
      <c r="N9" s="257" t="s">
        <v>1007</v>
      </c>
      <c r="O9" s="257" t="s">
        <v>1007</v>
      </c>
      <c r="P9" s="257" t="s">
        <v>0</v>
      </c>
      <c r="Q9" s="249"/>
      <c r="R9" s="249"/>
      <c r="S9" s="249"/>
    </row>
    <row r="10" spans="1:19">
      <c r="A10" s="254">
        <v>1</v>
      </c>
      <c r="B10" s="2" t="s">
        <v>894</v>
      </c>
      <c r="C10" s="2" t="s">
        <v>894</v>
      </c>
      <c r="D10" s="249">
        <f>433.17*12</f>
        <v>5198.04</v>
      </c>
      <c r="E10" s="249">
        <f>53.1*12</f>
        <v>637.20000000000005</v>
      </c>
      <c r="F10" s="249"/>
      <c r="G10" s="249">
        <f>SUM(D10:F10)</f>
        <v>5835.24</v>
      </c>
      <c r="H10" s="255">
        <v>489.68</v>
      </c>
      <c r="I10" s="255">
        <v>54.6</v>
      </c>
      <c r="J10" s="255"/>
      <c r="K10" s="255">
        <f>+(H10+I10-J10)*12</f>
        <v>6531.36</v>
      </c>
      <c r="L10" s="249"/>
      <c r="M10" s="249">
        <f>+K10*M$9</f>
        <v>5697.0539460797827</v>
      </c>
      <c r="N10" s="249"/>
      <c r="O10" s="249"/>
      <c r="P10" s="249">
        <f>SUM(M10:N10)</f>
        <v>5697.0539460797827</v>
      </c>
      <c r="Q10" s="249"/>
      <c r="R10" s="249"/>
      <c r="S10" s="249"/>
    </row>
    <row r="11" spans="1:19">
      <c r="A11" s="254">
        <v>2</v>
      </c>
      <c r="B11" s="2" t="s">
        <v>894</v>
      </c>
      <c r="C11" s="2" t="s">
        <v>894</v>
      </c>
      <c r="D11" s="249">
        <f>433.17*12</f>
        <v>5198.04</v>
      </c>
      <c r="E11" s="249">
        <f>53.1*12</f>
        <v>637.20000000000005</v>
      </c>
      <c r="F11" s="249"/>
      <c r="G11" s="249">
        <f>SUM(D11:F11)</f>
        <v>5835.24</v>
      </c>
      <c r="H11" s="255">
        <v>489.68</v>
      </c>
      <c r="I11" s="255">
        <v>54.6</v>
      </c>
      <c r="J11" s="255"/>
      <c r="K11" s="255">
        <f>+(H11+I11-J11)*12</f>
        <v>6531.36</v>
      </c>
      <c r="L11" s="249"/>
      <c r="M11" s="249">
        <f>+K11*M$9</f>
        <v>5697.0539460797827</v>
      </c>
      <c r="P11" s="249">
        <f>SUM(M11:N11)</f>
        <v>5697.0539460797827</v>
      </c>
    </row>
    <row r="12" spans="1:19">
      <c r="A12" s="256" t="s">
        <v>899</v>
      </c>
      <c r="D12" s="249"/>
      <c r="E12" s="249"/>
      <c r="F12" s="249"/>
      <c r="G12" s="249"/>
      <c r="H12" s="255"/>
      <c r="I12" s="255"/>
      <c r="J12" s="255"/>
      <c r="K12" s="255"/>
      <c r="L12" s="249"/>
      <c r="M12" s="249"/>
      <c r="N12" s="249"/>
      <c r="O12" s="249"/>
      <c r="P12" s="249"/>
      <c r="Q12" s="249"/>
      <c r="R12" s="249"/>
      <c r="S12" s="249"/>
    </row>
    <row r="13" spans="1:19">
      <c r="A13" s="254"/>
      <c r="D13" s="249"/>
      <c r="E13" s="249"/>
      <c r="F13" s="249"/>
      <c r="G13" s="249"/>
      <c r="H13" s="255"/>
      <c r="I13" s="255"/>
      <c r="J13" s="255"/>
      <c r="K13" s="255"/>
      <c r="L13" s="249"/>
      <c r="M13" s="249"/>
      <c r="N13" s="249"/>
      <c r="O13" s="249"/>
      <c r="P13" s="249"/>
      <c r="Q13" s="249"/>
      <c r="R13" s="249"/>
      <c r="S13" s="249"/>
    </row>
    <row r="14" spans="1:19">
      <c r="A14" s="254">
        <v>39</v>
      </c>
      <c r="B14" s="2" t="s">
        <v>894</v>
      </c>
      <c r="C14" s="2" t="s">
        <v>894</v>
      </c>
      <c r="D14" s="249">
        <f>433.17*12</f>
        <v>5198.04</v>
      </c>
      <c r="E14" s="249">
        <f>53.1*12</f>
        <v>637.20000000000005</v>
      </c>
      <c r="F14" s="249"/>
      <c r="G14" s="249">
        <f>SUM(D14:F14)</f>
        <v>5835.24</v>
      </c>
      <c r="H14" s="255">
        <v>489.68</v>
      </c>
      <c r="I14" s="255">
        <v>54.6</v>
      </c>
      <c r="J14" s="255"/>
      <c r="K14" s="255">
        <f>+(H14+I14-J14)*12</f>
        <v>6531.36</v>
      </c>
      <c r="L14" s="249"/>
      <c r="M14" s="249"/>
      <c r="N14" s="249">
        <f>-K14</f>
        <v>-6531.36</v>
      </c>
      <c r="O14" s="249"/>
      <c r="P14" s="249">
        <v>0</v>
      </c>
      <c r="Q14" s="249"/>
      <c r="R14" s="249"/>
      <c r="S14" s="249"/>
    </row>
    <row r="15" spans="1:19">
      <c r="A15" s="254">
        <v>3</v>
      </c>
      <c r="B15" s="2" t="s">
        <v>894</v>
      </c>
      <c r="C15" s="2" t="s">
        <v>894</v>
      </c>
      <c r="D15" s="249">
        <f>433.17*12</f>
        <v>5198.04</v>
      </c>
      <c r="E15" s="249">
        <f>53.1*12</f>
        <v>637.20000000000005</v>
      </c>
      <c r="F15" s="249"/>
      <c r="G15" s="249">
        <f>SUM(D15:F15)</f>
        <v>5835.24</v>
      </c>
      <c r="H15" s="255">
        <v>489.68</v>
      </c>
      <c r="I15" s="255">
        <v>54.6</v>
      </c>
      <c r="J15" s="255"/>
      <c r="K15" s="255">
        <f>+(H15+I15-J15)*12</f>
        <v>6531.36</v>
      </c>
      <c r="L15" s="249"/>
      <c r="M15" s="249">
        <f>+K15*M$9</f>
        <v>5697.0539460797827</v>
      </c>
      <c r="N15" s="249"/>
      <c r="O15" s="249"/>
      <c r="P15" s="249">
        <f>SUM(M15:N15)</f>
        <v>5697.0539460797827</v>
      </c>
      <c r="Q15" s="249"/>
      <c r="R15" s="249"/>
      <c r="S15" s="249"/>
    </row>
    <row r="16" spans="1:19">
      <c r="A16" s="254">
        <v>4</v>
      </c>
      <c r="B16" s="2" t="s">
        <v>894</v>
      </c>
      <c r="C16" s="2" t="s">
        <v>894</v>
      </c>
      <c r="D16" s="249">
        <f>433.17*12</f>
        <v>5198.04</v>
      </c>
      <c r="E16" s="249">
        <f>53.1*12</f>
        <v>637.20000000000005</v>
      </c>
      <c r="F16" s="249"/>
      <c r="G16" s="249">
        <f>SUM(D16:F16)</f>
        <v>5835.24</v>
      </c>
      <c r="H16" s="255">
        <v>489.68</v>
      </c>
      <c r="I16" s="255">
        <v>54.6</v>
      </c>
      <c r="J16" s="255"/>
      <c r="K16" s="255">
        <f>+(H16+I16-J16)*12</f>
        <v>6531.36</v>
      </c>
      <c r="L16" s="249"/>
      <c r="M16" s="249">
        <f>+K16*M$9</f>
        <v>5697.0539460797827</v>
      </c>
      <c r="N16" s="249"/>
      <c r="O16" s="249"/>
      <c r="P16" s="249">
        <f>SUM(M16:N16)</f>
        <v>5697.0539460797827</v>
      </c>
      <c r="Q16" s="249"/>
      <c r="R16" s="249"/>
      <c r="S16" s="249"/>
    </row>
    <row r="17" spans="1:19">
      <c r="A17" s="254">
        <v>5</v>
      </c>
      <c r="B17" s="2" t="s">
        <v>894</v>
      </c>
      <c r="C17" s="2" t="s">
        <v>894</v>
      </c>
      <c r="D17" s="249">
        <f>433.17*12</f>
        <v>5198.04</v>
      </c>
      <c r="E17" s="249">
        <f>53.1*12</f>
        <v>637.20000000000005</v>
      </c>
      <c r="F17" s="249"/>
      <c r="G17" s="249">
        <f>SUM(D17:F17)</f>
        <v>5835.24</v>
      </c>
      <c r="H17" s="255">
        <v>489.68</v>
      </c>
      <c r="I17" s="255">
        <v>54.6</v>
      </c>
      <c r="J17" s="255"/>
      <c r="K17" s="255">
        <f>+(H17+I17-J17)*12</f>
        <v>6531.36</v>
      </c>
      <c r="L17" s="249"/>
      <c r="M17" s="249">
        <f>+K17*M$9</f>
        <v>5697.0539460797827</v>
      </c>
      <c r="P17" s="249">
        <f>SUM(M17:N17)</f>
        <v>5697.0539460797827</v>
      </c>
    </row>
    <row r="18" spans="1:19">
      <c r="A18" s="256" t="s">
        <v>898</v>
      </c>
      <c r="D18" s="249"/>
      <c r="E18" s="249"/>
      <c r="F18" s="249"/>
      <c r="G18" s="249"/>
      <c r="H18" s="255"/>
      <c r="I18" s="255"/>
      <c r="J18" s="255"/>
      <c r="K18" s="255"/>
      <c r="L18" s="249"/>
      <c r="M18" s="249"/>
      <c r="N18" s="249"/>
      <c r="O18" s="249"/>
      <c r="P18" s="249"/>
      <c r="Q18" s="249"/>
      <c r="R18" s="249"/>
      <c r="S18" s="249"/>
    </row>
    <row r="19" spans="1:19">
      <c r="A19" s="254"/>
      <c r="D19" s="249"/>
      <c r="E19" s="249"/>
      <c r="F19" s="249"/>
      <c r="G19" s="249"/>
      <c r="H19" s="255"/>
      <c r="I19" s="255"/>
      <c r="J19" s="255"/>
      <c r="K19" s="255"/>
      <c r="L19" s="249"/>
      <c r="M19" s="249"/>
      <c r="N19" s="249"/>
      <c r="O19" s="249"/>
      <c r="P19" s="249"/>
      <c r="Q19" s="249"/>
      <c r="R19" s="249"/>
      <c r="S19" s="249"/>
    </row>
    <row r="20" spans="1:19">
      <c r="A20" s="254">
        <v>6</v>
      </c>
      <c r="B20" s="2" t="s">
        <v>894</v>
      </c>
      <c r="C20" s="2" t="s">
        <v>894</v>
      </c>
      <c r="D20" s="249">
        <f>433.17*12</f>
        <v>5198.04</v>
      </c>
      <c r="E20" s="249">
        <f>53.1*12</f>
        <v>637.20000000000005</v>
      </c>
      <c r="F20" s="249"/>
      <c r="G20" s="249">
        <f>SUM(D20:F20)</f>
        <v>5835.24</v>
      </c>
      <c r="H20" s="255">
        <v>489.68</v>
      </c>
      <c r="I20" s="255">
        <v>54.6</v>
      </c>
      <c r="J20" s="255"/>
      <c r="K20" s="255">
        <f t="shared" ref="K20:K30" si="0">+(H20+I20-J20)*12</f>
        <v>6531.36</v>
      </c>
      <c r="L20" s="249"/>
      <c r="M20" s="249">
        <f t="shared" ref="M20:M30" si="1">+K20*M$9</f>
        <v>5697.0539460797827</v>
      </c>
      <c r="N20" s="249"/>
      <c r="O20" s="249"/>
      <c r="P20" s="249">
        <f t="shared" ref="P20:P30" si="2">SUM(M20:N20)</f>
        <v>5697.0539460797827</v>
      </c>
      <c r="Q20" s="249"/>
      <c r="R20" s="249"/>
      <c r="S20" s="249"/>
    </row>
    <row r="21" spans="1:19">
      <c r="A21" s="254">
        <v>7</v>
      </c>
      <c r="B21" s="2" t="s">
        <v>894</v>
      </c>
      <c r="C21" s="2" t="s">
        <v>894</v>
      </c>
      <c r="D21" s="249">
        <f>433.17*12</f>
        <v>5198.04</v>
      </c>
      <c r="E21" s="249">
        <f>53.1*12</f>
        <v>637.20000000000005</v>
      </c>
      <c r="F21" s="249"/>
      <c r="G21" s="249">
        <f>SUM(D21:F21)</f>
        <v>5835.24</v>
      </c>
      <c r="H21" s="255">
        <v>489.68</v>
      </c>
      <c r="I21" s="255">
        <v>54.6</v>
      </c>
      <c r="J21" s="255"/>
      <c r="K21" s="255">
        <f t="shared" si="0"/>
        <v>6531.36</v>
      </c>
      <c r="L21" s="249"/>
      <c r="M21" s="249">
        <f t="shared" si="1"/>
        <v>5697.0539460797827</v>
      </c>
      <c r="N21" s="249"/>
      <c r="O21" s="249"/>
      <c r="P21" s="249">
        <f t="shared" si="2"/>
        <v>5697.0539460797827</v>
      </c>
      <c r="Q21" s="249"/>
      <c r="R21" s="249"/>
      <c r="S21" s="249"/>
    </row>
    <row r="22" spans="1:19">
      <c r="A22" s="254">
        <v>9</v>
      </c>
      <c r="B22" s="2" t="s">
        <v>894</v>
      </c>
      <c r="C22" s="2" t="s">
        <v>894</v>
      </c>
      <c r="D22" s="249">
        <v>0</v>
      </c>
      <c r="E22" s="249">
        <f>53.1*12</f>
        <v>637.20000000000005</v>
      </c>
      <c r="F22" s="249"/>
      <c r="G22" s="249">
        <f>SUM(D22:F22)</f>
        <v>637.20000000000005</v>
      </c>
      <c r="H22" s="255">
        <v>489.68</v>
      </c>
      <c r="I22" s="255">
        <v>54.6</v>
      </c>
      <c r="J22" s="255"/>
      <c r="K22" s="255">
        <f t="shared" si="0"/>
        <v>6531.36</v>
      </c>
      <c r="L22" s="249"/>
      <c r="M22" s="249">
        <f t="shared" si="1"/>
        <v>5697.0539460797827</v>
      </c>
      <c r="N22" s="249"/>
      <c r="O22" s="249"/>
      <c r="P22" s="249">
        <f t="shared" si="2"/>
        <v>5697.0539460797827</v>
      </c>
      <c r="Q22" s="249"/>
      <c r="R22" s="249"/>
      <c r="S22" s="249"/>
    </row>
    <row r="23" spans="1:19">
      <c r="A23" s="254">
        <v>10</v>
      </c>
      <c r="B23" s="2" t="s">
        <v>894</v>
      </c>
      <c r="C23" s="2" t="s">
        <v>894</v>
      </c>
      <c r="D23" s="249">
        <f>433.17*12</f>
        <v>5198.04</v>
      </c>
      <c r="E23" s="249">
        <f>53.1*12</f>
        <v>637.20000000000005</v>
      </c>
      <c r="F23" s="249"/>
      <c r="G23" s="249">
        <f>SUM(D23:F23)</f>
        <v>5835.24</v>
      </c>
      <c r="H23" s="255">
        <v>489.68</v>
      </c>
      <c r="I23" s="255">
        <v>54.6</v>
      </c>
      <c r="J23" s="255"/>
      <c r="K23" s="255">
        <f>+(H23+I23-J23)*12</f>
        <v>6531.36</v>
      </c>
      <c r="L23" s="249"/>
      <c r="M23" s="249">
        <f>+K23*M$9</f>
        <v>5697.0539460797827</v>
      </c>
      <c r="N23" s="249"/>
      <c r="O23" s="249"/>
      <c r="P23" s="249">
        <f>SUM(M23:N23)</f>
        <v>5697.0539460797827</v>
      </c>
      <c r="Q23" s="249"/>
      <c r="R23" s="249"/>
      <c r="S23" s="249"/>
    </row>
    <row r="24" spans="1:19">
      <c r="A24" s="254">
        <v>11</v>
      </c>
      <c r="B24" s="2" t="s">
        <v>894</v>
      </c>
      <c r="C24" s="2" t="s">
        <v>894</v>
      </c>
      <c r="D24" s="249">
        <f>754.94*12</f>
        <v>9059.2800000000007</v>
      </c>
      <c r="E24" s="249">
        <f>173.7*12</f>
        <v>2084.3999999999996</v>
      </c>
      <c r="F24" s="249">
        <v>-4024.28</v>
      </c>
      <c r="G24" s="249">
        <f t="shared" ref="G24:G30" si="3">SUM(D24:F24)</f>
        <v>7119.4</v>
      </c>
      <c r="H24" s="255">
        <v>754.94</v>
      </c>
      <c r="I24" s="255">
        <v>178.65</v>
      </c>
      <c r="J24" s="255">
        <f>(+H24-489.68+I24-54.6)</f>
        <v>389.31000000000006</v>
      </c>
      <c r="K24" s="255">
        <f t="shared" si="0"/>
        <v>6531.36</v>
      </c>
      <c r="L24" s="249"/>
      <c r="M24" s="249">
        <f t="shared" si="1"/>
        <v>5697.0539460797827</v>
      </c>
      <c r="N24" s="249"/>
      <c r="O24" s="249"/>
      <c r="P24" s="249">
        <f t="shared" si="2"/>
        <v>5697.0539460797827</v>
      </c>
      <c r="Q24" s="249"/>
      <c r="R24" s="249"/>
      <c r="S24" s="249"/>
    </row>
    <row r="25" spans="1:19">
      <c r="A25" s="254">
        <v>12</v>
      </c>
      <c r="B25" s="2" t="s">
        <v>894</v>
      </c>
      <c r="C25" s="2" t="s">
        <v>894</v>
      </c>
      <c r="D25" s="249">
        <f>433.17*12</f>
        <v>5198.04</v>
      </c>
      <c r="E25" s="249">
        <f>12*53.1</f>
        <v>637.20000000000005</v>
      </c>
      <c r="F25" s="249"/>
      <c r="G25" s="249">
        <f t="shared" si="3"/>
        <v>5835.24</v>
      </c>
      <c r="H25" s="255">
        <v>489.68</v>
      </c>
      <c r="I25" s="255">
        <v>54.6</v>
      </c>
      <c r="J25" s="255"/>
      <c r="K25" s="255">
        <f t="shared" si="0"/>
        <v>6531.36</v>
      </c>
      <c r="L25" s="249"/>
      <c r="M25" s="249">
        <f t="shared" si="1"/>
        <v>5697.0539460797827</v>
      </c>
      <c r="N25" s="249"/>
      <c r="O25" s="249"/>
      <c r="P25" s="249">
        <f t="shared" si="2"/>
        <v>5697.0539460797827</v>
      </c>
      <c r="Q25" s="249"/>
      <c r="R25" s="249"/>
      <c r="S25" s="249"/>
    </row>
    <row r="26" spans="1:19">
      <c r="A26" s="254">
        <v>13</v>
      </c>
      <c r="B26" s="2" t="s">
        <v>894</v>
      </c>
      <c r="C26" s="2" t="s">
        <v>894</v>
      </c>
      <c r="D26" s="249">
        <f>433.17*12</f>
        <v>5198.04</v>
      </c>
      <c r="E26" s="249">
        <f>53.1*12</f>
        <v>637.20000000000005</v>
      </c>
      <c r="F26" s="249"/>
      <c r="G26" s="249">
        <f t="shared" si="3"/>
        <v>5835.24</v>
      </c>
      <c r="H26" s="255">
        <v>489.68</v>
      </c>
      <c r="I26" s="255">
        <v>54.6</v>
      </c>
      <c r="J26" s="255"/>
      <c r="K26" s="255">
        <f t="shared" si="0"/>
        <v>6531.36</v>
      </c>
      <c r="L26" s="249"/>
      <c r="M26" s="249">
        <f t="shared" si="1"/>
        <v>5697.0539460797827</v>
      </c>
      <c r="N26" s="249"/>
      <c r="O26" s="249"/>
      <c r="P26" s="249">
        <f t="shared" si="2"/>
        <v>5697.0539460797827</v>
      </c>
      <c r="Q26" s="249"/>
      <c r="R26" s="249"/>
      <c r="S26" s="249"/>
    </row>
    <row r="27" spans="1:19">
      <c r="A27" s="254">
        <v>14</v>
      </c>
      <c r="B27" s="2" t="s">
        <v>76</v>
      </c>
      <c r="C27" s="2" t="s">
        <v>894</v>
      </c>
      <c r="D27" s="249">
        <v>0</v>
      </c>
      <c r="E27" s="249">
        <f>53.1*12</f>
        <v>637.20000000000005</v>
      </c>
      <c r="F27" s="249"/>
      <c r="G27" s="249">
        <f t="shared" si="3"/>
        <v>637.20000000000005</v>
      </c>
      <c r="H27" s="255">
        <v>0</v>
      </c>
      <c r="I27" s="255">
        <v>0</v>
      </c>
      <c r="J27" s="255"/>
      <c r="K27" s="255">
        <f>+(H27+I27-J27)*12</f>
        <v>0</v>
      </c>
      <c r="L27" s="249"/>
      <c r="M27" s="249">
        <f>+K27*M$9</f>
        <v>0</v>
      </c>
      <c r="N27" s="249"/>
      <c r="O27" s="249"/>
      <c r="P27" s="249">
        <f>SUM(M27:N27)</f>
        <v>0</v>
      </c>
      <c r="Q27" s="249"/>
      <c r="R27" s="249"/>
      <c r="S27" s="249"/>
    </row>
    <row r="28" spans="1:19">
      <c r="A28" s="254">
        <v>16</v>
      </c>
      <c r="B28" s="2" t="s">
        <v>894</v>
      </c>
      <c r="C28" s="2" t="s">
        <v>894</v>
      </c>
      <c r="D28" s="249">
        <f>754.94*12</f>
        <v>9059.2800000000007</v>
      </c>
      <c r="E28" s="249">
        <f>173.7*12</f>
        <v>2084.3999999999996</v>
      </c>
      <c r="F28" s="249">
        <v>-4024.28</v>
      </c>
      <c r="G28" s="249">
        <f t="shared" si="3"/>
        <v>7119.4</v>
      </c>
      <c r="H28" s="255">
        <v>754.94</v>
      </c>
      <c r="I28" s="255">
        <v>178.65</v>
      </c>
      <c r="J28" s="255">
        <f>(+H28-489.68+I28-54.6)</f>
        <v>389.31000000000006</v>
      </c>
      <c r="K28" s="255">
        <f t="shared" si="0"/>
        <v>6531.36</v>
      </c>
      <c r="L28" s="249"/>
      <c r="M28" s="249">
        <f t="shared" si="1"/>
        <v>5697.0539460797827</v>
      </c>
      <c r="N28" s="249"/>
      <c r="O28" s="249"/>
      <c r="P28" s="249">
        <f t="shared" si="2"/>
        <v>5697.0539460797827</v>
      </c>
      <c r="Q28" s="249"/>
      <c r="R28" s="249"/>
      <c r="S28" s="249"/>
    </row>
    <row r="29" spans="1:19">
      <c r="A29" s="254">
        <v>17</v>
      </c>
      <c r="B29" s="2" t="s">
        <v>894</v>
      </c>
      <c r="C29" s="2" t="s">
        <v>894</v>
      </c>
      <c r="D29" s="249">
        <f>233.38*12</f>
        <v>2800.56</v>
      </c>
      <c r="E29" s="249">
        <f>53.1*12</f>
        <v>637.20000000000005</v>
      </c>
      <c r="F29" s="249"/>
      <c r="G29" s="249">
        <f t="shared" si="3"/>
        <v>3437.76</v>
      </c>
      <c r="H29" s="255">
        <v>0</v>
      </c>
      <c r="I29" s="255">
        <v>0</v>
      </c>
      <c r="J29" s="255"/>
      <c r="K29" s="255">
        <f>+(H29+I29-J29)*12</f>
        <v>0</v>
      </c>
      <c r="L29" s="249"/>
      <c r="M29" s="249">
        <f>+K29*M$9</f>
        <v>0</v>
      </c>
      <c r="P29" s="249">
        <f>SUM(M29:N29)</f>
        <v>0</v>
      </c>
    </row>
    <row r="30" spans="1:19">
      <c r="A30" s="254">
        <v>19</v>
      </c>
      <c r="B30" s="2" t="s">
        <v>894</v>
      </c>
      <c r="C30" s="2" t="s">
        <v>894</v>
      </c>
      <c r="D30" s="249">
        <v>0</v>
      </c>
      <c r="E30" s="249">
        <f>53.1*12</f>
        <v>637.20000000000005</v>
      </c>
      <c r="F30" s="249"/>
      <c r="G30" s="249">
        <f t="shared" si="3"/>
        <v>637.20000000000005</v>
      </c>
      <c r="H30" s="255">
        <v>489.68</v>
      </c>
      <c r="I30" s="255">
        <v>54.6</v>
      </c>
      <c r="J30" s="255"/>
      <c r="K30" s="255">
        <f t="shared" si="0"/>
        <v>6531.36</v>
      </c>
      <c r="L30" s="249"/>
      <c r="M30" s="249">
        <f t="shared" si="1"/>
        <v>5697.0539460797827</v>
      </c>
      <c r="N30" s="249"/>
      <c r="O30" s="249"/>
      <c r="P30" s="249">
        <f t="shared" si="2"/>
        <v>5697.0539460797827</v>
      </c>
      <c r="Q30" s="249"/>
      <c r="R30" s="249"/>
      <c r="S30" s="249"/>
    </row>
    <row r="31" spans="1:19">
      <c r="A31" s="256" t="s">
        <v>897</v>
      </c>
      <c r="D31" s="249"/>
      <c r="E31" s="249"/>
      <c r="F31" s="249"/>
      <c r="G31" s="249"/>
      <c r="H31" s="255"/>
      <c r="I31" s="255"/>
      <c r="J31" s="255"/>
      <c r="K31" s="255"/>
      <c r="L31" s="249"/>
      <c r="M31" s="249"/>
      <c r="N31" s="249"/>
      <c r="O31" s="249"/>
      <c r="P31" s="249"/>
      <c r="Q31" s="249"/>
      <c r="R31" s="249"/>
      <c r="S31" s="249"/>
    </row>
    <row r="32" spans="1:19">
      <c r="A32" s="254"/>
      <c r="D32" s="249"/>
      <c r="E32" s="249"/>
      <c r="F32" s="249"/>
      <c r="G32" s="249"/>
      <c r="H32" s="255"/>
      <c r="I32" s="255"/>
      <c r="J32" s="255"/>
      <c r="K32" s="255"/>
      <c r="L32" s="249"/>
      <c r="M32" s="249"/>
      <c r="N32" s="249"/>
      <c r="O32" s="249"/>
      <c r="P32" s="249"/>
      <c r="Q32" s="249"/>
      <c r="R32" s="249"/>
      <c r="S32" s="249"/>
    </row>
    <row r="33" spans="1:19">
      <c r="A33" s="254">
        <v>40</v>
      </c>
      <c r="B33" s="2" t="s">
        <v>894</v>
      </c>
      <c r="C33" s="2" t="s">
        <v>894</v>
      </c>
      <c r="D33" s="249">
        <f>433.17*12</f>
        <v>5198.04</v>
      </c>
      <c r="E33" s="249">
        <f>53.1*12</f>
        <v>637.20000000000005</v>
      </c>
      <c r="F33" s="249"/>
      <c r="G33" s="249">
        <f t="shared" ref="G33:G38" si="4">SUM(D33:F33)</f>
        <v>5835.24</v>
      </c>
      <c r="H33" s="255">
        <v>489.68</v>
      </c>
      <c r="I33" s="255">
        <v>54.6</v>
      </c>
      <c r="J33" s="255"/>
      <c r="K33" s="255">
        <f t="shared" ref="K33:K38" si="5">+(H33+I33-J33)*12</f>
        <v>6531.36</v>
      </c>
      <c r="L33" s="249"/>
      <c r="M33" s="249"/>
      <c r="N33" s="249">
        <f>-K33</f>
        <v>-6531.36</v>
      </c>
      <c r="O33" s="249"/>
      <c r="P33" s="249">
        <v>0</v>
      </c>
      <c r="Q33" s="249"/>
      <c r="R33" s="249"/>
      <c r="S33" s="249"/>
    </row>
    <row r="34" spans="1:19">
      <c r="A34" s="254">
        <v>20</v>
      </c>
      <c r="B34" s="2" t="s">
        <v>894</v>
      </c>
      <c r="C34" s="2" t="s">
        <v>894</v>
      </c>
      <c r="D34" s="249">
        <f>433.17*12</f>
        <v>5198.04</v>
      </c>
      <c r="E34" s="249">
        <f>53.1*12</f>
        <v>637.20000000000005</v>
      </c>
      <c r="F34" s="249"/>
      <c r="G34" s="249">
        <f t="shared" si="4"/>
        <v>5835.24</v>
      </c>
      <c r="H34" s="255">
        <v>489.68</v>
      </c>
      <c r="I34" s="255">
        <v>54.6</v>
      </c>
      <c r="J34" s="255"/>
      <c r="K34" s="255">
        <f t="shared" si="5"/>
        <v>6531.36</v>
      </c>
      <c r="L34" s="249"/>
      <c r="M34" s="249">
        <f t="shared" ref="M34:M35" si="6">+K34*M$9</f>
        <v>5697.0539460797827</v>
      </c>
      <c r="N34" s="249"/>
      <c r="O34" s="249"/>
      <c r="P34" s="249">
        <f>SUM(M34:N34)</f>
        <v>5697.0539460797827</v>
      </c>
      <c r="Q34" s="249"/>
      <c r="R34" s="249"/>
      <c r="S34" s="249"/>
    </row>
    <row r="35" spans="1:19">
      <c r="A35" s="254">
        <v>21</v>
      </c>
      <c r="B35" s="2" t="s">
        <v>894</v>
      </c>
      <c r="C35" s="2" t="s">
        <v>894</v>
      </c>
      <c r="D35" s="249">
        <f>433.17*12</f>
        <v>5198.04</v>
      </c>
      <c r="E35" s="249">
        <f>53.1*12</f>
        <v>637.20000000000005</v>
      </c>
      <c r="F35" s="249"/>
      <c r="G35" s="249">
        <f t="shared" si="4"/>
        <v>5835.24</v>
      </c>
      <c r="H35" s="255">
        <v>489.68</v>
      </c>
      <c r="I35" s="255">
        <v>54.6</v>
      </c>
      <c r="J35" s="255"/>
      <c r="K35" s="255">
        <f t="shared" si="5"/>
        <v>6531.36</v>
      </c>
      <c r="L35" s="249"/>
      <c r="M35" s="249">
        <f t="shared" si="6"/>
        <v>5697.0539460797827</v>
      </c>
      <c r="N35" s="249"/>
      <c r="O35" s="249"/>
      <c r="P35" s="249">
        <f>SUM(M35:N35)</f>
        <v>5697.0539460797827</v>
      </c>
      <c r="Q35" s="249"/>
      <c r="R35" s="249"/>
      <c r="S35" s="249"/>
    </row>
    <row r="36" spans="1:19">
      <c r="A36" s="254">
        <v>22</v>
      </c>
      <c r="B36" s="2" t="s">
        <v>894</v>
      </c>
      <c r="C36" s="2" t="s">
        <v>894</v>
      </c>
      <c r="D36" s="249">
        <f>433.17*12</f>
        <v>5198.04</v>
      </c>
      <c r="E36" s="249">
        <f>53.1*12</f>
        <v>637.20000000000005</v>
      </c>
      <c r="F36" s="249"/>
      <c r="G36" s="249">
        <f t="shared" si="4"/>
        <v>5835.24</v>
      </c>
      <c r="H36" s="255">
        <v>489.68</v>
      </c>
      <c r="I36" s="255">
        <v>54.6</v>
      </c>
      <c r="J36" s="255"/>
      <c r="K36" s="255">
        <f t="shared" si="5"/>
        <v>6531.36</v>
      </c>
      <c r="L36" s="249"/>
      <c r="M36" s="249"/>
      <c r="N36" s="249">
        <f>-K36</f>
        <v>-6531.36</v>
      </c>
      <c r="O36" s="249"/>
      <c r="P36" s="249">
        <v>0</v>
      </c>
      <c r="Q36" s="249"/>
      <c r="R36" s="249"/>
      <c r="S36" s="249"/>
    </row>
    <row r="37" spans="1:19">
      <c r="A37" s="254">
        <v>41</v>
      </c>
      <c r="B37" s="2" t="s">
        <v>894</v>
      </c>
      <c r="C37" s="2" t="s">
        <v>894</v>
      </c>
      <c r="D37" s="249">
        <f>754.94*12</f>
        <v>9059.2800000000007</v>
      </c>
      <c r="E37" s="249">
        <f>110.75*12</f>
        <v>1329</v>
      </c>
      <c r="F37" s="249">
        <f>+F28</f>
        <v>-4024.28</v>
      </c>
      <c r="G37" s="249">
        <f t="shared" si="4"/>
        <v>6364</v>
      </c>
      <c r="H37" s="255">
        <v>489.68</v>
      </c>
      <c r="I37" s="255">
        <v>54.6</v>
      </c>
      <c r="J37" s="255"/>
      <c r="K37" s="255">
        <f>+(H37+I37-J37)*12</f>
        <v>6531.36</v>
      </c>
      <c r="L37" s="249"/>
      <c r="M37" s="249"/>
      <c r="N37" s="249">
        <f>-K37</f>
        <v>-6531.36</v>
      </c>
      <c r="O37" s="249"/>
      <c r="P37" s="249">
        <v>0</v>
      </c>
      <c r="Q37" s="249"/>
      <c r="R37" s="249"/>
      <c r="S37" s="249"/>
    </row>
    <row r="38" spans="1:19">
      <c r="A38" s="254">
        <v>23</v>
      </c>
      <c r="B38" s="2" t="s">
        <v>894</v>
      </c>
      <c r="C38" s="2" t="s">
        <v>894</v>
      </c>
      <c r="D38" s="249">
        <f>433.17*12</f>
        <v>5198.04</v>
      </c>
      <c r="E38" s="249">
        <f>53.1*12</f>
        <v>637.20000000000005</v>
      </c>
      <c r="F38" s="249"/>
      <c r="G38" s="249">
        <f t="shared" si="4"/>
        <v>5835.24</v>
      </c>
      <c r="H38" s="255">
        <v>489.68</v>
      </c>
      <c r="I38" s="255">
        <v>54.6</v>
      </c>
      <c r="J38" s="255"/>
      <c r="K38" s="255">
        <f t="shared" si="5"/>
        <v>6531.36</v>
      </c>
      <c r="L38" s="249"/>
      <c r="M38" s="249"/>
      <c r="N38" s="249">
        <f>-K38</f>
        <v>-6531.36</v>
      </c>
      <c r="O38" s="249"/>
      <c r="P38" s="249">
        <v>0</v>
      </c>
      <c r="Q38" s="249"/>
      <c r="R38" s="249"/>
      <c r="S38" s="249"/>
    </row>
    <row r="39" spans="1:19">
      <c r="A39" s="256" t="s">
        <v>896</v>
      </c>
      <c r="D39" s="249"/>
      <c r="E39" s="249"/>
      <c r="F39" s="249"/>
      <c r="G39" s="249"/>
      <c r="H39" s="255"/>
      <c r="I39" s="255"/>
      <c r="J39" s="255"/>
      <c r="K39" s="255"/>
      <c r="L39" s="249"/>
      <c r="M39" s="249"/>
      <c r="N39" s="249"/>
      <c r="O39" s="249"/>
      <c r="P39" s="249"/>
      <c r="Q39" s="249"/>
      <c r="R39" s="249"/>
      <c r="S39" s="249"/>
    </row>
    <row r="40" spans="1:19">
      <c r="A40" s="254"/>
      <c r="D40" s="249"/>
      <c r="E40" s="249"/>
      <c r="F40" s="249"/>
      <c r="G40" s="249"/>
      <c r="H40" s="255"/>
      <c r="I40" s="255"/>
      <c r="J40" s="255"/>
      <c r="K40" s="255"/>
      <c r="L40" s="249"/>
      <c r="M40" s="249"/>
      <c r="N40" s="249"/>
      <c r="O40" s="249"/>
      <c r="P40" s="249"/>
      <c r="Q40" s="249"/>
      <c r="R40" s="249"/>
      <c r="S40" s="249"/>
    </row>
    <row r="41" spans="1:19">
      <c r="A41" s="254">
        <v>24</v>
      </c>
      <c r="B41" s="2" t="s">
        <v>894</v>
      </c>
      <c r="C41" s="2" t="s">
        <v>894</v>
      </c>
      <c r="D41" s="249">
        <f>433.17*12</f>
        <v>5198.04</v>
      </c>
      <c r="E41" s="249">
        <f>53.1*12</f>
        <v>637.20000000000005</v>
      </c>
      <c r="F41" s="249"/>
      <c r="G41" s="249">
        <f t="shared" ref="G41:G44" si="7">SUM(D41:F41)</f>
        <v>5835.24</v>
      </c>
      <c r="H41" s="255">
        <v>489.68</v>
      </c>
      <c r="I41" s="255">
        <v>54.6</v>
      </c>
      <c r="J41" s="255"/>
      <c r="K41" s="255">
        <f t="shared" ref="K41:K44" si="8">+(H41+I41-J41)*12</f>
        <v>6531.36</v>
      </c>
      <c r="L41" s="249"/>
      <c r="M41" s="249"/>
      <c r="N41" s="249"/>
      <c r="O41" s="249">
        <f>-K41</f>
        <v>-6531.36</v>
      </c>
      <c r="P41" s="249">
        <v>0</v>
      </c>
      <c r="Q41" s="249"/>
      <c r="R41" s="249"/>
      <c r="S41" s="249"/>
    </row>
    <row r="42" spans="1:19">
      <c r="A42" s="254">
        <v>8</v>
      </c>
      <c r="B42" s="2" t="s">
        <v>894</v>
      </c>
      <c r="C42" s="2" t="s">
        <v>894</v>
      </c>
      <c r="D42" s="249">
        <f>233.38*12</f>
        <v>2800.56</v>
      </c>
      <c r="E42" s="249">
        <f>53.1*12</f>
        <v>637.20000000000005</v>
      </c>
      <c r="F42" s="249"/>
      <c r="G42" s="249">
        <f t="shared" si="7"/>
        <v>3437.76</v>
      </c>
      <c r="H42" s="255">
        <v>265.27999999999997</v>
      </c>
      <c r="I42" s="255">
        <v>54.6</v>
      </c>
      <c r="J42" s="255"/>
      <c r="K42" s="255">
        <f t="shared" si="8"/>
        <v>3838.56</v>
      </c>
      <c r="L42" s="249"/>
      <c r="M42" s="249">
        <f t="shared" ref="M42:M44" si="9">+K42*M$9</f>
        <v>3348.2281477768811</v>
      </c>
      <c r="N42" s="249"/>
      <c r="O42" s="249"/>
      <c r="P42" s="249">
        <f t="shared" ref="P42:P44" si="10">SUM(M42:N42)</f>
        <v>3348.2281477768811</v>
      </c>
      <c r="Q42" s="249"/>
      <c r="R42" s="249"/>
      <c r="S42" s="249"/>
    </row>
    <row r="43" spans="1:19">
      <c r="A43" s="254">
        <v>29</v>
      </c>
      <c r="B43" s="2" t="s">
        <v>894</v>
      </c>
      <c r="C43" s="2" t="s">
        <v>894</v>
      </c>
      <c r="D43" s="249">
        <f>433.17*12</f>
        <v>5198.04</v>
      </c>
      <c r="E43" s="249">
        <v>0</v>
      </c>
      <c r="F43" s="249"/>
      <c r="G43" s="249">
        <f t="shared" si="7"/>
        <v>5198.04</v>
      </c>
      <c r="H43" s="255">
        <v>489.68</v>
      </c>
      <c r="I43" s="255">
        <v>54.6</v>
      </c>
      <c r="J43" s="255"/>
      <c r="K43" s="255">
        <f t="shared" si="8"/>
        <v>6531.36</v>
      </c>
      <c r="L43" s="249"/>
      <c r="M43" s="249">
        <f t="shared" si="9"/>
        <v>5697.0539460797827</v>
      </c>
      <c r="P43" s="249">
        <f t="shared" si="10"/>
        <v>5697.0539460797827</v>
      </c>
    </row>
    <row r="44" spans="1:19">
      <c r="A44" s="254">
        <v>18</v>
      </c>
      <c r="B44" s="2" t="s">
        <v>894</v>
      </c>
      <c r="C44" s="2" t="s">
        <v>894</v>
      </c>
      <c r="D44" s="249">
        <f>233.38*12</f>
        <v>2800.56</v>
      </c>
      <c r="E44" s="249">
        <f>53.1*12</f>
        <v>637.20000000000005</v>
      </c>
      <c r="F44" s="249"/>
      <c r="G44" s="249">
        <f t="shared" si="7"/>
        <v>3437.76</v>
      </c>
      <c r="H44" s="255">
        <v>265.27999999999997</v>
      </c>
      <c r="I44" s="255">
        <v>54.6</v>
      </c>
      <c r="J44" s="255"/>
      <c r="K44" s="255">
        <f t="shared" si="8"/>
        <v>3838.56</v>
      </c>
      <c r="L44" s="249"/>
      <c r="M44" s="249">
        <f t="shared" si="9"/>
        <v>3348.2281477768811</v>
      </c>
      <c r="P44" s="249">
        <f t="shared" si="10"/>
        <v>3348.2281477768811</v>
      </c>
    </row>
    <row r="45" spans="1:19">
      <c r="A45" s="256" t="s">
        <v>895</v>
      </c>
      <c r="D45" s="249"/>
      <c r="E45" s="249"/>
      <c r="F45" s="249"/>
      <c r="G45" s="249"/>
      <c r="H45" s="255"/>
      <c r="I45" s="255"/>
      <c r="J45" s="255"/>
      <c r="K45" s="255"/>
      <c r="L45" s="249"/>
      <c r="M45" s="249"/>
      <c r="P45" s="249"/>
    </row>
    <row r="46" spans="1:19">
      <c r="A46" s="256"/>
      <c r="D46" s="249"/>
      <c r="E46" s="249"/>
      <c r="F46" s="249"/>
      <c r="G46" s="249"/>
      <c r="H46" s="255"/>
      <c r="I46" s="255"/>
      <c r="J46" s="255"/>
      <c r="K46" s="255"/>
      <c r="L46" s="249"/>
      <c r="M46" s="249"/>
      <c r="P46" s="249"/>
    </row>
    <row r="47" spans="1:19" s="2" customFormat="1">
      <c r="A47" s="254">
        <v>34</v>
      </c>
      <c r="B47" s="2" t="s">
        <v>894</v>
      </c>
      <c r="C47" s="2" t="s">
        <v>894</v>
      </c>
      <c r="D47" s="249">
        <f>433.17*12</f>
        <v>5198.04</v>
      </c>
      <c r="E47" s="249">
        <f>53.1*12</f>
        <v>637.20000000000005</v>
      </c>
      <c r="F47" s="249"/>
      <c r="G47" s="249">
        <f t="shared" ref="G47" si="11">SUM(D47:F47)</f>
        <v>5835.24</v>
      </c>
      <c r="H47" s="255">
        <v>489.68</v>
      </c>
      <c r="I47" s="255">
        <v>54.6</v>
      </c>
      <c r="J47" s="255"/>
      <c r="K47" s="255">
        <f>+(H47+I47-J47)*12</f>
        <v>6531.36</v>
      </c>
      <c r="L47" s="249"/>
      <c r="M47" s="249">
        <f>+K47*M$9</f>
        <v>5697.0539460797827</v>
      </c>
      <c r="P47" s="249">
        <f>SUM(M47:N47)</f>
        <v>5697.0539460797827</v>
      </c>
    </row>
    <row r="48" spans="1:19">
      <c r="A48" s="256" t="s">
        <v>893</v>
      </c>
      <c r="D48" s="249"/>
      <c r="E48" s="249"/>
      <c r="F48" s="249"/>
      <c r="G48" s="249"/>
      <c r="H48" s="255"/>
      <c r="I48" s="255"/>
      <c r="J48" s="255"/>
      <c r="K48" s="255"/>
      <c r="L48" s="249"/>
      <c r="M48" s="249"/>
      <c r="P48" s="249"/>
    </row>
    <row r="49" spans="1:16">
      <c r="A49" s="254"/>
      <c r="B49" s="14"/>
      <c r="C49" s="14"/>
      <c r="D49" s="249"/>
      <c r="E49" s="249"/>
      <c r="F49" s="249"/>
      <c r="G49" s="249"/>
      <c r="H49" s="255"/>
      <c r="I49" s="255"/>
      <c r="J49" s="255"/>
      <c r="K49" s="255"/>
      <c r="L49" s="249"/>
      <c r="M49" s="249"/>
      <c r="P49" s="249"/>
    </row>
    <row r="50" spans="1:16" ht="16.5" thickBot="1">
      <c r="D50" s="672">
        <f t="shared" ref="D50:K50" si="12">SUM(D10:D47)</f>
        <v>134342.27999999994</v>
      </c>
      <c r="E50" s="672">
        <f t="shared" si="12"/>
        <v>20790.600000000009</v>
      </c>
      <c r="F50" s="672">
        <f t="shared" si="12"/>
        <v>-12072.84</v>
      </c>
      <c r="G50" s="672">
        <f>SUM(G10:G47)</f>
        <v>143060.04</v>
      </c>
      <c r="H50" s="672">
        <f t="shared" si="12"/>
        <v>12813.400000000005</v>
      </c>
      <c r="I50" s="672">
        <f t="shared" si="12"/>
        <v>1667.6999999999991</v>
      </c>
      <c r="J50" s="672">
        <f t="shared" si="12"/>
        <v>778.62000000000012</v>
      </c>
      <c r="K50" s="672">
        <f t="shared" si="12"/>
        <v>164429.75999999995</v>
      </c>
      <c r="L50" s="672"/>
      <c r="M50" s="672">
        <f>SUM(M10:M47)</f>
        <v>109243.42732498988</v>
      </c>
      <c r="P50" s="672">
        <f>SUM(P10:P47)</f>
        <v>109243.42732498988</v>
      </c>
    </row>
    <row r="51" spans="1:16" ht="16.5" thickTop="1">
      <c r="A51" s="2"/>
      <c r="D51" s="249"/>
      <c r="E51" s="249"/>
      <c r="F51" s="249"/>
      <c r="G51" s="249"/>
      <c r="H51" s="249"/>
      <c r="I51" s="249"/>
      <c r="J51" s="249"/>
      <c r="K51" s="249"/>
      <c r="L51" s="249"/>
    </row>
    <row r="52" spans="1:16">
      <c r="D52" s="249"/>
      <c r="E52" s="249"/>
      <c r="F52" s="249"/>
      <c r="G52" s="249"/>
      <c r="H52" s="250"/>
      <c r="I52" s="250"/>
      <c r="J52" s="250"/>
      <c r="K52" s="250"/>
      <c r="L52" s="249"/>
    </row>
    <row r="53" spans="1:16">
      <c r="A53" s="3"/>
      <c r="D53" s="249"/>
      <c r="E53" s="249"/>
      <c r="F53" s="249"/>
      <c r="G53" s="1">
        <f>+G50</f>
        <v>143060.04</v>
      </c>
      <c r="H53" s="1" t="s">
        <v>1231</v>
      </c>
      <c r="I53" s="249"/>
      <c r="J53" s="249"/>
      <c r="K53" s="249"/>
      <c r="L53" s="249"/>
      <c r="M53" s="1" t="s">
        <v>892</v>
      </c>
      <c r="P53" s="1">
        <f>+Operations!K75</f>
        <v>122196.58055243411</v>
      </c>
    </row>
    <row r="54" spans="1:16">
      <c r="G54" s="1">
        <f>-G41</f>
        <v>-5835.24</v>
      </c>
      <c r="H54" s="1" t="s">
        <v>1233</v>
      </c>
    </row>
    <row r="55" spans="1:16">
      <c r="A55" s="2"/>
      <c r="G55" s="1">
        <f>-G14</f>
        <v>-5835.24</v>
      </c>
      <c r="H55" s="1" t="s">
        <v>1234</v>
      </c>
      <c r="L55" s="2"/>
      <c r="M55" s="1" t="s">
        <v>205</v>
      </c>
      <c r="P55" s="1">
        <f>+P50-P53</f>
        <v>-12953.153227444229</v>
      </c>
    </row>
    <row r="56" spans="1:16">
      <c r="G56" s="1">
        <f>-G33</f>
        <v>-5835.24</v>
      </c>
      <c r="H56" s="1" t="s">
        <v>1234</v>
      </c>
    </row>
    <row r="57" spans="1:16">
      <c r="G57" s="628">
        <f>-G37</f>
        <v>-6364</v>
      </c>
      <c r="H57" s="1" t="s">
        <v>1234</v>
      </c>
    </row>
    <row r="58" spans="1:16">
      <c r="G58" s="1">
        <f>SUM(G53:G57)</f>
        <v>119190.32000000002</v>
      </c>
      <c r="H58" s="1" t="s">
        <v>1235</v>
      </c>
    </row>
    <row r="59" spans="1:16">
      <c r="G59" s="628">
        <v>140092</v>
      </c>
      <c r="H59" s="1" t="s">
        <v>1232</v>
      </c>
    </row>
    <row r="60" spans="1:16">
      <c r="G60" s="1">
        <f>+G58-G59</f>
        <v>-20901.679999999978</v>
      </c>
      <c r="H60" s="1" t="s">
        <v>204</v>
      </c>
    </row>
    <row r="61" spans="1:16">
      <c r="C61" s="629"/>
      <c r="D61" s="629"/>
      <c r="E61" s="629"/>
    </row>
    <row r="62" spans="1:16">
      <c r="C62" s="629"/>
      <c r="D62" s="629"/>
      <c r="E62" s="629"/>
    </row>
    <row r="63" spans="1:16">
      <c r="C63" s="629"/>
      <c r="D63" s="629"/>
      <c r="E63" s="629"/>
    </row>
    <row r="64" spans="1:16">
      <c r="C64" s="629"/>
      <c r="D64" s="629"/>
      <c r="E64" s="629"/>
    </row>
    <row r="65" spans="3:5">
      <c r="C65" s="629"/>
      <c r="D65" s="629"/>
      <c r="E65" s="629"/>
    </row>
    <row r="66" spans="3:5">
      <c r="C66" s="629"/>
      <c r="D66" s="629"/>
      <c r="E66" s="629"/>
    </row>
    <row r="67" spans="3:5">
      <c r="C67" s="629"/>
      <c r="D67" s="629"/>
      <c r="E67" s="629"/>
    </row>
  </sheetData>
  <mergeCells count="3">
    <mergeCell ref="A1:P1"/>
    <mergeCell ref="A3:P3"/>
    <mergeCell ref="A5:P5"/>
  </mergeCells>
  <pageMargins left="0.5" right="0.5" top="0.75" bottom="0.5" header="0" footer="0.25"/>
  <pageSetup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8:L28"/>
  <sheetViews>
    <sheetView zoomScaleNormal="100" workbookViewId="0">
      <selection activeCell="A14" sqref="A14"/>
    </sheetView>
  </sheetViews>
  <sheetFormatPr defaultRowHeight="15"/>
  <cols>
    <col min="10" max="10" width="7.33203125" customWidth="1"/>
  </cols>
  <sheetData>
    <row r="8" spans="1:11" ht="15.75">
      <c r="A8" s="789" t="s">
        <v>181</v>
      </c>
      <c r="B8" s="789"/>
      <c r="C8" s="789"/>
      <c r="D8" s="789"/>
      <c r="E8" s="789"/>
      <c r="F8" s="789"/>
      <c r="G8" s="789"/>
      <c r="H8" s="789"/>
      <c r="I8" s="789"/>
      <c r="J8" s="789"/>
    </row>
    <row r="9" spans="1:11" ht="15.75">
      <c r="A9" s="70"/>
    </row>
    <row r="10" spans="1:11" ht="15.75">
      <c r="A10" s="71" t="s">
        <v>178</v>
      </c>
      <c r="B10" s="71"/>
    </row>
    <row r="11" spans="1:11" ht="15" customHeight="1">
      <c r="A11" s="790" t="s">
        <v>600</v>
      </c>
      <c r="B11" s="790"/>
      <c r="C11" s="790"/>
      <c r="D11" s="790"/>
      <c r="E11" s="790"/>
      <c r="F11" s="790"/>
      <c r="G11" s="790"/>
      <c r="H11" s="790"/>
      <c r="I11" s="790"/>
      <c r="J11" s="790"/>
      <c r="K11" s="155"/>
    </row>
    <row r="12" spans="1:11" ht="15.75">
      <c r="A12" s="70"/>
    </row>
    <row r="13" spans="1:11" ht="202.5" customHeight="1">
      <c r="A13" s="785" t="s">
        <v>1297</v>
      </c>
      <c r="B13" s="785"/>
      <c r="C13" s="785"/>
      <c r="D13" s="785"/>
      <c r="E13" s="785"/>
      <c r="F13" s="785"/>
      <c r="G13" s="785"/>
      <c r="H13" s="785"/>
      <c r="I13" s="785"/>
      <c r="J13" s="785"/>
    </row>
    <row r="14" spans="1:11" ht="12.6" customHeight="1">
      <c r="A14" s="664"/>
      <c r="B14" s="664"/>
      <c r="C14" s="664"/>
      <c r="D14" s="664"/>
      <c r="E14" s="664"/>
      <c r="F14" s="664"/>
      <c r="G14" s="664"/>
      <c r="H14" s="664"/>
      <c r="I14" s="664"/>
      <c r="J14" s="664"/>
    </row>
    <row r="15" spans="1:11" ht="139.5" customHeight="1">
      <c r="A15" s="785" t="s">
        <v>1282</v>
      </c>
      <c r="B15" s="785"/>
      <c r="C15" s="785"/>
      <c r="D15" s="785"/>
      <c r="E15" s="785"/>
      <c r="F15" s="785"/>
      <c r="G15" s="785"/>
      <c r="H15" s="785"/>
      <c r="I15" s="785"/>
      <c r="J15" s="785"/>
    </row>
    <row r="16" spans="1:11" ht="12" customHeight="1">
      <c r="A16" s="70"/>
    </row>
    <row r="17" spans="1:12" ht="69.75" customHeight="1">
      <c r="A17" s="785" t="s">
        <v>1283</v>
      </c>
      <c r="B17" s="785"/>
      <c r="C17" s="785"/>
      <c r="D17" s="785"/>
      <c r="E17" s="785"/>
      <c r="F17" s="785"/>
      <c r="G17" s="785"/>
      <c r="H17" s="785"/>
      <c r="I17" s="785"/>
      <c r="J17" s="785"/>
    </row>
    <row r="18" spans="1:12" ht="12" customHeight="1">
      <c r="A18" s="70"/>
    </row>
    <row r="19" spans="1:12" ht="89.25" customHeight="1">
      <c r="A19" s="785" t="s">
        <v>1284</v>
      </c>
      <c r="B19" s="785"/>
      <c r="C19" s="785"/>
      <c r="D19" s="785"/>
      <c r="E19" s="785"/>
      <c r="F19" s="785"/>
      <c r="G19" s="785"/>
      <c r="H19" s="785"/>
      <c r="I19" s="785"/>
      <c r="J19" s="785"/>
      <c r="L19" s="155"/>
    </row>
    <row r="20" spans="1:12" ht="12" customHeight="1">
      <c r="A20" s="70"/>
    </row>
    <row r="21" spans="1:12" ht="56.25" customHeight="1">
      <c r="A21" s="785" t="s">
        <v>179</v>
      </c>
      <c r="B21" s="785"/>
      <c r="C21" s="785"/>
      <c r="D21" s="785"/>
      <c r="E21" s="785"/>
      <c r="F21" s="785"/>
      <c r="G21" s="785"/>
      <c r="H21" s="785"/>
      <c r="I21" s="785"/>
      <c r="J21" s="785"/>
    </row>
    <row r="22" spans="1:12" ht="15.75">
      <c r="A22" s="70"/>
    </row>
    <row r="23" spans="1:12" ht="15.75">
      <c r="A23" s="70"/>
    </row>
    <row r="24" spans="1:12" ht="15.75">
      <c r="A24" s="70"/>
    </row>
    <row r="25" spans="1:12" ht="15.75">
      <c r="A25" s="70"/>
    </row>
    <row r="26" spans="1:12" ht="15.75">
      <c r="A26" s="786" t="s">
        <v>180</v>
      </c>
      <c r="B26" s="787"/>
      <c r="C26" s="787"/>
      <c r="D26" s="787"/>
      <c r="E26" s="787"/>
      <c r="F26" s="787"/>
      <c r="G26" s="787"/>
      <c r="H26" s="787"/>
      <c r="I26" s="787"/>
      <c r="J26" s="787"/>
    </row>
    <row r="27" spans="1:12" ht="15.75">
      <c r="A27" s="788">
        <v>45281</v>
      </c>
      <c r="B27" s="788"/>
      <c r="C27" s="788"/>
      <c r="D27" s="788"/>
      <c r="E27" s="788"/>
      <c r="F27" s="788"/>
      <c r="G27" s="788"/>
      <c r="H27" s="788"/>
      <c r="I27" s="788"/>
      <c r="J27" s="788"/>
    </row>
    <row r="28" spans="1:12" ht="15.75">
      <c r="A28" s="70"/>
    </row>
  </sheetData>
  <mergeCells count="9">
    <mergeCell ref="A19:J19"/>
    <mergeCell ref="A21:J21"/>
    <mergeCell ref="A26:J26"/>
    <mergeCell ref="A27:J27"/>
    <mergeCell ref="A8:J8"/>
    <mergeCell ref="A11:J11"/>
    <mergeCell ref="A13:J13"/>
    <mergeCell ref="A15:J15"/>
    <mergeCell ref="A17:J17"/>
  </mergeCells>
  <pageMargins left="0.7" right="0.7" top="0.75" bottom="0.75" header="0.3" footer="0.3"/>
  <pageSetup scale="78" orientation="portrait"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6"/>
  <dimension ref="A1:F71"/>
  <sheetViews>
    <sheetView zoomScaleNormal="100" workbookViewId="0">
      <selection sqref="A1:E1"/>
    </sheetView>
  </sheetViews>
  <sheetFormatPr defaultColWidth="8.88671875" defaultRowHeight="15.75"/>
  <cols>
    <col min="1" max="1" width="9.77734375" style="5" customWidth="1"/>
    <col min="2" max="2" width="1.88671875" style="5" customWidth="1"/>
    <col min="3" max="3" width="24.5546875" style="5" bestFit="1" customWidth="1"/>
    <col min="4" max="4" width="22.109375" style="5" customWidth="1"/>
    <col min="5" max="5" width="10.77734375" style="5" customWidth="1"/>
    <col min="6" max="16384" width="8.88671875" style="5"/>
  </cols>
  <sheetData>
    <row r="1" spans="1:6" ht="16.5">
      <c r="A1" s="830" t="s">
        <v>601</v>
      </c>
      <c r="B1" s="830"/>
      <c r="C1" s="830"/>
      <c r="D1" s="830"/>
      <c r="E1" s="830"/>
    </row>
    <row r="2" spans="1:6" ht="13.5" customHeight="1">
      <c r="A2" s="13"/>
      <c r="B2" s="13"/>
    </row>
    <row r="3" spans="1:6" ht="16.5">
      <c r="A3" s="830" t="s">
        <v>610</v>
      </c>
      <c r="B3" s="830"/>
      <c r="C3" s="830"/>
      <c r="D3" s="830"/>
      <c r="E3" s="830"/>
    </row>
    <row r="4" spans="1:6">
      <c r="A4" s="20"/>
      <c r="B4" s="20"/>
      <c r="C4" s="20"/>
      <c r="D4" s="20"/>
      <c r="E4" s="20"/>
    </row>
    <row r="5" spans="1:6">
      <c r="A5" s="834" t="str">
        <f>+'WP-1 Rate Case Cost'!A5:G5</f>
        <v>In Support of Tariff No. 18, G-143, effective March 1, 2024</v>
      </c>
      <c r="B5" s="834"/>
      <c r="C5" s="834"/>
      <c r="D5" s="834"/>
      <c r="E5" s="834"/>
    </row>
    <row r="6" spans="1:6">
      <c r="A6" s="13"/>
      <c r="B6" s="13"/>
    </row>
    <row r="7" spans="1:6" s="6" customFormat="1">
      <c r="A7" s="66" t="s">
        <v>68</v>
      </c>
      <c r="B7" s="66"/>
      <c r="C7" s="66" t="s">
        <v>71</v>
      </c>
      <c r="D7" s="66" t="s">
        <v>72</v>
      </c>
      <c r="E7" s="66" t="s">
        <v>2</v>
      </c>
    </row>
    <row r="8" spans="1:6" ht="15" customHeight="1">
      <c r="A8" s="674">
        <v>44589</v>
      </c>
      <c r="B8" s="675"/>
      <c r="C8" s="33" t="s">
        <v>725</v>
      </c>
      <c r="D8" s="33" t="s">
        <v>501</v>
      </c>
      <c r="E8" s="676">
        <v>808.5</v>
      </c>
    </row>
    <row r="9" spans="1:6" ht="15" customHeight="1">
      <c r="A9" s="674">
        <v>44589</v>
      </c>
      <c r="B9" s="675"/>
      <c r="C9" s="33" t="s">
        <v>725</v>
      </c>
      <c r="D9" s="33" t="s">
        <v>726</v>
      </c>
      <c r="E9" s="676">
        <v>711.5</v>
      </c>
    </row>
    <row r="10" spans="1:6" ht="15" customHeight="1">
      <c r="A10" s="674">
        <v>44589</v>
      </c>
      <c r="B10" s="675"/>
      <c r="C10" s="33" t="s">
        <v>725</v>
      </c>
      <c r="D10" s="33" t="s">
        <v>502</v>
      </c>
      <c r="E10" s="676">
        <v>3243.5</v>
      </c>
      <c r="F10" s="5" t="s">
        <v>979</v>
      </c>
    </row>
    <row r="11" spans="1:6" ht="15" customHeight="1">
      <c r="A11" s="674">
        <v>44589</v>
      </c>
      <c r="B11" s="675"/>
      <c r="C11" s="33" t="s">
        <v>725</v>
      </c>
      <c r="D11" s="33" t="s">
        <v>393</v>
      </c>
      <c r="E11" s="676">
        <v>485.5</v>
      </c>
    </row>
    <row r="12" spans="1:6" ht="15" customHeight="1">
      <c r="A12" s="674">
        <v>44589</v>
      </c>
      <c r="B12" s="675"/>
      <c r="C12" s="33" t="s">
        <v>725</v>
      </c>
      <c r="D12" s="33" t="s">
        <v>503</v>
      </c>
      <c r="E12" s="676">
        <v>424.5</v>
      </c>
    </row>
    <row r="13" spans="1:6" ht="15" customHeight="1">
      <c r="A13" s="674">
        <v>44607</v>
      </c>
      <c r="B13" s="675"/>
      <c r="C13" s="33" t="s">
        <v>725</v>
      </c>
      <c r="D13" s="33" t="s">
        <v>505</v>
      </c>
      <c r="E13" s="676">
        <v>222.5</v>
      </c>
    </row>
    <row r="14" spans="1:6" ht="15" customHeight="1">
      <c r="A14" s="674">
        <v>44686</v>
      </c>
      <c r="B14" s="675"/>
      <c r="C14" s="33" t="s">
        <v>725</v>
      </c>
      <c r="D14" s="33" t="s">
        <v>509</v>
      </c>
      <c r="E14" s="676">
        <v>638.5</v>
      </c>
    </row>
    <row r="15" spans="1:6" ht="15" customHeight="1">
      <c r="A15" s="674">
        <v>44686</v>
      </c>
      <c r="B15" s="675"/>
      <c r="C15" s="33" t="s">
        <v>725</v>
      </c>
      <c r="D15" s="33" t="s">
        <v>504</v>
      </c>
      <c r="E15" s="676">
        <v>3243.5</v>
      </c>
      <c r="F15" s="5" t="s">
        <v>979</v>
      </c>
    </row>
    <row r="16" spans="1:6" ht="15" customHeight="1">
      <c r="A16" s="674">
        <v>44701</v>
      </c>
      <c r="B16" s="675"/>
      <c r="C16" s="33" t="s">
        <v>725</v>
      </c>
      <c r="D16" s="33" t="s">
        <v>504</v>
      </c>
      <c r="E16" s="676">
        <v>36.5</v>
      </c>
      <c r="F16" s="5" t="s">
        <v>979</v>
      </c>
    </row>
    <row r="17" spans="1:6" ht="15" customHeight="1">
      <c r="A17" s="674">
        <v>44728</v>
      </c>
      <c r="B17" s="675"/>
      <c r="C17" s="33" t="s">
        <v>725</v>
      </c>
      <c r="D17" s="33" t="s">
        <v>727</v>
      </c>
      <c r="E17" s="676">
        <v>222.5</v>
      </c>
    </row>
    <row r="18" spans="1:6" ht="15" customHeight="1">
      <c r="A18" s="674">
        <v>44728</v>
      </c>
      <c r="B18" s="675"/>
      <c r="C18" s="33" t="s">
        <v>725</v>
      </c>
      <c r="D18" s="33" t="s">
        <v>728</v>
      </c>
      <c r="E18" s="676">
        <v>808.5</v>
      </c>
    </row>
    <row r="19" spans="1:6" ht="15" customHeight="1">
      <c r="A19" s="674">
        <v>44749</v>
      </c>
      <c r="B19" s="675"/>
      <c r="C19" s="33" t="s">
        <v>725</v>
      </c>
      <c r="D19" s="678" t="s">
        <v>507</v>
      </c>
      <c r="E19" s="676">
        <v>454.5</v>
      </c>
    </row>
    <row r="20" spans="1:6" ht="15" customHeight="1">
      <c r="A20" s="674">
        <v>44749</v>
      </c>
      <c r="B20" s="675"/>
      <c r="C20" s="33" t="s">
        <v>725</v>
      </c>
      <c r="D20" s="678" t="s">
        <v>729</v>
      </c>
      <c r="E20" s="676">
        <v>3243.5</v>
      </c>
      <c r="F20" s="5" t="s">
        <v>985</v>
      </c>
    </row>
    <row r="21" spans="1:6" ht="15" customHeight="1">
      <c r="A21" s="674">
        <v>44768</v>
      </c>
      <c r="B21" s="675"/>
      <c r="C21" s="33" t="s">
        <v>725</v>
      </c>
      <c r="D21" s="678" t="s">
        <v>508</v>
      </c>
      <c r="E21" s="676">
        <v>3243.5</v>
      </c>
    </row>
    <row r="22" spans="1:6" ht="15" customHeight="1">
      <c r="A22" s="674">
        <v>44826</v>
      </c>
      <c r="B22" s="675"/>
      <c r="C22" s="33" t="s">
        <v>725</v>
      </c>
      <c r="D22" s="678" t="s">
        <v>392</v>
      </c>
      <c r="E22" s="676">
        <v>602.5</v>
      </c>
    </row>
    <row r="23" spans="1:6" ht="15" customHeight="1">
      <c r="A23" s="674">
        <v>44826</v>
      </c>
      <c r="B23" s="675"/>
      <c r="C23" s="33" t="s">
        <v>725</v>
      </c>
      <c r="D23" s="678" t="s">
        <v>731</v>
      </c>
      <c r="E23" s="676">
        <v>268.5</v>
      </c>
    </row>
    <row r="24" spans="1:6" ht="15" customHeight="1">
      <c r="A24" s="674">
        <v>44837</v>
      </c>
      <c r="B24" s="675"/>
      <c r="C24" s="33" t="s">
        <v>730</v>
      </c>
      <c r="D24" s="678"/>
      <c r="E24" s="676">
        <v>116.65</v>
      </c>
      <c r="F24" s="5" t="s">
        <v>861</v>
      </c>
    </row>
    <row r="25" spans="1:6" ht="15" customHeight="1">
      <c r="A25" s="674">
        <v>44847</v>
      </c>
      <c r="B25" s="675"/>
      <c r="C25" s="33" t="s">
        <v>725</v>
      </c>
      <c r="D25" s="678" t="s">
        <v>732</v>
      </c>
      <c r="E25" s="676">
        <v>3243.5</v>
      </c>
    </row>
    <row r="26" spans="1:6" ht="15" customHeight="1">
      <c r="A26" s="674">
        <v>44867</v>
      </c>
      <c r="B26" s="675"/>
      <c r="C26" s="33" t="s">
        <v>725</v>
      </c>
      <c r="D26" s="678" t="s">
        <v>506</v>
      </c>
      <c r="E26" s="676">
        <v>115.5</v>
      </c>
    </row>
    <row r="27" spans="1:6" ht="15" customHeight="1">
      <c r="A27" s="674">
        <v>44867</v>
      </c>
      <c r="B27" s="675"/>
      <c r="C27" s="33" t="s">
        <v>725</v>
      </c>
      <c r="D27" s="678" t="s">
        <v>733</v>
      </c>
      <c r="E27" s="676">
        <v>115.5</v>
      </c>
    </row>
    <row r="28" spans="1:6" ht="15" customHeight="1">
      <c r="A28" s="674">
        <v>44867</v>
      </c>
      <c r="B28" s="675"/>
      <c r="C28" s="33" t="s">
        <v>725</v>
      </c>
      <c r="D28" s="678" t="s">
        <v>734</v>
      </c>
      <c r="E28" s="676">
        <v>3140.5</v>
      </c>
      <c r="F28" s="5" t="s">
        <v>979</v>
      </c>
    </row>
    <row r="29" spans="1:6" ht="15" customHeight="1">
      <c r="A29" s="674">
        <v>44901</v>
      </c>
      <c r="B29" s="675"/>
      <c r="C29" s="33" t="s">
        <v>730</v>
      </c>
      <c r="D29" s="678"/>
      <c r="E29" s="676">
        <v>29.1</v>
      </c>
      <c r="F29" s="5" t="s">
        <v>861</v>
      </c>
    </row>
    <row r="30" spans="1:6" ht="15" customHeight="1">
      <c r="A30" s="674">
        <v>44903</v>
      </c>
      <c r="B30" s="675"/>
      <c r="C30" s="33" t="s">
        <v>725</v>
      </c>
      <c r="D30" s="678" t="s">
        <v>735</v>
      </c>
      <c r="E30" s="676">
        <v>187.5</v>
      </c>
    </row>
    <row r="31" spans="1:6" ht="15" customHeight="1">
      <c r="A31" s="674">
        <v>44903</v>
      </c>
      <c r="B31" s="675"/>
      <c r="C31" s="33" t="s">
        <v>725</v>
      </c>
      <c r="D31" s="678" t="s">
        <v>736</v>
      </c>
      <c r="E31" s="676">
        <v>625.5</v>
      </c>
    </row>
    <row r="32" spans="1:6" ht="15" customHeight="1">
      <c r="A32" s="674">
        <v>44903</v>
      </c>
      <c r="B32" s="675"/>
      <c r="C32" s="33" t="s">
        <v>725</v>
      </c>
      <c r="D32" s="33" t="s">
        <v>510</v>
      </c>
      <c r="E32" s="676">
        <v>711.5</v>
      </c>
    </row>
    <row r="33" spans="1:6" ht="15" customHeight="1">
      <c r="A33" s="674">
        <v>44903</v>
      </c>
      <c r="B33" s="675"/>
      <c r="C33" s="33" t="s">
        <v>725</v>
      </c>
      <c r="D33" s="33" t="s">
        <v>737</v>
      </c>
      <c r="E33" s="676">
        <v>808.5</v>
      </c>
    </row>
    <row r="34" spans="1:6" ht="15" customHeight="1">
      <c r="A34" s="674">
        <v>44903</v>
      </c>
      <c r="B34" s="675"/>
      <c r="C34" s="33" t="s">
        <v>725</v>
      </c>
      <c r="D34" s="33" t="s">
        <v>726</v>
      </c>
      <c r="E34" s="676">
        <v>711.5</v>
      </c>
    </row>
    <row r="35" spans="1:6" ht="15" customHeight="1">
      <c r="A35" s="33"/>
      <c r="B35" s="33"/>
      <c r="C35" s="33"/>
      <c r="D35" s="33"/>
      <c r="E35" s="676"/>
    </row>
    <row r="36" spans="1:6" ht="15" customHeight="1" thickBot="1">
      <c r="A36" s="33"/>
      <c r="B36" s="33"/>
      <c r="C36" s="33"/>
      <c r="D36" s="33"/>
      <c r="E36" s="677">
        <f>SUM(E8:E35)</f>
        <v>28463.25</v>
      </c>
    </row>
    <row r="37" spans="1:6" ht="15" customHeight="1" thickTop="1">
      <c r="D37" s="5" t="s">
        <v>37</v>
      </c>
      <c r="E37" s="676">
        <f>+Operations!C111</f>
        <v>28463.25</v>
      </c>
    </row>
    <row r="38" spans="1:6" ht="15" customHeight="1">
      <c r="E38" s="676">
        <f>+E36-E37</f>
        <v>0</v>
      </c>
    </row>
    <row r="40" spans="1:6">
      <c r="A40" s="5" t="s">
        <v>73</v>
      </c>
      <c r="E40" s="7">
        <f>-E10-E15-E16-E28</f>
        <v>-9664</v>
      </c>
      <c r="F40" s="5" t="s">
        <v>977</v>
      </c>
    </row>
    <row r="41" spans="1:6">
      <c r="A41" s="673">
        <v>1</v>
      </c>
      <c r="C41" s="5" t="s">
        <v>511</v>
      </c>
      <c r="F41" s="679"/>
    </row>
    <row r="42" spans="1:6">
      <c r="A42" s="673">
        <v>2</v>
      </c>
      <c r="C42" s="5" t="s">
        <v>512</v>
      </c>
    </row>
    <row r="43" spans="1:6">
      <c r="A43" s="673">
        <v>3</v>
      </c>
      <c r="C43" s="5" t="s">
        <v>511</v>
      </c>
    </row>
    <row r="44" spans="1:6">
      <c r="A44" s="673">
        <v>4</v>
      </c>
      <c r="C44" s="5" t="s">
        <v>511</v>
      </c>
    </row>
    <row r="45" spans="1:6">
      <c r="A45" s="673">
        <v>5</v>
      </c>
      <c r="C45" s="5" t="s">
        <v>6</v>
      </c>
      <c r="D45" s="5" t="s">
        <v>979</v>
      </c>
    </row>
    <row r="46" spans="1:6">
      <c r="A46" s="673" t="s">
        <v>513</v>
      </c>
      <c r="C46" s="5" t="s">
        <v>391</v>
      </c>
      <c r="D46" s="5" t="s">
        <v>979</v>
      </c>
    </row>
    <row r="47" spans="1:6">
      <c r="A47" s="673">
        <v>6</v>
      </c>
      <c r="C47" s="5" t="s">
        <v>6</v>
      </c>
      <c r="D47" s="5" t="s">
        <v>979</v>
      </c>
    </row>
    <row r="48" spans="1:6">
      <c r="A48" s="673" t="s">
        <v>514</v>
      </c>
      <c r="C48" s="5" t="s">
        <v>391</v>
      </c>
      <c r="D48" s="5" t="s">
        <v>979</v>
      </c>
    </row>
    <row r="49" spans="1:3">
      <c r="A49" s="673">
        <v>7</v>
      </c>
      <c r="C49" s="5" t="s">
        <v>6</v>
      </c>
    </row>
    <row r="50" spans="1:3">
      <c r="A50" s="673" t="s">
        <v>515</v>
      </c>
      <c r="C50" s="5" t="s">
        <v>391</v>
      </c>
    </row>
    <row r="51" spans="1:3">
      <c r="A51" s="673">
        <v>8</v>
      </c>
      <c r="C51" s="5" t="s">
        <v>6</v>
      </c>
    </row>
    <row r="52" spans="1:3">
      <c r="A52" s="673" t="s">
        <v>516</v>
      </c>
      <c r="C52" s="5" t="s">
        <v>391</v>
      </c>
    </row>
    <row r="53" spans="1:3">
      <c r="A53" s="673">
        <v>9</v>
      </c>
      <c r="C53" s="5" t="s">
        <v>511</v>
      </c>
    </row>
    <row r="54" spans="1:3">
      <c r="A54" s="673">
        <v>10</v>
      </c>
      <c r="C54" s="5" t="s">
        <v>511</v>
      </c>
    </row>
    <row r="55" spans="1:3">
      <c r="A55" s="673">
        <v>11</v>
      </c>
      <c r="C55" s="5" t="s">
        <v>517</v>
      </c>
    </row>
    <row r="56" spans="1:3">
      <c r="A56" s="673">
        <v>12</v>
      </c>
      <c r="C56" s="5" t="s">
        <v>518</v>
      </c>
    </row>
    <row r="57" spans="1:3">
      <c r="A57" s="673">
        <v>14</v>
      </c>
      <c r="C57" s="5" t="s">
        <v>518</v>
      </c>
    </row>
    <row r="58" spans="1:3">
      <c r="A58" s="673">
        <v>15</v>
      </c>
      <c r="C58" s="5" t="s">
        <v>519</v>
      </c>
    </row>
    <row r="59" spans="1:3">
      <c r="A59" s="673">
        <v>16</v>
      </c>
      <c r="C59" s="5" t="s">
        <v>511</v>
      </c>
    </row>
    <row r="60" spans="1:3">
      <c r="A60" s="673">
        <v>17</v>
      </c>
      <c r="C60" s="5" t="s">
        <v>520</v>
      </c>
    </row>
    <row r="61" spans="1:3">
      <c r="A61" s="673">
        <v>18</v>
      </c>
      <c r="C61" s="5" t="s">
        <v>6</v>
      </c>
    </row>
    <row r="62" spans="1:3">
      <c r="A62" s="673" t="s">
        <v>521</v>
      </c>
      <c r="C62" s="5" t="s">
        <v>391</v>
      </c>
    </row>
    <row r="63" spans="1:3">
      <c r="A63" s="673">
        <v>19</v>
      </c>
      <c r="C63" s="5" t="s">
        <v>511</v>
      </c>
    </row>
    <row r="64" spans="1:3">
      <c r="A64" s="673">
        <v>20</v>
      </c>
      <c r="C64" s="5" t="s">
        <v>511</v>
      </c>
    </row>
    <row r="65" spans="1:4">
      <c r="A65" s="673">
        <v>21</v>
      </c>
      <c r="C65" s="5" t="s">
        <v>520</v>
      </c>
    </row>
    <row r="66" spans="1:4">
      <c r="A66" s="673">
        <v>22</v>
      </c>
      <c r="C66" s="5" t="s">
        <v>511</v>
      </c>
    </row>
    <row r="67" spans="1:4">
      <c r="A67" s="673">
        <v>23</v>
      </c>
      <c r="C67" s="5" t="s">
        <v>520</v>
      </c>
    </row>
    <row r="68" spans="1:4">
      <c r="A68" s="673">
        <v>24</v>
      </c>
      <c r="C68" s="5" t="s">
        <v>6</v>
      </c>
    </row>
    <row r="69" spans="1:4">
      <c r="A69" s="673" t="s">
        <v>522</v>
      </c>
      <c r="C69" s="5" t="s">
        <v>391</v>
      </c>
    </row>
    <row r="70" spans="1:4">
      <c r="A70" s="673">
        <v>25</v>
      </c>
      <c r="C70" s="5" t="s">
        <v>520</v>
      </c>
      <c r="D70" s="5" t="s">
        <v>979</v>
      </c>
    </row>
    <row r="71" spans="1:4">
      <c r="A71" s="673"/>
    </row>
  </sheetData>
  <mergeCells count="3">
    <mergeCell ref="A1:E1"/>
    <mergeCell ref="A3:E3"/>
    <mergeCell ref="A5:E5"/>
  </mergeCells>
  <pageMargins left="0.5" right="0.5" top="0.75" bottom="0.5" header="0" footer="0.25"/>
  <pageSetup fitToHeight="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7">
    <pageSetUpPr fitToPage="1"/>
  </sheetPr>
  <dimension ref="A1:J48"/>
  <sheetViews>
    <sheetView zoomScaleNormal="100" workbookViewId="0">
      <selection sqref="A1:I1"/>
    </sheetView>
  </sheetViews>
  <sheetFormatPr defaultColWidth="10.88671875" defaultRowHeight="15.75"/>
  <cols>
    <col min="1" max="1" width="21.88671875" style="5" customWidth="1"/>
    <col min="2" max="2" width="8" style="5" customWidth="1"/>
    <col min="3" max="3" width="10.44140625" style="5" customWidth="1"/>
    <col min="4" max="4" width="2.88671875" style="5" customWidth="1"/>
    <col min="5" max="5" width="10.44140625" style="5" customWidth="1"/>
    <col min="6" max="6" width="2.88671875" style="5" customWidth="1"/>
    <col min="7" max="7" width="10.44140625" style="5" customWidth="1"/>
    <col min="8" max="8" width="2.88671875" style="5" customWidth="1"/>
    <col min="9" max="9" width="10.44140625" style="5" customWidth="1"/>
    <col min="10" max="10" width="11.109375" style="5" bestFit="1" customWidth="1"/>
    <col min="11" max="16384" width="10.88671875" style="5"/>
  </cols>
  <sheetData>
    <row r="1" spans="1:9" ht="16.5" customHeight="1">
      <c r="A1" s="834" t="str">
        <f>+Operations!B1</f>
        <v>BAINBRIDGE DISPOSAL, INC.</v>
      </c>
      <c r="B1" s="834"/>
      <c r="C1" s="834"/>
      <c r="D1" s="834"/>
      <c r="E1" s="834"/>
      <c r="F1" s="834"/>
      <c r="G1" s="834"/>
      <c r="H1" s="834"/>
      <c r="I1" s="834"/>
    </row>
    <row r="2" spans="1:9" ht="13.5" customHeight="1">
      <c r="A2" s="13"/>
      <c r="B2" s="13"/>
      <c r="I2" s="7"/>
    </row>
    <row r="3" spans="1:9" ht="16.5" customHeight="1">
      <c r="A3" s="834" t="s">
        <v>161</v>
      </c>
      <c r="B3" s="834"/>
      <c r="C3" s="834"/>
      <c r="D3" s="834"/>
      <c r="E3" s="834"/>
      <c r="F3" s="834"/>
      <c r="G3" s="834"/>
      <c r="H3" s="834"/>
      <c r="I3" s="834"/>
    </row>
    <row r="4" spans="1:9">
      <c r="A4" s="20"/>
      <c r="B4" s="20"/>
      <c r="C4" s="20"/>
      <c r="D4" s="20"/>
      <c r="E4" s="20"/>
      <c r="F4" s="20"/>
      <c r="G4" s="20"/>
      <c r="H4" s="20"/>
      <c r="I4" s="20"/>
    </row>
    <row r="5" spans="1:9">
      <c r="A5" s="832" t="str">
        <f>+'WP-1 Rate Case Cost'!A5:G5</f>
        <v>In Support of Tariff No. 18, G-143, effective March 1, 2024</v>
      </c>
      <c r="B5" s="832"/>
      <c r="C5" s="832"/>
      <c r="D5" s="832"/>
      <c r="E5" s="832"/>
      <c r="F5" s="832"/>
      <c r="G5" s="832"/>
      <c r="H5" s="832"/>
      <c r="I5" s="832"/>
    </row>
    <row r="6" spans="1:9">
      <c r="A6" s="13"/>
      <c r="B6" s="13"/>
      <c r="I6" s="7"/>
    </row>
    <row r="7" spans="1:9" ht="15" customHeight="1">
      <c r="A7" s="13"/>
      <c r="B7" s="13"/>
      <c r="C7" s="215" t="s">
        <v>103</v>
      </c>
      <c r="D7" s="215"/>
      <c r="E7" s="216"/>
      <c r="F7" s="216"/>
      <c r="G7" s="215"/>
      <c r="H7" s="215"/>
      <c r="I7" s="217"/>
    </row>
    <row r="8" spans="1:9" ht="15" customHeight="1">
      <c r="C8" s="215" t="s">
        <v>104</v>
      </c>
      <c r="D8" s="215"/>
      <c r="E8" s="215"/>
      <c r="F8" s="215"/>
      <c r="G8" s="215"/>
      <c r="H8" s="215"/>
      <c r="I8" s="217"/>
    </row>
    <row r="9" spans="1:9" ht="15" customHeight="1">
      <c r="C9" s="218" t="s">
        <v>70</v>
      </c>
      <c r="D9" s="215"/>
      <c r="E9" s="218"/>
      <c r="F9" s="215"/>
      <c r="G9" s="218" t="s">
        <v>1201</v>
      </c>
      <c r="H9" s="215"/>
      <c r="I9" s="219" t="s">
        <v>0</v>
      </c>
    </row>
    <row r="10" spans="1:9" ht="15" customHeight="1">
      <c r="C10" s="66"/>
      <c r="D10" s="64"/>
      <c r="E10" s="66"/>
      <c r="F10" s="64"/>
      <c r="G10" s="66"/>
      <c r="H10" s="64"/>
      <c r="I10" s="65"/>
    </row>
    <row r="11" spans="1:9" ht="15" customHeight="1">
      <c r="A11" s="57" t="s">
        <v>60</v>
      </c>
      <c r="B11" s="57"/>
      <c r="C11" s="67">
        <v>1000</v>
      </c>
      <c r="D11" s="9"/>
      <c r="E11" s="67">
        <v>0</v>
      </c>
      <c r="F11" s="9"/>
      <c r="G11" s="67">
        <v>0</v>
      </c>
      <c r="H11" s="9"/>
      <c r="I11" s="67">
        <f>SUM(C11:G11)</f>
        <v>1000</v>
      </c>
    </row>
    <row r="12" spans="1:9" ht="15" customHeight="1">
      <c r="A12" s="57" t="s">
        <v>61</v>
      </c>
      <c r="B12" s="57"/>
      <c r="C12" s="9">
        <v>1000</v>
      </c>
      <c r="D12" s="9"/>
      <c r="E12" s="9">
        <v>0</v>
      </c>
      <c r="F12" s="9"/>
      <c r="G12" s="9">
        <v>0</v>
      </c>
      <c r="H12" s="9"/>
      <c r="I12" s="9">
        <f t="shared" ref="I12:I22" si="0">SUM(C12:G12)</f>
        <v>1000</v>
      </c>
    </row>
    <row r="13" spans="1:9" ht="15" customHeight="1">
      <c r="A13" s="57" t="s">
        <v>62</v>
      </c>
      <c r="B13" s="57"/>
      <c r="C13" s="9">
        <v>1000</v>
      </c>
      <c r="D13" s="9"/>
      <c r="E13" s="9">
        <v>0</v>
      </c>
      <c r="F13" s="9"/>
      <c r="G13" s="9">
        <v>0</v>
      </c>
      <c r="H13" s="9"/>
      <c r="I13" s="9">
        <f t="shared" si="0"/>
        <v>1000</v>
      </c>
    </row>
    <row r="14" spans="1:9" ht="15" customHeight="1">
      <c r="A14" s="57" t="s">
        <v>63</v>
      </c>
      <c r="B14" s="57"/>
      <c r="C14" s="9">
        <v>1000</v>
      </c>
      <c r="D14" s="9"/>
      <c r="E14" s="9">
        <v>0</v>
      </c>
      <c r="F14" s="9"/>
      <c r="G14" s="9">
        <v>0</v>
      </c>
      <c r="H14" s="9"/>
      <c r="I14" s="9">
        <f t="shared" si="0"/>
        <v>1000</v>
      </c>
    </row>
    <row r="15" spans="1:9" ht="15" customHeight="1">
      <c r="A15" s="57" t="s">
        <v>64</v>
      </c>
      <c r="B15" s="57"/>
      <c r="C15" s="9">
        <v>1000</v>
      </c>
      <c r="D15" s="9"/>
      <c r="E15" s="9">
        <v>0</v>
      </c>
      <c r="F15" s="9"/>
      <c r="G15" s="9">
        <v>0</v>
      </c>
      <c r="H15" s="9"/>
      <c r="I15" s="9">
        <f t="shared" si="0"/>
        <v>1000</v>
      </c>
    </row>
    <row r="16" spans="1:9" ht="15" customHeight="1">
      <c r="A16" s="57" t="s">
        <v>65</v>
      </c>
      <c r="B16" s="57"/>
      <c r="C16" s="9">
        <v>1000</v>
      </c>
      <c r="D16" s="9"/>
      <c r="E16" s="9">
        <v>0</v>
      </c>
      <c r="F16" s="9"/>
      <c r="G16" s="9">
        <v>0</v>
      </c>
      <c r="H16" s="9"/>
      <c r="I16" s="9">
        <f t="shared" si="0"/>
        <v>1000</v>
      </c>
    </row>
    <row r="17" spans="1:10" ht="15" customHeight="1">
      <c r="A17" s="57" t="s">
        <v>66</v>
      </c>
      <c r="B17" s="57"/>
      <c r="C17" s="9">
        <v>1000</v>
      </c>
      <c r="D17" s="9"/>
      <c r="E17" s="9">
        <v>0</v>
      </c>
      <c r="F17" s="9"/>
      <c r="G17" s="9">
        <v>0</v>
      </c>
      <c r="H17" s="9"/>
      <c r="I17" s="9">
        <f t="shared" si="0"/>
        <v>1000</v>
      </c>
    </row>
    <row r="18" spans="1:10" ht="15" customHeight="1">
      <c r="A18" s="57" t="s">
        <v>67</v>
      </c>
      <c r="B18" s="57"/>
      <c r="C18" s="9">
        <v>1000</v>
      </c>
      <c r="D18" s="9"/>
      <c r="E18" s="9">
        <v>0</v>
      </c>
      <c r="F18" s="9"/>
      <c r="G18" s="9">
        <v>0</v>
      </c>
      <c r="H18" s="9"/>
      <c r="I18" s="9">
        <f t="shared" si="0"/>
        <v>1000</v>
      </c>
    </row>
    <row r="19" spans="1:10" ht="15" customHeight="1">
      <c r="A19" s="57" t="s">
        <v>59</v>
      </c>
      <c r="B19" s="57"/>
      <c r="C19" s="9">
        <v>1000</v>
      </c>
      <c r="D19" s="9"/>
      <c r="E19" s="9">
        <v>0</v>
      </c>
      <c r="F19" s="9"/>
      <c r="G19" s="9">
        <v>0</v>
      </c>
      <c r="H19" s="9"/>
      <c r="I19" s="9">
        <f t="shared" si="0"/>
        <v>1000</v>
      </c>
    </row>
    <row r="20" spans="1:10" ht="15" customHeight="1">
      <c r="A20" s="57" t="s">
        <v>58</v>
      </c>
      <c r="B20" s="57"/>
      <c r="C20" s="9">
        <v>1000</v>
      </c>
      <c r="D20" s="9"/>
      <c r="E20" s="9">
        <v>0</v>
      </c>
      <c r="F20" s="9"/>
      <c r="G20" s="9">
        <v>0</v>
      </c>
      <c r="H20" s="9"/>
      <c r="I20" s="9">
        <f t="shared" si="0"/>
        <v>1000</v>
      </c>
    </row>
    <row r="21" spans="1:10" ht="15" customHeight="1">
      <c r="A21" s="57" t="s">
        <v>57</v>
      </c>
      <c r="B21" s="57"/>
      <c r="C21" s="9">
        <v>1000</v>
      </c>
      <c r="D21" s="9"/>
      <c r="E21" s="9">
        <v>0</v>
      </c>
      <c r="F21" s="9"/>
      <c r="G21" s="9">
        <v>0</v>
      </c>
      <c r="H21" s="9"/>
      <c r="I21" s="9">
        <f t="shared" si="0"/>
        <v>1000</v>
      </c>
    </row>
    <row r="22" spans="1:10" ht="15" customHeight="1">
      <c r="A22" s="57" t="s">
        <v>56</v>
      </c>
      <c r="B22" s="57"/>
      <c r="C22" s="34">
        <v>1000</v>
      </c>
      <c r="D22" s="9"/>
      <c r="E22" s="34">
        <v>0</v>
      </c>
      <c r="F22" s="9"/>
      <c r="G22" s="34">
        <v>189.99</v>
      </c>
      <c r="H22" s="9"/>
      <c r="I22" s="34">
        <f t="shared" si="0"/>
        <v>1189.99</v>
      </c>
    </row>
    <row r="23" spans="1:10" ht="15" customHeight="1">
      <c r="C23" s="9"/>
      <c r="D23" s="9"/>
      <c r="E23" s="9"/>
      <c r="F23" s="9"/>
      <c r="G23" s="9"/>
      <c r="H23" s="9"/>
      <c r="I23" s="9"/>
    </row>
    <row r="24" spans="1:10" ht="15" customHeight="1" thickBot="1">
      <c r="C24" s="68">
        <f>SUM(C11:C22)</f>
        <v>12000</v>
      </c>
      <c r="D24" s="9"/>
      <c r="E24" s="68">
        <f>SUM(E11:E22)</f>
        <v>0</v>
      </c>
      <c r="F24" s="9"/>
      <c r="G24" s="68">
        <f>SUM(G11:G22)</f>
        <v>189.99</v>
      </c>
      <c r="H24" s="9"/>
      <c r="I24" s="68">
        <f>SUM(I11:I22)</f>
        <v>12189.99</v>
      </c>
      <c r="J24" s="179"/>
    </row>
    <row r="25" spans="1:10" ht="15" customHeight="1" thickTop="1">
      <c r="C25" s="9"/>
      <c r="D25" s="9"/>
      <c r="E25" s="39"/>
      <c r="F25" s="39"/>
      <c r="G25" s="39"/>
      <c r="H25" s="39"/>
      <c r="I25" s="9"/>
    </row>
    <row r="26" spans="1:10" ht="15" customHeight="1">
      <c r="A26" s="5" t="s">
        <v>860</v>
      </c>
      <c r="C26" s="9">
        <f>C24*0.1365</f>
        <v>1638.0000000000002</v>
      </c>
      <c r="D26" s="9"/>
      <c r="E26" s="9"/>
      <c r="F26" s="9"/>
      <c r="G26" s="9"/>
      <c r="H26" s="9"/>
      <c r="I26" s="9"/>
    </row>
    <row r="27" spans="1:10" ht="15" customHeight="1">
      <c r="C27" s="9"/>
      <c r="D27" s="9"/>
      <c r="E27" s="9"/>
      <c r="F27" s="9"/>
      <c r="G27" s="57" t="s">
        <v>162</v>
      </c>
      <c r="H27" s="57"/>
      <c r="I27" s="9">
        <f>-C26</f>
        <v>-1638.0000000000002</v>
      </c>
    </row>
    <row r="28" spans="1:10" ht="15" customHeight="1">
      <c r="C28" s="9"/>
      <c r="D28" s="9"/>
      <c r="E28" s="9"/>
      <c r="F28" s="9"/>
      <c r="G28" s="9"/>
      <c r="H28" s="9"/>
      <c r="I28" s="620"/>
    </row>
    <row r="29" spans="1:10" ht="15" customHeight="1">
      <c r="I29" s="67">
        <f>+I24+I27</f>
        <v>10551.99</v>
      </c>
    </row>
    <row r="30" spans="1:10" ht="15" customHeight="1">
      <c r="I30" s="619">
        <f>+'WP-10 - Disposal'!P46</f>
        <v>0.86738983940594916</v>
      </c>
      <c r="J30" s="5" t="s">
        <v>1202</v>
      </c>
    </row>
    <row r="31" spans="1:10" ht="15" customHeight="1" thickBot="1">
      <c r="I31" s="621">
        <f>+I29*I30</f>
        <v>9152.6889115131817</v>
      </c>
    </row>
    <row r="32" spans="1:10" ht="15" customHeight="1" thickTop="1"/>
    <row r="33" spans="9:10" ht="15" customHeight="1">
      <c r="I33" s="179">
        <f>+Operations!C56</f>
        <v>12189.99</v>
      </c>
      <c r="J33" s="5" t="s">
        <v>37</v>
      </c>
    </row>
    <row r="34" spans="9:10" ht="15" customHeight="1">
      <c r="I34" s="630">
        <f>+I24-I33</f>
        <v>0</v>
      </c>
    </row>
    <row r="35" spans="9:10" ht="15" customHeight="1"/>
    <row r="36" spans="9:10" ht="15" customHeight="1"/>
    <row r="37" spans="9:10" ht="15" customHeight="1"/>
    <row r="38" spans="9:10" ht="15" customHeight="1"/>
    <row r="39" spans="9:10" ht="15" customHeight="1"/>
    <row r="40" spans="9:10" ht="15" customHeight="1"/>
    <row r="41" spans="9:10" ht="15" customHeight="1"/>
    <row r="42" spans="9:10" ht="15" customHeight="1"/>
    <row r="43" spans="9:10" ht="15" customHeight="1"/>
    <row r="44" spans="9:10" ht="15" customHeight="1"/>
    <row r="45" spans="9:10" ht="15" customHeight="1"/>
    <row r="46" spans="9:10" ht="15" customHeight="1"/>
    <row r="47" spans="9:10" ht="15" customHeight="1"/>
    <row r="48" spans="9:10" ht="15" customHeight="1"/>
  </sheetData>
  <mergeCells count="3">
    <mergeCell ref="A1:I1"/>
    <mergeCell ref="A3:I3"/>
    <mergeCell ref="A5:I5"/>
  </mergeCells>
  <pageMargins left="0.5" right="0.5" top="0.75" bottom="0.5" header="0" footer="0.25"/>
  <pageSetup fitToHeight="0" orientation="landscape" r:id="rId1"/>
  <headerFooter alignWithMargins="0">
    <oddFooter xml:space="preserve">&amp;L&amp;9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8">
    <pageSetUpPr fitToPage="1"/>
  </sheetPr>
  <dimension ref="A1:H47"/>
  <sheetViews>
    <sheetView zoomScaleNormal="100" workbookViewId="0">
      <selection activeCell="A4" sqref="A4"/>
    </sheetView>
  </sheetViews>
  <sheetFormatPr defaultColWidth="9.88671875" defaultRowHeight="15.75"/>
  <cols>
    <col min="1" max="1" width="5.44140625" style="5" customWidth="1"/>
    <col min="2" max="2" width="20.6640625" style="5" customWidth="1"/>
    <col min="3" max="3" width="9.88671875" style="5" customWidth="1"/>
    <col min="4" max="5" width="11.33203125" style="5" customWidth="1"/>
    <col min="6" max="6" width="12.33203125" style="5" customWidth="1"/>
    <col min="7" max="7" width="11.77734375" style="5" customWidth="1"/>
    <col min="8" max="8" width="10.33203125" style="5" customWidth="1"/>
    <col min="9" max="16384" width="9.88671875" style="5"/>
  </cols>
  <sheetData>
    <row r="1" spans="1:8" ht="16.5" customHeight="1">
      <c r="A1" s="834" t="str">
        <f>+Operations!B1</f>
        <v>BAINBRIDGE DISPOSAL, INC.</v>
      </c>
      <c r="B1" s="834"/>
      <c r="C1" s="834"/>
      <c r="D1" s="834"/>
      <c r="E1" s="834"/>
      <c r="F1" s="834"/>
      <c r="G1" s="834"/>
      <c r="H1" s="834"/>
    </row>
    <row r="2" spans="1:8" ht="13.5" customHeight="1">
      <c r="A2" s="12"/>
    </row>
    <row r="3" spans="1:8" ht="16.5" customHeight="1">
      <c r="A3" s="833" t="s">
        <v>1296</v>
      </c>
      <c r="B3" s="833"/>
      <c r="C3" s="833"/>
      <c r="D3" s="833"/>
      <c r="E3" s="833"/>
      <c r="F3" s="833"/>
      <c r="G3" s="833"/>
      <c r="H3" s="833"/>
    </row>
    <row r="4" spans="1:8">
      <c r="A4" s="6"/>
      <c r="B4" s="6"/>
      <c r="C4" s="6"/>
      <c r="D4" s="6"/>
      <c r="E4" s="6"/>
      <c r="F4" s="6"/>
      <c r="G4" s="6"/>
      <c r="H4" s="6"/>
    </row>
    <row r="5" spans="1:8">
      <c r="A5" s="832" t="str">
        <f>+'WP-1 Rate Case Cost'!A5:G5</f>
        <v>In Support of Tariff No. 18, G-143, effective March 1, 2024</v>
      </c>
      <c r="B5" s="832"/>
      <c r="C5" s="832"/>
      <c r="D5" s="832"/>
      <c r="E5" s="832"/>
      <c r="F5" s="832"/>
      <c r="G5" s="832"/>
      <c r="H5" s="832"/>
    </row>
    <row r="6" spans="1:8">
      <c r="A6" s="10"/>
    </row>
    <row r="7" spans="1:8" ht="15" customHeight="1">
      <c r="A7" s="33"/>
      <c r="B7" s="33"/>
      <c r="C7" s="33"/>
      <c r="D7" s="33"/>
      <c r="E7" s="33"/>
      <c r="F7" s="33"/>
      <c r="G7" s="64" t="s">
        <v>85</v>
      </c>
      <c r="H7" s="33"/>
    </row>
    <row r="8" spans="1:8" ht="15" customHeight="1">
      <c r="A8" s="33"/>
      <c r="B8" s="33"/>
      <c r="C8" s="33"/>
      <c r="D8" s="69">
        <v>44562</v>
      </c>
      <c r="E8" s="69">
        <v>44926</v>
      </c>
      <c r="F8" s="66" t="s">
        <v>108</v>
      </c>
      <c r="G8" s="66" t="s">
        <v>86</v>
      </c>
      <c r="H8" s="66" t="s">
        <v>38</v>
      </c>
    </row>
    <row r="9" spans="1:8" ht="15" customHeight="1">
      <c r="B9" s="5" t="s">
        <v>738</v>
      </c>
      <c r="D9" s="67">
        <f>+'BS PBC (Disposal)'!H72-'BS PBC (Disposal)'!H70</f>
        <v>432280.26</v>
      </c>
      <c r="E9" s="67">
        <f>+'BS PBC (Disposal)'!G72-'BS PBC (Disposal)'!G70</f>
        <v>288057.35000000003</v>
      </c>
      <c r="F9" s="67">
        <f>(+D9+E9)/2</f>
        <v>360168.80500000005</v>
      </c>
      <c r="G9" s="67">
        <f>E9</f>
        <v>288057.35000000003</v>
      </c>
      <c r="H9" s="247">
        <f>G9/(+$G$9+$G$10)</f>
        <v>8.8354999877263155E-2</v>
      </c>
    </row>
    <row r="10" spans="1:8" ht="15" customHeight="1">
      <c r="B10" s="5" t="s">
        <v>87</v>
      </c>
      <c r="D10" s="11">
        <f>+'BS PBC (Disposal)'!H81</f>
        <v>3073670.51</v>
      </c>
      <c r="E10" s="11">
        <f>+'BS PBC (Disposal)'!G81</f>
        <v>2972169.58</v>
      </c>
      <c r="F10" s="67">
        <f>(+D10+E10)/2</f>
        <v>3022920.0449999999</v>
      </c>
      <c r="G10" s="67">
        <f>E10</f>
        <v>2972169.58</v>
      </c>
      <c r="H10" s="247">
        <f>G10/(+$G$9+$G$10)</f>
        <v>0.91164500012273686</v>
      </c>
    </row>
    <row r="11" spans="1:8" ht="15" customHeight="1">
      <c r="B11" s="5" t="s">
        <v>88</v>
      </c>
      <c r="D11" s="11"/>
      <c r="E11" s="11"/>
      <c r="F11" s="11">
        <f>+Operations!C114</f>
        <v>15800.210000000001</v>
      </c>
      <c r="G11" s="11"/>
    </row>
    <row r="12" spans="1:8" ht="15" customHeight="1">
      <c r="B12" s="5" t="s">
        <v>739</v>
      </c>
      <c r="F12" s="247">
        <f>F11/F9</f>
        <v>4.3868901972229382E-2</v>
      </c>
    </row>
    <row r="13" spans="1:8" ht="15" customHeight="1">
      <c r="F13" s="238"/>
    </row>
    <row r="14" spans="1:8" ht="15" customHeight="1"/>
    <row r="15" spans="1:8" ht="15" customHeight="1"/>
    <row r="16" spans="1:8"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sheetData>
  <mergeCells count="3">
    <mergeCell ref="A1:H1"/>
    <mergeCell ref="A3:H3"/>
    <mergeCell ref="A5:H5"/>
  </mergeCells>
  <pageMargins left="0.5" right="0.5" top="0.75" bottom="0.5" header="0" footer="0.25"/>
  <pageSetup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0">
    <pageSetUpPr fitToPage="1"/>
  </sheetPr>
  <dimension ref="A1:L277"/>
  <sheetViews>
    <sheetView zoomScaleNormal="100" workbookViewId="0">
      <selection activeCell="A15" sqref="A15:G18"/>
    </sheetView>
  </sheetViews>
  <sheetFormatPr defaultColWidth="8.88671875" defaultRowHeight="15" customHeight="1"/>
  <cols>
    <col min="1" max="1" width="18.6640625" style="122" customWidth="1"/>
    <col min="2" max="2" width="10.88671875" style="122" bestFit="1" customWidth="1"/>
    <col min="3" max="3" width="1.88671875" style="122" customWidth="1"/>
    <col min="4" max="4" width="13" style="122" customWidth="1"/>
    <col min="5" max="6" width="8.88671875" style="122"/>
    <col min="7" max="7" width="19.109375" style="122" customWidth="1"/>
    <col min="8" max="8" width="8.88671875" style="121"/>
    <col min="9" max="9" width="8.88671875" style="122"/>
    <col min="10" max="10" width="13.109375" style="122" bestFit="1" customWidth="1"/>
    <col min="11" max="16384" width="8.88671875" style="122"/>
  </cols>
  <sheetData>
    <row r="1" spans="1:12" ht="15" customHeight="1">
      <c r="A1" s="832" t="s">
        <v>601</v>
      </c>
      <c r="B1" s="832"/>
      <c r="C1" s="832"/>
      <c r="D1" s="832"/>
      <c r="E1" s="832"/>
      <c r="F1" s="832"/>
      <c r="G1" s="832"/>
    </row>
    <row r="2" spans="1:12" ht="15" customHeight="1">
      <c r="A2" s="123"/>
      <c r="B2" s="124"/>
      <c r="C2" s="124"/>
      <c r="D2" s="124"/>
      <c r="E2" s="124"/>
      <c r="F2" s="124"/>
      <c r="G2" s="124"/>
    </row>
    <row r="3" spans="1:12" ht="15" customHeight="1">
      <c r="A3" s="838" t="s">
        <v>163</v>
      </c>
      <c r="B3" s="838"/>
      <c r="C3" s="838"/>
      <c r="D3" s="838"/>
      <c r="E3" s="838"/>
      <c r="F3" s="838"/>
      <c r="G3" s="838"/>
    </row>
    <row r="4" spans="1:12" ht="15" customHeight="1">
      <c r="A4" s="125"/>
      <c r="B4" s="125"/>
      <c r="C4" s="125"/>
      <c r="D4" s="125"/>
      <c r="E4" s="125"/>
      <c r="F4" s="125"/>
      <c r="G4" s="125"/>
    </row>
    <row r="5" spans="1:12" ht="15" customHeight="1">
      <c r="A5" s="832" t="str">
        <f>+'WP-1 Rate Case Cost'!A5:G5</f>
        <v>In Support of Tariff No. 18, G-143, effective March 1, 2024</v>
      </c>
      <c r="B5" s="832"/>
      <c r="C5" s="832"/>
      <c r="D5" s="832"/>
      <c r="E5" s="832"/>
      <c r="F5" s="832"/>
      <c r="G5" s="832"/>
    </row>
    <row r="7" spans="1:12" ht="15" customHeight="1">
      <c r="A7" s="126" t="s">
        <v>741</v>
      </c>
      <c r="B7" s="136"/>
      <c r="C7" s="133"/>
      <c r="D7" s="156"/>
      <c r="E7" s="156"/>
      <c r="F7" s="156"/>
      <c r="G7" s="156"/>
      <c r="H7" s="132"/>
      <c r="I7" s="137"/>
      <c r="J7" s="59"/>
      <c r="K7" s="59"/>
      <c r="L7" s="59"/>
    </row>
    <row r="8" spans="1:12" ht="15" customHeight="1">
      <c r="A8" s="126"/>
      <c r="B8" s="136"/>
      <c r="C8" s="133"/>
      <c r="D8" s="156"/>
      <c r="E8" s="156"/>
      <c r="F8" s="156"/>
      <c r="G8" s="156"/>
      <c r="H8" s="132"/>
      <c r="I8" s="137"/>
      <c r="J8" s="59"/>
      <c r="K8" s="59"/>
      <c r="L8" s="59"/>
    </row>
    <row r="9" spans="1:12" ht="15" customHeight="1">
      <c r="A9" s="128" t="s">
        <v>761</v>
      </c>
      <c r="B9" s="129">
        <f>+'Sch 4 - 12 Months'!N125</f>
        <v>60000</v>
      </c>
      <c r="C9" s="127"/>
      <c r="D9" s="839" t="s">
        <v>605</v>
      </c>
      <c r="E9" s="839"/>
      <c r="F9" s="839"/>
      <c r="G9" s="839"/>
      <c r="H9" s="157"/>
      <c r="I9" s="157"/>
      <c r="J9" s="135"/>
      <c r="K9" s="135"/>
      <c r="L9" s="59"/>
    </row>
    <row r="10" spans="1:12" ht="15" customHeight="1" thickBot="1">
      <c r="A10" s="128"/>
      <c r="B10" s="158">
        <f>SUM(B9:B9)</f>
        <v>60000</v>
      </c>
      <c r="C10" s="130"/>
      <c r="D10" s="131"/>
      <c r="E10" s="131"/>
      <c r="F10" s="131"/>
      <c r="G10" s="131"/>
      <c r="H10" s="132"/>
      <c r="I10" s="59"/>
      <c r="J10" s="135"/>
      <c r="K10" s="135"/>
      <c r="L10" s="59"/>
    </row>
    <row r="11" spans="1:12" ht="15" customHeight="1" thickTop="1">
      <c r="A11" s="128"/>
      <c r="B11" s="129"/>
      <c r="C11" s="130"/>
      <c r="D11" s="131"/>
      <c r="E11" s="131"/>
      <c r="F11" s="131"/>
      <c r="G11" s="131"/>
      <c r="H11" s="132"/>
      <c r="I11" s="59"/>
      <c r="J11" s="135"/>
      <c r="K11" s="135"/>
      <c r="L11" s="59"/>
    </row>
    <row r="12" spans="1:12" ht="15" customHeight="1">
      <c r="A12" s="622" t="s">
        <v>177</v>
      </c>
      <c r="B12" s="93"/>
      <c r="C12" s="93"/>
      <c r="D12" s="93"/>
      <c r="E12" s="93"/>
      <c r="F12" s="93"/>
      <c r="G12" s="93"/>
      <c r="H12" s="138"/>
    </row>
    <row r="13" spans="1:12" ht="30.75" customHeight="1">
      <c r="A13" s="836" t="s">
        <v>606</v>
      </c>
      <c r="B13" s="837"/>
      <c r="C13" s="837"/>
      <c r="D13" s="837"/>
      <c r="E13" s="837"/>
      <c r="F13" s="837"/>
      <c r="G13" s="837"/>
      <c r="H13" s="138"/>
    </row>
    <row r="14" spans="1:12" ht="15" customHeight="1">
      <c r="A14" s="623"/>
      <c r="B14" s="623"/>
      <c r="C14" s="623"/>
      <c r="D14" s="623"/>
      <c r="E14" s="623"/>
      <c r="F14" s="623"/>
      <c r="G14" s="623"/>
    </row>
    <row r="15" spans="1:12" ht="15" customHeight="1">
      <c r="A15" s="836" t="s">
        <v>1203</v>
      </c>
      <c r="B15" s="837"/>
      <c r="C15" s="837"/>
      <c r="D15" s="837"/>
      <c r="E15" s="837"/>
      <c r="F15" s="837"/>
      <c r="G15" s="837"/>
    </row>
    <row r="16" spans="1:12" ht="15" customHeight="1">
      <c r="A16" s="837"/>
      <c r="B16" s="837"/>
      <c r="C16" s="837"/>
      <c r="D16" s="837"/>
      <c r="E16" s="837"/>
      <c r="F16" s="837"/>
      <c r="G16" s="837"/>
      <c r="H16" s="139"/>
    </row>
    <row r="17" spans="1:8" ht="15" customHeight="1">
      <c r="A17" s="837"/>
      <c r="B17" s="837"/>
      <c r="C17" s="837"/>
      <c r="D17" s="837"/>
      <c r="E17" s="837"/>
      <c r="F17" s="837"/>
      <c r="G17" s="837"/>
      <c r="H17" s="138"/>
    </row>
    <row r="18" spans="1:8" ht="15" customHeight="1">
      <c r="A18" s="837"/>
      <c r="B18" s="837"/>
      <c r="C18" s="837"/>
      <c r="D18" s="837"/>
      <c r="E18" s="837"/>
      <c r="F18" s="837"/>
      <c r="G18" s="837"/>
    </row>
    <row r="19" spans="1:8" ht="15" customHeight="1">
      <c r="B19" s="93"/>
      <c r="C19" s="93"/>
      <c r="D19" s="93"/>
      <c r="E19" s="93"/>
      <c r="F19" s="93"/>
      <c r="G19" s="93"/>
    </row>
    <row r="20" spans="1:8" ht="15" customHeight="1">
      <c r="A20" s="835" t="s">
        <v>1204</v>
      </c>
      <c r="B20" s="835"/>
      <c r="C20" s="835"/>
      <c r="D20" s="835"/>
      <c r="E20" s="835"/>
      <c r="F20" s="835"/>
      <c r="G20" s="835"/>
    </row>
    <row r="21" spans="1:8" ht="15" customHeight="1">
      <c r="A21" s="835"/>
      <c r="B21" s="835"/>
      <c r="C21" s="835"/>
      <c r="D21" s="835"/>
      <c r="E21" s="835"/>
      <c r="F21" s="835"/>
      <c r="G21" s="835"/>
    </row>
    <row r="22" spans="1:8" ht="15" customHeight="1">
      <c r="A22" s="835"/>
      <c r="B22" s="835"/>
      <c r="C22" s="835"/>
      <c r="D22" s="835"/>
      <c r="E22" s="835"/>
      <c r="F22" s="835"/>
      <c r="G22" s="835"/>
    </row>
    <row r="23" spans="1:8" ht="15" customHeight="1">
      <c r="A23" s="835"/>
      <c r="B23" s="835"/>
      <c r="C23" s="835"/>
      <c r="D23" s="835"/>
      <c r="E23" s="835"/>
      <c r="F23" s="835"/>
      <c r="G23" s="835"/>
    </row>
    <row r="24" spans="1:8" ht="15" customHeight="1">
      <c r="A24" s="835"/>
      <c r="B24" s="835"/>
      <c r="C24" s="835"/>
      <c r="D24" s="835"/>
      <c r="E24" s="835"/>
      <c r="F24" s="835"/>
      <c r="G24" s="835"/>
    </row>
    <row r="25" spans="1:8" ht="15" customHeight="1">
      <c r="A25" s="835"/>
      <c r="B25" s="835"/>
      <c r="C25" s="835"/>
      <c r="D25" s="835"/>
      <c r="E25" s="835"/>
      <c r="F25" s="835"/>
      <c r="G25" s="835"/>
    </row>
    <row r="26" spans="1:8" ht="15" customHeight="1">
      <c r="A26" s="93"/>
      <c r="B26" s="93"/>
      <c r="C26" s="93"/>
      <c r="D26" s="93"/>
      <c r="E26" s="93"/>
      <c r="F26" s="93"/>
      <c r="G26" s="93"/>
    </row>
    <row r="27" spans="1:8" ht="15" customHeight="1">
      <c r="A27" s="93"/>
      <c r="B27" s="93"/>
      <c r="C27" s="93"/>
      <c r="D27" s="93"/>
      <c r="E27" s="93"/>
      <c r="F27" s="93"/>
      <c r="G27" s="93"/>
    </row>
    <row r="28" spans="1:8" ht="15" customHeight="1">
      <c r="A28" s="93"/>
      <c r="B28" s="93"/>
      <c r="C28" s="93"/>
      <c r="D28" s="93"/>
      <c r="E28" s="93"/>
      <c r="F28" s="93"/>
      <c r="G28" s="93"/>
    </row>
    <row r="29" spans="1:8" ht="15" customHeight="1">
      <c r="A29" s="93"/>
      <c r="B29" s="93"/>
      <c r="C29" s="93"/>
      <c r="D29" s="93"/>
      <c r="E29" s="93"/>
      <c r="F29" s="93"/>
      <c r="G29" s="93"/>
    </row>
    <row r="30" spans="1:8" ht="15" customHeight="1">
      <c r="A30" s="93"/>
      <c r="B30" s="93"/>
      <c r="C30" s="93"/>
      <c r="D30" s="93"/>
      <c r="E30" s="93"/>
      <c r="F30" s="93"/>
      <c r="G30" s="93"/>
    </row>
    <row r="31" spans="1:8" ht="15" customHeight="1">
      <c r="A31" s="134"/>
      <c r="B31" s="134"/>
      <c r="C31" s="134"/>
      <c r="D31" s="134"/>
      <c r="E31" s="134"/>
      <c r="F31" s="134"/>
      <c r="G31" s="134"/>
    </row>
    <row r="32" spans="1:8" ht="15" customHeight="1">
      <c r="A32" s="134"/>
      <c r="B32" s="134"/>
      <c r="C32" s="134"/>
      <c r="D32" s="134"/>
      <c r="E32" s="134"/>
      <c r="F32" s="134"/>
      <c r="G32" s="134"/>
    </row>
    <row r="33" spans="1:7" ht="15" customHeight="1">
      <c r="A33" s="134"/>
      <c r="B33" s="134"/>
      <c r="C33" s="134"/>
      <c r="D33" s="134"/>
      <c r="E33" s="134"/>
      <c r="F33" s="134"/>
      <c r="G33" s="134"/>
    </row>
    <row r="34" spans="1:7" ht="15" customHeight="1">
      <c r="A34" s="134"/>
      <c r="B34" s="134"/>
      <c r="C34" s="134"/>
      <c r="D34" s="134"/>
      <c r="E34" s="134"/>
      <c r="F34" s="134"/>
      <c r="G34" s="134"/>
    </row>
    <row r="35" spans="1:7" ht="15" customHeight="1">
      <c r="A35" s="134"/>
      <c r="B35" s="134"/>
      <c r="C35" s="134"/>
      <c r="D35" s="134"/>
      <c r="E35" s="134"/>
      <c r="F35" s="134"/>
      <c r="G35" s="134"/>
    </row>
    <row r="36" spans="1:7" ht="15" customHeight="1">
      <c r="A36" s="134"/>
      <c r="B36" s="134"/>
      <c r="C36" s="134"/>
      <c r="D36" s="134"/>
      <c r="E36" s="134"/>
      <c r="F36" s="134"/>
      <c r="G36" s="134"/>
    </row>
    <row r="37" spans="1:7" ht="15" customHeight="1">
      <c r="A37" s="134"/>
      <c r="B37" s="134"/>
      <c r="C37" s="134"/>
      <c r="D37" s="134"/>
      <c r="E37" s="134"/>
      <c r="F37" s="134"/>
      <c r="G37" s="134"/>
    </row>
    <row r="38" spans="1:7" ht="15" customHeight="1">
      <c r="A38" s="134"/>
      <c r="B38" s="134"/>
      <c r="C38" s="134"/>
      <c r="D38" s="134"/>
      <c r="E38" s="134"/>
      <c r="F38" s="134"/>
      <c r="G38" s="134"/>
    </row>
    <row r="39" spans="1:7" ht="15" customHeight="1">
      <c r="A39" s="134"/>
      <c r="B39" s="134"/>
      <c r="C39" s="134"/>
      <c r="D39" s="134"/>
      <c r="E39" s="134"/>
      <c r="F39" s="134"/>
      <c r="G39" s="134"/>
    </row>
    <row r="40" spans="1:7" ht="15" customHeight="1">
      <c r="A40" s="134"/>
      <c r="B40" s="134"/>
      <c r="C40" s="134"/>
      <c r="D40" s="134"/>
      <c r="E40" s="134"/>
      <c r="F40" s="134"/>
      <c r="G40" s="134"/>
    </row>
    <row r="41" spans="1:7" ht="15" customHeight="1">
      <c r="A41" s="134"/>
      <c r="B41" s="134"/>
      <c r="C41" s="134"/>
      <c r="D41" s="134"/>
      <c r="E41" s="134"/>
      <c r="F41" s="134"/>
      <c r="G41" s="134"/>
    </row>
    <row r="42" spans="1:7" ht="15" customHeight="1">
      <c r="A42" s="134"/>
      <c r="B42" s="134"/>
      <c r="C42" s="134"/>
      <c r="D42" s="134"/>
      <c r="E42" s="134"/>
      <c r="F42" s="134"/>
      <c r="G42" s="134"/>
    </row>
    <row r="43" spans="1:7" ht="15" customHeight="1">
      <c r="A43" s="134"/>
      <c r="B43" s="134"/>
      <c r="C43" s="134"/>
      <c r="D43" s="134"/>
      <c r="E43" s="134"/>
      <c r="F43" s="134"/>
      <c r="G43" s="134"/>
    </row>
    <row r="44" spans="1:7" ht="15" customHeight="1">
      <c r="A44" s="134"/>
      <c r="B44" s="134"/>
      <c r="C44" s="134"/>
      <c r="D44" s="134"/>
      <c r="E44" s="134"/>
      <c r="F44" s="134"/>
      <c r="G44" s="134"/>
    </row>
    <row r="45" spans="1:7" ht="15" customHeight="1">
      <c r="A45" s="134"/>
      <c r="B45" s="134"/>
      <c r="C45" s="134"/>
      <c r="D45" s="134"/>
      <c r="E45" s="134"/>
      <c r="F45" s="134"/>
      <c r="G45" s="134"/>
    </row>
    <row r="46" spans="1:7" ht="15" customHeight="1">
      <c r="A46" s="134"/>
      <c r="B46" s="134"/>
      <c r="C46" s="134"/>
      <c r="D46" s="134"/>
      <c r="E46" s="134"/>
      <c r="F46" s="134"/>
      <c r="G46" s="134"/>
    </row>
    <row r="47" spans="1:7" ht="15" customHeight="1">
      <c r="A47" s="134"/>
      <c r="B47" s="134"/>
      <c r="C47" s="134"/>
      <c r="D47" s="134"/>
      <c r="E47" s="134"/>
      <c r="F47" s="134"/>
      <c r="G47" s="134"/>
    </row>
    <row r="48" spans="1:7" ht="15" customHeight="1">
      <c r="A48" s="134"/>
      <c r="B48" s="134"/>
      <c r="C48" s="134"/>
      <c r="D48" s="134"/>
      <c r="E48" s="134"/>
      <c r="F48" s="134"/>
      <c r="G48" s="134"/>
    </row>
    <row r="49" spans="1:7" ht="15" customHeight="1">
      <c r="A49" s="134"/>
      <c r="B49" s="134"/>
      <c r="C49" s="134"/>
      <c r="D49" s="134"/>
      <c r="E49" s="134"/>
      <c r="F49" s="134"/>
      <c r="G49" s="134"/>
    </row>
    <row r="50" spans="1:7" ht="15" customHeight="1">
      <c r="A50" s="134"/>
      <c r="B50" s="134"/>
      <c r="C50" s="134"/>
      <c r="D50" s="134"/>
      <c r="E50" s="134"/>
      <c r="F50" s="134"/>
      <c r="G50" s="134"/>
    </row>
    <row r="51" spans="1:7" ht="15" customHeight="1">
      <c r="A51" s="134"/>
      <c r="B51" s="134"/>
      <c r="C51" s="134"/>
      <c r="D51" s="134"/>
      <c r="E51" s="134"/>
      <c r="F51" s="134"/>
      <c r="G51" s="134"/>
    </row>
    <row r="52" spans="1:7" ht="15" customHeight="1">
      <c r="A52" s="134"/>
      <c r="B52" s="134"/>
      <c r="C52" s="134"/>
      <c r="D52" s="134"/>
      <c r="E52" s="134"/>
      <c r="F52" s="134"/>
      <c r="G52" s="134"/>
    </row>
    <row r="53" spans="1:7" ht="15" customHeight="1">
      <c r="A53" s="134"/>
      <c r="B53" s="134"/>
      <c r="C53" s="134"/>
      <c r="D53" s="134"/>
      <c r="E53" s="134"/>
      <c r="F53" s="134"/>
      <c r="G53" s="134"/>
    </row>
    <row r="54" spans="1:7" ht="15" customHeight="1">
      <c r="A54" s="134"/>
      <c r="B54" s="134"/>
      <c r="C54" s="134"/>
      <c r="D54" s="134"/>
      <c r="E54" s="134"/>
      <c r="F54" s="134"/>
      <c r="G54" s="134"/>
    </row>
    <row r="55" spans="1:7" ht="15" customHeight="1">
      <c r="A55" s="134"/>
      <c r="B55" s="134"/>
      <c r="C55" s="134"/>
      <c r="D55" s="134"/>
      <c r="E55" s="134"/>
      <c r="F55" s="134"/>
      <c r="G55" s="134"/>
    </row>
    <row r="56" spans="1:7" ht="15" customHeight="1">
      <c r="A56" s="134"/>
      <c r="B56" s="134"/>
      <c r="C56" s="134"/>
      <c r="D56" s="134"/>
      <c r="E56" s="134"/>
      <c r="F56" s="134"/>
      <c r="G56" s="134"/>
    </row>
    <row r="57" spans="1:7" ht="15" customHeight="1">
      <c r="A57" s="134"/>
      <c r="B57" s="134"/>
      <c r="C57" s="134"/>
      <c r="D57" s="134"/>
      <c r="E57" s="134"/>
      <c r="F57" s="134"/>
      <c r="G57" s="134"/>
    </row>
    <row r="58" spans="1:7" ht="15" customHeight="1">
      <c r="A58" s="134"/>
      <c r="B58" s="134"/>
      <c r="C58" s="134"/>
      <c r="D58" s="134"/>
      <c r="E58" s="134"/>
      <c r="F58" s="134"/>
      <c r="G58" s="134"/>
    </row>
    <row r="59" spans="1:7" ht="15" customHeight="1">
      <c r="A59" s="134"/>
      <c r="B59" s="134"/>
      <c r="C59" s="134"/>
      <c r="D59" s="134"/>
      <c r="E59" s="134"/>
      <c r="F59" s="134"/>
      <c r="G59" s="134"/>
    </row>
    <row r="60" spans="1:7" ht="15" customHeight="1">
      <c r="A60" s="134"/>
      <c r="B60" s="134"/>
      <c r="C60" s="134"/>
      <c r="D60" s="134"/>
      <c r="E60" s="134"/>
      <c r="F60" s="134"/>
      <c r="G60" s="134"/>
    </row>
    <row r="61" spans="1:7" ht="15" customHeight="1">
      <c r="A61" s="134"/>
      <c r="B61" s="134"/>
      <c r="C61" s="134"/>
      <c r="D61" s="134"/>
      <c r="E61" s="134"/>
      <c r="F61" s="134"/>
      <c r="G61" s="134"/>
    </row>
    <row r="62" spans="1:7" ht="15" customHeight="1">
      <c r="A62" s="134"/>
      <c r="B62" s="134"/>
      <c r="C62" s="134"/>
      <c r="D62" s="134"/>
      <c r="E62" s="134"/>
      <c r="F62" s="134"/>
      <c r="G62" s="134"/>
    </row>
    <row r="63" spans="1:7" ht="15" customHeight="1">
      <c r="A63" s="134"/>
      <c r="B63" s="134"/>
      <c r="C63" s="134"/>
      <c r="D63" s="134"/>
      <c r="E63" s="134"/>
      <c r="F63" s="134"/>
      <c r="G63" s="134"/>
    </row>
    <row r="64" spans="1:7" ht="15" customHeight="1">
      <c r="A64" s="134"/>
      <c r="B64" s="134"/>
      <c r="C64" s="134"/>
      <c r="D64" s="134"/>
      <c r="E64" s="134"/>
      <c r="F64" s="134"/>
      <c r="G64" s="134"/>
    </row>
    <row r="65" spans="1:7" ht="15" customHeight="1">
      <c r="A65" s="134"/>
      <c r="B65" s="134"/>
      <c r="C65" s="134"/>
      <c r="D65" s="134"/>
      <c r="E65" s="134"/>
      <c r="F65" s="134"/>
      <c r="G65" s="134"/>
    </row>
    <row r="66" spans="1:7" ht="15" customHeight="1">
      <c r="A66" s="134"/>
      <c r="B66" s="134"/>
      <c r="C66" s="134"/>
      <c r="D66" s="134"/>
      <c r="E66" s="134"/>
      <c r="F66" s="134"/>
      <c r="G66" s="134"/>
    </row>
    <row r="67" spans="1:7" ht="15" customHeight="1">
      <c r="A67" s="134"/>
      <c r="B67" s="134"/>
      <c r="C67" s="134"/>
      <c r="D67" s="134"/>
      <c r="E67" s="134"/>
      <c r="F67" s="134"/>
      <c r="G67" s="134"/>
    </row>
    <row r="68" spans="1:7" ht="15" customHeight="1">
      <c r="A68" s="134"/>
      <c r="B68" s="134"/>
      <c r="C68" s="134"/>
      <c r="D68" s="134"/>
      <c r="E68" s="134"/>
      <c r="F68" s="134"/>
      <c r="G68" s="134"/>
    </row>
    <row r="69" spans="1:7" ht="15" customHeight="1">
      <c r="A69" s="134"/>
      <c r="B69" s="134"/>
      <c r="C69" s="134"/>
      <c r="D69" s="134"/>
      <c r="E69" s="134"/>
      <c r="F69" s="134"/>
      <c r="G69" s="134"/>
    </row>
    <row r="70" spans="1:7" ht="15" customHeight="1">
      <c r="A70" s="134"/>
      <c r="B70" s="134"/>
      <c r="C70" s="134"/>
      <c r="D70" s="134"/>
      <c r="E70" s="134"/>
      <c r="F70" s="134"/>
      <c r="G70" s="134"/>
    </row>
    <row r="71" spans="1:7" ht="15" customHeight="1">
      <c r="A71" s="134"/>
      <c r="B71" s="134"/>
      <c r="C71" s="134"/>
      <c r="D71" s="134"/>
      <c r="E71" s="134"/>
      <c r="F71" s="134"/>
      <c r="G71" s="134"/>
    </row>
    <row r="72" spans="1:7" ht="15" customHeight="1">
      <c r="A72" s="134"/>
      <c r="B72" s="134"/>
      <c r="C72" s="134"/>
      <c r="D72" s="134"/>
      <c r="E72" s="134"/>
      <c r="F72" s="134"/>
      <c r="G72" s="134"/>
    </row>
    <row r="73" spans="1:7" ht="15" customHeight="1">
      <c r="A73" s="134"/>
      <c r="B73" s="134"/>
      <c r="C73" s="134"/>
      <c r="D73" s="134"/>
      <c r="E73" s="134"/>
      <c r="F73" s="134"/>
      <c r="G73" s="134"/>
    </row>
    <row r="74" spans="1:7" ht="15" customHeight="1">
      <c r="A74" s="134"/>
      <c r="B74" s="134"/>
      <c r="C74" s="134"/>
      <c r="D74" s="134"/>
      <c r="E74" s="134"/>
      <c r="F74" s="134"/>
      <c r="G74" s="134"/>
    </row>
    <row r="75" spans="1:7" ht="15" customHeight="1">
      <c r="A75" s="134"/>
      <c r="B75" s="134"/>
      <c r="C75" s="134"/>
      <c r="D75" s="134"/>
      <c r="E75" s="134"/>
      <c r="F75" s="134"/>
      <c r="G75" s="134"/>
    </row>
    <row r="76" spans="1:7" ht="15" customHeight="1">
      <c r="A76" s="134"/>
      <c r="B76" s="134"/>
      <c r="C76" s="134"/>
      <c r="D76" s="134"/>
      <c r="E76" s="134"/>
      <c r="F76" s="134"/>
      <c r="G76" s="134"/>
    </row>
    <row r="77" spans="1:7" ht="15" customHeight="1">
      <c r="A77" s="134"/>
      <c r="B77" s="134"/>
      <c r="C77" s="134"/>
      <c r="D77" s="134"/>
      <c r="E77" s="134"/>
      <c r="F77" s="134"/>
      <c r="G77" s="134"/>
    </row>
    <row r="78" spans="1:7" ht="15" customHeight="1">
      <c r="A78" s="134"/>
      <c r="B78" s="134"/>
      <c r="C78" s="134"/>
      <c r="D78" s="134"/>
      <c r="E78" s="134"/>
      <c r="F78" s="134"/>
      <c r="G78" s="134"/>
    </row>
    <row r="79" spans="1:7" ht="15" customHeight="1">
      <c r="A79" s="134"/>
      <c r="B79" s="134"/>
      <c r="C79" s="134"/>
      <c r="D79" s="134"/>
      <c r="E79" s="134"/>
      <c r="F79" s="134"/>
      <c r="G79" s="134"/>
    </row>
    <row r="80" spans="1:7" ht="15" customHeight="1">
      <c r="A80" s="134"/>
      <c r="B80" s="134"/>
      <c r="C80" s="134"/>
      <c r="D80" s="134"/>
      <c r="E80" s="134"/>
      <c r="F80" s="134"/>
      <c r="G80" s="134"/>
    </row>
    <row r="81" spans="1:7" ht="15" customHeight="1">
      <c r="A81" s="134"/>
      <c r="B81" s="134"/>
      <c r="C81" s="134"/>
      <c r="D81" s="134"/>
      <c r="E81" s="134"/>
      <c r="F81" s="134"/>
      <c r="G81" s="134"/>
    </row>
    <row r="82" spans="1:7" ht="15" customHeight="1">
      <c r="A82" s="134"/>
      <c r="B82" s="134"/>
      <c r="C82" s="134"/>
      <c r="D82" s="134"/>
      <c r="E82" s="134"/>
      <c r="F82" s="134"/>
      <c r="G82" s="134"/>
    </row>
    <row r="83" spans="1:7" ht="15" customHeight="1">
      <c r="A83" s="134"/>
      <c r="B83" s="134"/>
      <c r="C83" s="134"/>
      <c r="D83" s="134"/>
      <c r="E83" s="134"/>
      <c r="F83" s="134"/>
      <c r="G83" s="134"/>
    </row>
    <row r="84" spans="1:7" ht="15" customHeight="1">
      <c r="A84" s="134"/>
      <c r="B84" s="134"/>
      <c r="C84" s="134"/>
      <c r="D84" s="134"/>
      <c r="E84" s="134"/>
      <c r="F84" s="134"/>
      <c r="G84" s="134"/>
    </row>
    <row r="85" spans="1:7" ht="15" customHeight="1">
      <c r="A85" s="134"/>
      <c r="B85" s="134"/>
      <c r="C85" s="134"/>
      <c r="D85" s="134"/>
      <c r="E85" s="134"/>
      <c r="F85" s="134"/>
      <c r="G85" s="134"/>
    </row>
    <row r="86" spans="1:7" ht="15" customHeight="1">
      <c r="A86" s="134"/>
      <c r="B86" s="134"/>
      <c r="C86" s="134"/>
      <c r="D86" s="134"/>
      <c r="E86" s="134"/>
      <c r="F86" s="134"/>
      <c r="G86" s="134"/>
    </row>
    <row r="87" spans="1:7" ht="15" customHeight="1">
      <c r="A87" s="134"/>
      <c r="B87" s="134"/>
      <c r="C87" s="134"/>
      <c r="D87" s="134"/>
      <c r="E87" s="134"/>
      <c r="F87" s="134"/>
      <c r="G87" s="134"/>
    </row>
    <row r="88" spans="1:7" ht="15" customHeight="1">
      <c r="A88" s="134"/>
      <c r="B88" s="134"/>
      <c r="C88" s="134"/>
      <c r="D88" s="134"/>
      <c r="E88" s="134"/>
      <c r="F88" s="134"/>
      <c r="G88" s="134"/>
    </row>
    <row r="89" spans="1:7" ht="15" customHeight="1">
      <c r="A89" s="134"/>
      <c r="B89" s="134"/>
      <c r="C89" s="134"/>
      <c r="D89" s="134"/>
      <c r="E89" s="134"/>
      <c r="F89" s="134"/>
      <c r="G89" s="134"/>
    </row>
    <row r="90" spans="1:7" ht="15" customHeight="1">
      <c r="A90" s="134"/>
      <c r="B90" s="134"/>
      <c r="C90" s="134"/>
      <c r="D90" s="134"/>
      <c r="E90" s="134"/>
      <c r="F90" s="134"/>
      <c r="G90" s="134"/>
    </row>
    <row r="91" spans="1:7" ht="15" customHeight="1">
      <c r="A91" s="134"/>
      <c r="B91" s="134"/>
      <c r="C91" s="134"/>
      <c r="D91" s="134"/>
      <c r="E91" s="134"/>
      <c r="F91" s="134"/>
      <c r="G91" s="134"/>
    </row>
    <row r="92" spans="1:7" ht="15" customHeight="1">
      <c r="A92" s="134"/>
      <c r="B92" s="134"/>
      <c r="C92" s="134"/>
      <c r="D92" s="134"/>
      <c r="E92" s="134"/>
      <c r="F92" s="134"/>
      <c r="G92" s="134"/>
    </row>
    <row r="93" spans="1:7" ht="15" customHeight="1">
      <c r="A93" s="134"/>
      <c r="B93" s="134"/>
      <c r="C93" s="134"/>
      <c r="D93" s="134"/>
      <c r="E93" s="134"/>
      <c r="F93" s="134"/>
      <c r="G93" s="134"/>
    </row>
    <row r="94" spans="1:7" ht="15" customHeight="1">
      <c r="A94" s="134"/>
      <c r="B94" s="134"/>
      <c r="C94" s="134"/>
      <c r="D94" s="134"/>
      <c r="E94" s="134"/>
      <c r="F94" s="134"/>
      <c r="G94" s="134"/>
    </row>
    <row r="95" spans="1:7" ht="15" customHeight="1">
      <c r="A95" s="134"/>
      <c r="B95" s="134"/>
      <c r="C95" s="134"/>
      <c r="D95" s="134"/>
      <c r="E95" s="134"/>
      <c r="F95" s="134"/>
      <c r="G95" s="134"/>
    </row>
    <row r="96" spans="1:7" ht="15" customHeight="1">
      <c r="A96" s="134"/>
      <c r="B96" s="134"/>
      <c r="C96" s="134"/>
      <c r="D96" s="134"/>
      <c r="E96" s="134"/>
      <c r="F96" s="134"/>
      <c r="G96" s="134"/>
    </row>
    <row r="97" spans="1:7" ht="15" customHeight="1">
      <c r="A97" s="134"/>
      <c r="B97" s="134"/>
      <c r="C97" s="134"/>
      <c r="D97" s="134"/>
      <c r="E97" s="134"/>
      <c r="F97" s="134"/>
      <c r="G97" s="134"/>
    </row>
    <row r="98" spans="1:7" ht="15" customHeight="1">
      <c r="A98" s="134"/>
      <c r="B98" s="134"/>
      <c r="C98" s="134"/>
      <c r="D98" s="134"/>
      <c r="E98" s="134"/>
      <c r="F98" s="134"/>
      <c r="G98" s="134"/>
    </row>
    <row r="99" spans="1:7" ht="15" customHeight="1">
      <c r="A99" s="134"/>
      <c r="B99" s="134"/>
      <c r="C99" s="134"/>
      <c r="D99" s="134"/>
      <c r="E99" s="134"/>
      <c r="F99" s="134"/>
      <c r="G99" s="134"/>
    </row>
    <row r="100" spans="1:7" ht="15" customHeight="1">
      <c r="A100" s="134"/>
      <c r="B100" s="134"/>
      <c r="C100" s="134"/>
      <c r="D100" s="134"/>
      <c r="E100" s="134"/>
      <c r="F100" s="134"/>
      <c r="G100" s="134"/>
    </row>
    <row r="101" spans="1:7" ht="15" customHeight="1">
      <c r="A101" s="134"/>
      <c r="B101" s="134"/>
      <c r="C101" s="134"/>
      <c r="D101" s="134"/>
      <c r="E101" s="134"/>
      <c r="F101" s="134"/>
      <c r="G101" s="134"/>
    </row>
    <row r="102" spans="1:7" ht="15" customHeight="1">
      <c r="A102" s="134"/>
      <c r="B102" s="134"/>
      <c r="C102" s="134"/>
      <c r="D102" s="134"/>
      <c r="E102" s="134"/>
      <c r="F102" s="134"/>
      <c r="G102" s="134"/>
    </row>
    <row r="103" spans="1:7" ht="15" customHeight="1">
      <c r="A103" s="134"/>
      <c r="B103" s="134"/>
      <c r="C103" s="134"/>
      <c r="D103" s="134"/>
      <c r="E103" s="134"/>
      <c r="F103" s="134"/>
      <c r="G103" s="134"/>
    </row>
    <row r="104" spans="1:7" ht="15" customHeight="1">
      <c r="A104" s="134"/>
      <c r="B104" s="134"/>
      <c r="C104" s="134"/>
      <c r="D104" s="134"/>
      <c r="E104" s="134"/>
      <c r="F104" s="134"/>
      <c r="G104" s="134"/>
    </row>
    <row r="105" spans="1:7" ht="15" customHeight="1">
      <c r="A105" s="134"/>
      <c r="B105" s="134"/>
      <c r="C105" s="134"/>
      <c r="D105" s="134"/>
      <c r="E105" s="134"/>
      <c r="F105" s="134"/>
      <c r="G105" s="134"/>
    </row>
    <row r="106" spans="1:7" ht="15" customHeight="1">
      <c r="A106" s="134"/>
      <c r="B106" s="134"/>
      <c r="C106" s="134"/>
      <c r="D106" s="134"/>
      <c r="E106" s="134"/>
      <c r="F106" s="134"/>
      <c r="G106" s="134"/>
    </row>
    <row r="107" spans="1:7" ht="15" customHeight="1">
      <c r="A107" s="134"/>
      <c r="B107" s="134"/>
      <c r="C107" s="134"/>
      <c r="D107" s="134"/>
      <c r="E107" s="134"/>
      <c r="F107" s="134"/>
      <c r="G107" s="134"/>
    </row>
    <row r="108" spans="1:7" ht="15" customHeight="1">
      <c r="A108" s="134"/>
      <c r="B108" s="134"/>
      <c r="C108" s="134"/>
      <c r="D108" s="134"/>
      <c r="E108" s="134"/>
      <c r="F108" s="134"/>
      <c r="G108" s="134"/>
    </row>
    <row r="109" spans="1:7" ht="15" customHeight="1">
      <c r="A109" s="134"/>
      <c r="B109" s="134"/>
      <c r="C109" s="134"/>
      <c r="D109" s="134"/>
      <c r="E109" s="134"/>
      <c r="F109" s="134"/>
      <c r="G109" s="134"/>
    </row>
    <row r="110" spans="1:7" ht="15" customHeight="1">
      <c r="A110" s="134"/>
      <c r="B110" s="134"/>
      <c r="C110" s="134"/>
      <c r="D110" s="134"/>
      <c r="E110" s="134"/>
      <c r="F110" s="134"/>
      <c r="G110" s="134"/>
    </row>
    <row r="111" spans="1:7" ht="15" customHeight="1">
      <c r="A111" s="134"/>
      <c r="B111" s="134"/>
      <c r="C111" s="134"/>
      <c r="D111" s="134"/>
      <c r="E111" s="134"/>
      <c r="F111" s="134"/>
      <c r="G111" s="134"/>
    </row>
    <row r="112" spans="1:7" ht="15" customHeight="1">
      <c r="A112" s="134"/>
      <c r="B112" s="134"/>
      <c r="C112" s="134"/>
      <c r="D112" s="134"/>
      <c r="E112" s="134"/>
      <c r="F112" s="134"/>
      <c r="G112" s="134"/>
    </row>
    <row r="113" spans="1:7" ht="15" customHeight="1">
      <c r="A113" s="134"/>
      <c r="B113" s="134"/>
      <c r="C113" s="134"/>
      <c r="D113" s="134"/>
      <c r="E113" s="134"/>
      <c r="F113" s="134"/>
      <c r="G113" s="134"/>
    </row>
    <row r="114" spans="1:7" ht="15" customHeight="1">
      <c r="A114" s="134"/>
      <c r="B114" s="134"/>
      <c r="C114" s="134"/>
      <c r="D114" s="134"/>
      <c r="E114" s="134"/>
      <c r="F114" s="134"/>
      <c r="G114" s="134"/>
    </row>
    <row r="115" spans="1:7" ht="15" customHeight="1">
      <c r="A115" s="134"/>
      <c r="B115" s="134"/>
      <c r="C115" s="134"/>
      <c r="D115" s="134"/>
      <c r="E115" s="134"/>
      <c r="F115" s="134"/>
      <c r="G115" s="134"/>
    </row>
    <row r="116" spans="1:7" ht="15" customHeight="1">
      <c r="A116" s="134"/>
      <c r="B116" s="134"/>
      <c r="C116" s="134"/>
      <c r="D116" s="134"/>
      <c r="E116" s="134"/>
      <c r="F116" s="134"/>
      <c r="G116" s="134"/>
    </row>
    <row r="117" spans="1:7" ht="15" customHeight="1">
      <c r="A117" s="134"/>
      <c r="B117" s="134"/>
      <c r="C117" s="134"/>
      <c r="D117" s="134"/>
      <c r="E117" s="134"/>
      <c r="F117" s="134"/>
      <c r="G117" s="134"/>
    </row>
    <row r="118" spans="1:7" ht="15" customHeight="1">
      <c r="A118" s="134"/>
      <c r="B118" s="134"/>
      <c r="C118" s="134"/>
      <c r="D118" s="134"/>
      <c r="E118" s="134"/>
      <c r="F118" s="134"/>
      <c r="G118" s="134"/>
    </row>
    <row r="119" spans="1:7" ht="15" customHeight="1">
      <c r="A119" s="134"/>
      <c r="B119" s="134"/>
      <c r="C119" s="134"/>
      <c r="D119" s="134"/>
      <c r="E119" s="134"/>
      <c r="F119" s="134"/>
      <c r="G119" s="134"/>
    </row>
    <row r="120" spans="1:7" ht="15" customHeight="1">
      <c r="A120" s="134"/>
      <c r="B120" s="134"/>
      <c r="C120" s="134"/>
      <c r="D120" s="134"/>
      <c r="E120" s="134"/>
      <c r="F120" s="134"/>
      <c r="G120" s="134"/>
    </row>
    <row r="121" spans="1:7" ht="15" customHeight="1">
      <c r="A121" s="134"/>
      <c r="B121" s="134"/>
      <c r="C121" s="134"/>
      <c r="D121" s="134"/>
      <c r="E121" s="134"/>
      <c r="F121" s="134"/>
      <c r="G121" s="134"/>
    </row>
    <row r="122" spans="1:7" ht="15" customHeight="1">
      <c r="A122" s="134"/>
      <c r="B122" s="134"/>
      <c r="C122" s="134"/>
      <c r="D122" s="134"/>
      <c r="E122" s="134"/>
      <c r="F122" s="134"/>
      <c r="G122" s="134"/>
    </row>
    <row r="123" spans="1:7" ht="15" customHeight="1">
      <c r="A123" s="134"/>
      <c r="B123" s="134"/>
      <c r="C123" s="134"/>
      <c r="D123" s="134"/>
      <c r="E123" s="134"/>
      <c r="F123" s="134"/>
      <c r="G123" s="134"/>
    </row>
    <row r="124" spans="1:7" ht="15" customHeight="1">
      <c r="A124" s="134"/>
      <c r="B124" s="134"/>
      <c r="C124" s="134"/>
      <c r="D124" s="134"/>
      <c r="E124" s="134"/>
      <c r="F124" s="134"/>
      <c r="G124" s="134"/>
    </row>
    <row r="125" spans="1:7" ht="15" customHeight="1">
      <c r="A125" s="134"/>
      <c r="B125" s="134"/>
      <c r="C125" s="134"/>
      <c r="D125" s="134"/>
      <c r="E125" s="134"/>
      <c r="F125" s="134"/>
      <c r="G125" s="134"/>
    </row>
    <row r="126" spans="1:7" ht="15" customHeight="1">
      <c r="A126" s="134"/>
      <c r="B126" s="134"/>
      <c r="C126" s="134"/>
      <c r="D126" s="134"/>
      <c r="E126" s="134"/>
      <c r="F126" s="134"/>
      <c r="G126" s="134"/>
    </row>
    <row r="127" spans="1:7" ht="15" customHeight="1">
      <c r="A127" s="134"/>
      <c r="B127" s="134"/>
      <c r="C127" s="134"/>
      <c r="D127" s="134"/>
      <c r="E127" s="134"/>
      <c r="F127" s="134"/>
      <c r="G127" s="134"/>
    </row>
    <row r="128" spans="1:7" ht="15" customHeight="1">
      <c r="A128" s="134"/>
      <c r="B128" s="134"/>
      <c r="C128" s="134"/>
      <c r="D128" s="134"/>
      <c r="E128" s="134"/>
      <c r="F128" s="134"/>
      <c r="G128" s="134"/>
    </row>
    <row r="129" spans="1:7" ht="15" customHeight="1">
      <c r="A129" s="134"/>
      <c r="B129" s="134"/>
      <c r="C129" s="134"/>
      <c r="D129" s="134"/>
      <c r="E129" s="134"/>
      <c r="F129" s="134"/>
      <c r="G129" s="134"/>
    </row>
    <row r="130" spans="1:7" ht="15" customHeight="1">
      <c r="A130" s="134"/>
      <c r="B130" s="134"/>
      <c r="C130" s="134"/>
      <c r="D130" s="134"/>
      <c r="E130" s="134"/>
      <c r="F130" s="134"/>
      <c r="G130" s="134"/>
    </row>
    <row r="131" spans="1:7" ht="15" customHeight="1">
      <c r="A131" s="134"/>
      <c r="B131" s="134"/>
      <c r="C131" s="134"/>
      <c r="D131" s="134"/>
      <c r="E131" s="134"/>
      <c r="F131" s="134"/>
      <c r="G131" s="134"/>
    </row>
    <row r="132" spans="1:7" ht="15" customHeight="1">
      <c r="A132" s="134"/>
      <c r="B132" s="134"/>
      <c r="C132" s="134"/>
      <c r="D132" s="134"/>
      <c r="E132" s="134"/>
      <c r="F132" s="134"/>
      <c r="G132" s="134"/>
    </row>
    <row r="133" spans="1:7" ht="15" customHeight="1">
      <c r="A133" s="134"/>
      <c r="B133" s="134"/>
      <c r="C133" s="134"/>
      <c r="D133" s="134"/>
      <c r="E133" s="134"/>
      <c r="F133" s="134"/>
      <c r="G133" s="134"/>
    </row>
    <row r="134" spans="1:7" ht="15" customHeight="1">
      <c r="A134" s="134"/>
      <c r="B134" s="134"/>
      <c r="C134" s="134"/>
      <c r="D134" s="134"/>
      <c r="E134" s="134"/>
      <c r="F134" s="134"/>
      <c r="G134" s="134"/>
    </row>
    <row r="135" spans="1:7" ht="15" customHeight="1">
      <c r="A135" s="134"/>
      <c r="B135" s="134"/>
      <c r="C135" s="134"/>
      <c r="D135" s="134"/>
      <c r="E135" s="134"/>
      <c r="F135" s="134"/>
      <c r="G135" s="134"/>
    </row>
    <row r="136" spans="1:7" ht="15" customHeight="1">
      <c r="A136" s="134"/>
      <c r="B136" s="134"/>
      <c r="C136" s="134"/>
      <c r="D136" s="134"/>
      <c r="E136" s="134"/>
      <c r="F136" s="134"/>
      <c r="G136" s="134"/>
    </row>
    <row r="137" spans="1:7" ht="15" customHeight="1">
      <c r="A137" s="134"/>
      <c r="B137" s="134"/>
      <c r="C137" s="134"/>
      <c r="D137" s="134"/>
      <c r="E137" s="134"/>
      <c r="F137" s="134"/>
      <c r="G137" s="134"/>
    </row>
    <row r="138" spans="1:7" ht="15" customHeight="1">
      <c r="A138" s="134"/>
      <c r="B138" s="134"/>
      <c r="C138" s="134"/>
      <c r="D138" s="134"/>
      <c r="E138" s="134"/>
      <c r="F138" s="134"/>
      <c r="G138" s="134"/>
    </row>
    <row r="139" spans="1:7" ht="15" customHeight="1">
      <c r="A139" s="134"/>
      <c r="B139" s="134"/>
      <c r="C139" s="134"/>
      <c r="D139" s="134"/>
      <c r="E139" s="134"/>
      <c r="F139" s="134"/>
      <c r="G139" s="134"/>
    </row>
    <row r="140" spans="1:7" ht="15" customHeight="1">
      <c r="A140" s="134"/>
      <c r="B140" s="134"/>
      <c r="C140" s="134"/>
      <c r="D140" s="134"/>
      <c r="E140" s="134"/>
      <c r="F140" s="134"/>
      <c r="G140" s="134"/>
    </row>
    <row r="141" spans="1:7" ht="15" customHeight="1">
      <c r="A141" s="134"/>
      <c r="B141" s="134"/>
      <c r="C141" s="134"/>
      <c r="D141" s="134"/>
      <c r="E141" s="134"/>
      <c r="F141" s="134"/>
      <c r="G141" s="134"/>
    </row>
    <row r="142" spans="1:7" ht="15" customHeight="1">
      <c r="A142" s="134"/>
      <c r="B142" s="134"/>
      <c r="C142" s="134"/>
      <c r="D142" s="134"/>
      <c r="E142" s="134"/>
      <c r="F142" s="134"/>
      <c r="G142" s="134"/>
    </row>
    <row r="143" spans="1:7" ht="15" customHeight="1">
      <c r="A143" s="134"/>
      <c r="B143" s="134"/>
      <c r="C143" s="134"/>
      <c r="D143" s="134"/>
      <c r="E143" s="134"/>
      <c r="F143" s="134"/>
      <c r="G143" s="134"/>
    </row>
    <row r="144" spans="1:7" ht="15" customHeight="1">
      <c r="A144" s="134"/>
      <c r="B144" s="134"/>
      <c r="C144" s="134"/>
      <c r="D144" s="134"/>
      <c r="E144" s="134"/>
      <c r="F144" s="134"/>
      <c r="G144" s="134"/>
    </row>
    <row r="145" spans="1:7" ht="15" customHeight="1">
      <c r="A145" s="134"/>
      <c r="B145" s="134"/>
      <c r="C145" s="134"/>
      <c r="D145" s="134"/>
      <c r="E145" s="134"/>
      <c r="F145" s="134"/>
      <c r="G145" s="134"/>
    </row>
    <row r="146" spans="1:7" ht="15" customHeight="1">
      <c r="A146" s="134"/>
      <c r="B146" s="134"/>
      <c r="C146" s="134"/>
      <c r="D146" s="134"/>
      <c r="E146" s="134"/>
      <c r="F146" s="134"/>
      <c r="G146" s="134"/>
    </row>
    <row r="147" spans="1:7" ht="15" customHeight="1">
      <c r="A147" s="134"/>
      <c r="B147" s="134"/>
      <c r="C147" s="134"/>
      <c r="D147" s="134"/>
      <c r="E147" s="134"/>
      <c r="F147" s="134"/>
      <c r="G147" s="134"/>
    </row>
    <row r="148" spans="1:7" ht="15" customHeight="1">
      <c r="A148" s="134"/>
      <c r="B148" s="134"/>
      <c r="C148" s="134"/>
      <c r="D148" s="134"/>
      <c r="E148" s="134"/>
      <c r="F148" s="134"/>
      <c r="G148" s="134"/>
    </row>
    <row r="149" spans="1:7" ht="15" customHeight="1">
      <c r="A149" s="134"/>
      <c r="B149" s="134"/>
      <c r="C149" s="134"/>
      <c r="D149" s="134"/>
      <c r="E149" s="134"/>
      <c r="F149" s="134"/>
      <c r="G149" s="134"/>
    </row>
    <row r="150" spans="1:7" ht="15" customHeight="1">
      <c r="A150" s="134"/>
      <c r="B150" s="134"/>
      <c r="C150" s="134"/>
      <c r="D150" s="134"/>
      <c r="E150" s="134"/>
      <c r="F150" s="134"/>
      <c r="G150" s="134"/>
    </row>
    <row r="151" spans="1:7" ht="15" customHeight="1">
      <c r="A151" s="134"/>
      <c r="B151" s="134"/>
      <c r="C151" s="134"/>
      <c r="D151" s="134"/>
      <c r="E151" s="134"/>
      <c r="F151" s="134"/>
      <c r="G151" s="134"/>
    </row>
    <row r="152" spans="1:7" ht="15" customHeight="1">
      <c r="A152" s="134"/>
      <c r="B152" s="134"/>
      <c r="C152" s="134"/>
      <c r="D152" s="134"/>
      <c r="E152" s="134"/>
      <c r="F152" s="134"/>
      <c r="G152" s="134"/>
    </row>
    <row r="153" spans="1:7" ht="15" customHeight="1">
      <c r="A153" s="134"/>
      <c r="B153" s="134"/>
      <c r="C153" s="134"/>
      <c r="D153" s="134"/>
      <c r="E153" s="134"/>
      <c r="F153" s="134"/>
      <c r="G153" s="134"/>
    </row>
    <row r="154" spans="1:7" ht="15" customHeight="1">
      <c r="A154" s="134"/>
      <c r="B154" s="134"/>
      <c r="C154" s="134"/>
      <c r="D154" s="134"/>
      <c r="E154" s="134"/>
      <c r="F154" s="134"/>
      <c r="G154" s="134"/>
    </row>
    <row r="155" spans="1:7" ht="15" customHeight="1">
      <c r="A155" s="134"/>
      <c r="B155" s="134"/>
      <c r="C155" s="134"/>
      <c r="D155" s="134"/>
      <c r="E155" s="134"/>
      <c r="F155" s="134"/>
      <c r="G155" s="134"/>
    </row>
    <row r="156" spans="1:7" ht="15" customHeight="1">
      <c r="A156" s="134"/>
      <c r="B156" s="134"/>
      <c r="C156" s="134"/>
      <c r="D156" s="134"/>
      <c r="E156" s="134"/>
      <c r="F156" s="134"/>
      <c r="G156" s="134"/>
    </row>
    <row r="157" spans="1:7" ht="15" customHeight="1">
      <c r="A157" s="134"/>
      <c r="B157" s="134"/>
      <c r="C157" s="134"/>
      <c r="D157" s="134"/>
      <c r="E157" s="134"/>
      <c r="F157" s="134"/>
      <c r="G157" s="134"/>
    </row>
    <row r="158" spans="1:7" ht="15" customHeight="1">
      <c r="A158" s="134"/>
      <c r="B158" s="134"/>
      <c r="C158" s="134"/>
      <c r="D158" s="134"/>
      <c r="E158" s="134"/>
      <c r="F158" s="134"/>
      <c r="G158" s="134"/>
    </row>
    <row r="159" spans="1:7" ht="15" customHeight="1">
      <c r="A159" s="134"/>
      <c r="B159" s="134"/>
      <c r="C159" s="134"/>
      <c r="D159" s="134"/>
      <c r="E159" s="134"/>
      <c r="F159" s="134"/>
      <c r="G159" s="134"/>
    </row>
    <row r="160" spans="1:7" ht="15" customHeight="1">
      <c r="A160" s="134"/>
      <c r="B160" s="134"/>
      <c r="C160" s="134"/>
      <c r="D160" s="134"/>
      <c r="E160" s="134"/>
      <c r="F160" s="134"/>
      <c r="G160" s="134"/>
    </row>
    <row r="161" spans="1:7" ht="15" customHeight="1">
      <c r="A161" s="134"/>
      <c r="B161" s="134"/>
      <c r="C161" s="134"/>
      <c r="D161" s="134"/>
      <c r="E161" s="134"/>
      <c r="F161" s="134"/>
      <c r="G161" s="134"/>
    </row>
    <row r="162" spans="1:7" ht="15" customHeight="1">
      <c r="A162" s="134"/>
      <c r="B162" s="134"/>
      <c r="C162" s="134"/>
      <c r="D162" s="134"/>
      <c r="E162" s="134"/>
      <c r="F162" s="134"/>
      <c r="G162" s="134"/>
    </row>
    <row r="163" spans="1:7" ht="15" customHeight="1">
      <c r="A163" s="134"/>
      <c r="B163" s="134"/>
      <c r="C163" s="134"/>
      <c r="D163" s="134"/>
      <c r="E163" s="134"/>
      <c r="F163" s="134"/>
      <c r="G163" s="134"/>
    </row>
    <row r="164" spans="1:7" ht="15" customHeight="1">
      <c r="A164" s="134"/>
      <c r="B164" s="134"/>
      <c r="C164" s="134"/>
      <c r="D164" s="134"/>
      <c r="E164" s="134"/>
      <c r="F164" s="134"/>
      <c r="G164" s="134"/>
    </row>
    <row r="165" spans="1:7" ht="15" customHeight="1">
      <c r="A165" s="134"/>
      <c r="B165" s="134"/>
      <c r="C165" s="134"/>
      <c r="D165" s="134"/>
      <c r="E165" s="134"/>
      <c r="F165" s="134"/>
      <c r="G165" s="134"/>
    </row>
    <row r="166" spans="1:7" ht="15" customHeight="1">
      <c r="A166" s="134"/>
      <c r="B166" s="134"/>
      <c r="C166" s="134"/>
      <c r="D166" s="134"/>
      <c r="E166" s="134"/>
      <c r="F166" s="134"/>
      <c r="G166" s="134"/>
    </row>
    <row r="167" spans="1:7" ht="15" customHeight="1">
      <c r="A167" s="134"/>
      <c r="B167" s="134"/>
      <c r="C167" s="134"/>
      <c r="D167" s="134"/>
      <c r="E167" s="134"/>
      <c r="F167" s="134"/>
      <c r="G167" s="134"/>
    </row>
    <row r="168" spans="1:7" ht="15" customHeight="1">
      <c r="A168" s="134"/>
      <c r="B168" s="134"/>
      <c r="C168" s="134"/>
      <c r="D168" s="134"/>
      <c r="E168" s="134"/>
      <c r="F168" s="134"/>
      <c r="G168" s="134"/>
    </row>
    <row r="169" spans="1:7" ht="15" customHeight="1">
      <c r="A169" s="134"/>
      <c r="B169" s="134"/>
      <c r="C169" s="134"/>
      <c r="D169" s="134"/>
      <c r="E169" s="134"/>
      <c r="F169" s="134"/>
      <c r="G169" s="134"/>
    </row>
    <row r="170" spans="1:7" ht="15" customHeight="1">
      <c r="A170" s="134"/>
      <c r="B170" s="134"/>
      <c r="C170" s="134"/>
      <c r="D170" s="134"/>
      <c r="E170" s="134"/>
      <c r="F170" s="134"/>
      <c r="G170" s="134"/>
    </row>
    <row r="171" spans="1:7" ht="15" customHeight="1">
      <c r="A171" s="134"/>
      <c r="B171" s="134"/>
      <c r="C171" s="134"/>
      <c r="D171" s="134"/>
      <c r="E171" s="134"/>
      <c r="F171" s="134"/>
      <c r="G171" s="134"/>
    </row>
    <row r="172" spans="1:7" ht="15" customHeight="1">
      <c r="A172" s="134"/>
      <c r="B172" s="134"/>
      <c r="C172" s="134"/>
      <c r="D172" s="134"/>
      <c r="E172" s="134"/>
      <c r="F172" s="134"/>
      <c r="G172" s="134"/>
    </row>
    <row r="173" spans="1:7" ht="15" customHeight="1">
      <c r="A173" s="134"/>
      <c r="B173" s="134"/>
      <c r="C173" s="134"/>
      <c r="D173" s="134"/>
      <c r="E173" s="134"/>
      <c r="F173" s="134"/>
      <c r="G173" s="134"/>
    </row>
    <row r="174" spans="1:7" ht="15" customHeight="1">
      <c r="A174" s="134"/>
      <c r="B174" s="134"/>
      <c r="C174" s="134"/>
      <c r="D174" s="134"/>
      <c r="E174" s="134"/>
      <c r="F174" s="134"/>
      <c r="G174" s="134"/>
    </row>
    <row r="175" spans="1:7" ht="15" customHeight="1">
      <c r="A175" s="134"/>
      <c r="B175" s="134"/>
      <c r="C175" s="134"/>
      <c r="D175" s="134"/>
      <c r="E175" s="134"/>
      <c r="F175" s="134"/>
      <c r="G175" s="134"/>
    </row>
    <row r="176" spans="1:7" ht="15" customHeight="1">
      <c r="A176" s="134"/>
      <c r="B176" s="134"/>
      <c r="C176" s="134"/>
      <c r="D176" s="134"/>
      <c r="E176" s="134"/>
      <c r="F176" s="134"/>
      <c r="G176" s="134"/>
    </row>
    <row r="177" spans="1:7" ht="15" customHeight="1">
      <c r="A177" s="134"/>
      <c r="B177" s="134"/>
      <c r="C177" s="134"/>
      <c r="D177" s="134"/>
      <c r="E177" s="134"/>
      <c r="F177" s="134"/>
      <c r="G177" s="134"/>
    </row>
    <row r="178" spans="1:7" ht="15" customHeight="1">
      <c r="A178" s="134"/>
      <c r="B178" s="134"/>
      <c r="C178" s="134"/>
      <c r="D178" s="134"/>
      <c r="E178" s="134"/>
      <c r="F178" s="134"/>
      <c r="G178" s="134"/>
    </row>
    <row r="179" spans="1:7" ht="15" customHeight="1">
      <c r="A179" s="134"/>
      <c r="B179" s="134"/>
      <c r="C179" s="134"/>
      <c r="D179" s="134"/>
      <c r="E179" s="134"/>
      <c r="F179" s="134"/>
      <c r="G179" s="134"/>
    </row>
    <row r="180" spans="1:7" ht="15" customHeight="1">
      <c r="A180" s="134"/>
      <c r="B180" s="134"/>
      <c r="C180" s="134"/>
      <c r="D180" s="134"/>
      <c r="E180" s="134"/>
      <c r="F180" s="134"/>
      <c r="G180" s="134"/>
    </row>
    <row r="181" spans="1:7" ht="15" customHeight="1">
      <c r="A181" s="134"/>
      <c r="B181" s="134"/>
      <c r="C181" s="134"/>
      <c r="D181" s="134"/>
      <c r="E181" s="134"/>
      <c r="F181" s="134"/>
      <c r="G181" s="134"/>
    </row>
    <row r="182" spans="1:7" ht="15" customHeight="1">
      <c r="A182" s="134"/>
      <c r="B182" s="134"/>
      <c r="C182" s="134"/>
      <c r="D182" s="134"/>
      <c r="E182" s="134"/>
      <c r="F182" s="134"/>
      <c r="G182" s="134"/>
    </row>
    <row r="183" spans="1:7" ht="15" customHeight="1">
      <c r="A183" s="134"/>
      <c r="B183" s="134"/>
      <c r="C183" s="134"/>
      <c r="D183" s="134"/>
      <c r="E183" s="134"/>
      <c r="F183" s="134"/>
      <c r="G183" s="134"/>
    </row>
    <row r="184" spans="1:7" ht="15" customHeight="1">
      <c r="A184" s="134"/>
      <c r="B184" s="134"/>
      <c r="C184" s="134"/>
      <c r="D184" s="134"/>
      <c r="E184" s="134"/>
      <c r="F184" s="134"/>
      <c r="G184" s="134"/>
    </row>
    <row r="185" spans="1:7" ht="15" customHeight="1">
      <c r="A185" s="134"/>
      <c r="B185" s="134"/>
      <c r="C185" s="134"/>
      <c r="D185" s="134"/>
      <c r="E185" s="134"/>
      <c r="F185" s="134"/>
      <c r="G185" s="134"/>
    </row>
    <row r="186" spans="1:7" ht="15" customHeight="1">
      <c r="A186" s="134"/>
      <c r="B186" s="134"/>
      <c r="C186" s="134"/>
      <c r="D186" s="134"/>
      <c r="E186" s="134"/>
      <c r="F186" s="134"/>
      <c r="G186" s="134"/>
    </row>
    <row r="187" spans="1:7" ht="15" customHeight="1">
      <c r="A187" s="134"/>
      <c r="B187" s="134"/>
      <c r="C187" s="134"/>
      <c r="D187" s="134"/>
      <c r="E187" s="134"/>
      <c r="F187" s="134"/>
      <c r="G187" s="134"/>
    </row>
    <row r="188" spans="1:7" ht="15" customHeight="1">
      <c r="A188" s="134"/>
      <c r="B188" s="134"/>
      <c r="C188" s="134"/>
      <c r="D188" s="134"/>
      <c r="E188" s="134"/>
      <c r="F188" s="134"/>
      <c r="G188" s="134"/>
    </row>
    <row r="189" spans="1:7" ht="15" customHeight="1">
      <c r="A189" s="134"/>
      <c r="B189" s="134"/>
      <c r="C189" s="134"/>
      <c r="D189" s="134"/>
      <c r="E189" s="134"/>
      <c r="F189" s="134"/>
      <c r="G189" s="134"/>
    </row>
    <row r="190" spans="1:7" ht="15" customHeight="1">
      <c r="A190" s="134"/>
      <c r="B190" s="134"/>
      <c r="C190" s="134"/>
      <c r="D190" s="134"/>
      <c r="E190" s="134"/>
      <c r="F190" s="134"/>
      <c r="G190" s="134"/>
    </row>
    <row r="191" spans="1:7" ht="15" customHeight="1">
      <c r="A191" s="134"/>
      <c r="B191" s="134"/>
      <c r="C191" s="134"/>
      <c r="D191" s="134"/>
      <c r="E191" s="134"/>
      <c r="F191" s="134"/>
      <c r="G191" s="134"/>
    </row>
    <row r="192" spans="1:7" ht="15" customHeight="1">
      <c r="A192" s="134"/>
      <c r="B192" s="134"/>
      <c r="C192" s="134"/>
      <c r="D192" s="134"/>
      <c r="E192" s="134"/>
      <c r="F192" s="134"/>
      <c r="G192" s="134"/>
    </row>
    <row r="193" spans="1:7" ht="15" customHeight="1">
      <c r="A193" s="134"/>
      <c r="B193" s="134"/>
      <c r="C193" s="134"/>
      <c r="D193" s="134"/>
      <c r="E193" s="134"/>
      <c r="F193" s="134"/>
      <c r="G193" s="134"/>
    </row>
    <row r="194" spans="1:7" ht="15" customHeight="1">
      <c r="A194" s="134"/>
      <c r="B194" s="134"/>
      <c r="C194" s="134"/>
      <c r="D194" s="134"/>
      <c r="E194" s="134"/>
      <c r="F194" s="134"/>
      <c r="G194" s="134"/>
    </row>
    <row r="195" spans="1:7" ht="15" customHeight="1">
      <c r="A195" s="134"/>
      <c r="B195" s="134"/>
      <c r="C195" s="134"/>
      <c r="D195" s="134"/>
      <c r="E195" s="134"/>
      <c r="F195" s="134"/>
      <c r="G195" s="134"/>
    </row>
    <row r="196" spans="1:7" ht="15" customHeight="1">
      <c r="A196" s="134"/>
      <c r="B196" s="134"/>
      <c r="C196" s="134"/>
      <c r="D196" s="134"/>
      <c r="E196" s="134"/>
      <c r="F196" s="134"/>
      <c r="G196" s="134"/>
    </row>
    <row r="197" spans="1:7" ht="15" customHeight="1">
      <c r="A197" s="134"/>
      <c r="B197" s="134"/>
      <c r="C197" s="134"/>
      <c r="D197" s="134"/>
      <c r="E197" s="134"/>
      <c r="F197" s="134"/>
      <c r="G197" s="134"/>
    </row>
    <row r="198" spans="1:7" ht="15" customHeight="1">
      <c r="A198" s="134"/>
      <c r="B198" s="134"/>
      <c r="C198" s="134"/>
      <c r="D198" s="134"/>
      <c r="E198" s="134"/>
      <c r="F198" s="134"/>
      <c r="G198" s="134"/>
    </row>
    <row r="199" spans="1:7" ht="15" customHeight="1">
      <c r="A199" s="134"/>
      <c r="B199" s="134"/>
      <c r="C199" s="134"/>
      <c r="D199" s="134"/>
      <c r="E199" s="134"/>
      <c r="F199" s="134"/>
      <c r="G199" s="134"/>
    </row>
    <row r="200" spans="1:7" ht="15" customHeight="1">
      <c r="A200" s="134"/>
      <c r="B200" s="134"/>
      <c r="C200" s="134"/>
      <c r="D200" s="134"/>
      <c r="E200" s="134"/>
      <c r="F200" s="134"/>
      <c r="G200" s="134"/>
    </row>
    <row r="201" spans="1:7" ht="15" customHeight="1">
      <c r="A201" s="134"/>
      <c r="B201" s="134"/>
      <c r="C201" s="134"/>
      <c r="D201" s="134"/>
      <c r="E201" s="134"/>
      <c r="F201" s="134"/>
      <c r="G201" s="134"/>
    </row>
    <row r="202" spans="1:7" ht="15" customHeight="1">
      <c r="A202" s="134"/>
      <c r="B202" s="134"/>
      <c r="C202" s="134"/>
      <c r="D202" s="134"/>
      <c r="E202" s="134"/>
      <c r="F202" s="134"/>
      <c r="G202" s="134"/>
    </row>
    <row r="203" spans="1:7" ht="15" customHeight="1">
      <c r="A203" s="134"/>
      <c r="B203" s="134"/>
      <c r="C203" s="134"/>
      <c r="D203" s="134"/>
      <c r="E203" s="134"/>
      <c r="F203" s="134"/>
      <c r="G203" s="134"/>
    </row>
    <row r="204" spans="1:7" ht="15" customHeight="1">
      <c r="A204" s="134"/>
      <c r="B204" s="134"/>
      <c r="C204" s="134"/>
      <c r="D204" s="134"/>
      <c r="E204" s="134"/>
      <c r="F204" s="134"/>
      <c r="G204" s="134"/>
    </row>
    <row r="205" spans="1:7" ht="15" customHeight="1">
      <c r="A205" s="134"/>
      <c r="B205" s="134"/>
      <c r="C205" s="134"/>
      <c r="D205" s="134"/>
      <c r="E205" s="134"/>
      <c r="F205" s="134"/>
      <c r="G205" s="134"/>
    </row>
    <row r="206" spans="1:7" ht="15" customHeight="1">
      <c r="A206" s="134"/>
      <c r="B206" s="134"/>
      <c r="C206" s="134"/>
      <c r="D206" s="134"/>
      <c r="E206" s="134"/>
      <c r="F206" s="134"/>
      <c r="G206" s="134"/>
    </row>
    <row r="207" spans="1:7" ht="15" customHeight="1">
      <c r="A207" s="134"/>
      <c r="B207" s="134"/>
      <c r="C207" s="134"/>
      <c r="D207" s="134"/>
      <c r="E207" s="134"/>
      <c r="F207" s="134"/>
      <c r="G207" s="134"/>
    </row>
    <row r="208" spans="1:7" ht="15" customHeight="1">
      <c r="A208" s="134"/>
      <c r="B208" s="134"/>
      <c r="C208" s="134"/>
      <c r="D208" s="134"/>
      <c r="E208" s="134"/>
      <c r="F208" s="134"/>
      <c r="G208" s="134"/>
    </row>
    <row r="209" spans="1:7" ht="15" customHeight="1">
      <c r="A209" s="134"/>
      <c r="B209" s="134"/>
      <c r="C209" s="134"/>
      <c r="D209" s="134"/>
      <c r="E209" s="134"/>
      <c r="F209" s="134"/>
      <c r="G209" s="134"/>
    </row>
    <row r="210" spans="1:7" ht="15" customHeight="1">
      <c r="A210" s="134"/>
      <c r="B210" s="134"/>
      <c r="C210" s="134"/>
      <c r="D210" s="134"/>
      <c r="E210" s="134"/>
      <c r="F210" s="134"/>
      <c r="G210" s="134"/>
    </row>
    <row r="211" spans="1:7" ht="15" customHeight="1">
      <c r="A211" s="134"/>
      <c r="B211" s="134"/>
      <c r="C211" s="134"/>
      <c r="D211" s="134"/>
      <c r="E211" s="134"/>
      <c r="F211" s="134"/>
      <c r="G211" s="134"/>
    </row>
    <row r="212" spans="1:7" ht="15" customHeight="1">
      <c r="A212" s="134"/>
      <c r="B212" s="134"/>
      <c r="C212" s="134"/>
      <c r="D212" s="134"/>
      <c r="E212" s="134"/>
      <c r="F212" s="134"/>
      <c r="G212" s="134"/>
    </row>
    <row r="213" spans="1:7" ht="15" customHeight="1">
      <c r="A213" s="134"/>
      <c r="B213" s="134"/>
      <c r="C213" s="134"/>
      <c r="D213" s="134"/>
      <c r="E213" s="134"/>
      <c r="F213" s="134"/>
      <c r="G213" s="134"/>
    </row>
    <row r="214" spans="1:7" ht="15" customHeight="1">
      <c r="A214" s="134"/>
      <c r="B214" s="134"/>
      <c r="C214" s="134"/>
      <c r="D214" s="134"/>
      <c r="E214" s="134"/>
      <c r="F214" s="134"/>
      <c r="G214" s="134"/>
    </row>
    <row r="215" spans="1:7" ht="15" customHeight="1">
      <c r="A215" s="134"/>
      <c r="B215" s="134"/>
      <c r="C215" s="134"/>
      <c r="D215" s="134"/>
      <c r="E215" s="134"/>
      <c r="F215" s="134"/>
      <c r="G215" s="134"/>
    </row>
    <row r="216" spans="1:7" ht="15" customHeight="1">
      <c r="A216" s="134"/>
      <c r="B216" s="134"/>
      <c r="C216" s="134"/>
      <c r="D216" s="134"/>
      <c r="E216" s="134"/>
      <c r="F216" s="134"/>
      <c r="G216" s="134"/>
    </row>
    <row r="217" spans="1:7" ht="15" customHeight="1">
      <c r="A217" s="134"/>
      <c r="B217" s="134"/>
      <c r="C217" s="134"/>
      <c r="D217" s="134"/>
      <c r="E217" s="134"/>
      <c r="F217" s="134"/>
      <c r="G217" s="134"/>
    </row>
    <row r="218" spans="1:7" ht="15" customHeight="1">
      <c r="A218" s="134"/>
      <c r="B218" s="134"/>
      <c r="C218" s="134"/>
      <c r="D218" s="134"/>
      <c r="E218" s="134"/>
      <c r="F218" s="134"/>
      <c r="G218" s="134"/>
    </row>
    <row r="219" spans="1:7" ht="15" customHeight="1">
      <c r="A219" s="134"/>
      <c r="B219" s="134"/>
      <c r="C219" s="134"/>
      <c r="D219" s="134"/>
      <c r="E219" s="134"/>
      <c r="F219" s="134"/>
      <c r="G219" s="134"/>
    </row>
    <row r="220" spans="1:7" ht="15" customHeight="1">
      <c r="A220" s="134"/>
      <c r="B220" s="134"/>
      <c r="C220" s="134"/>
      <c r="D220" s="134"/>
      <c r="E220" s="134"/>
      <c r="F220" s="134"/>
      <c r="G220" s="134"/>
    </row>
    <row r="221" spans="1:7" ht="15" customHeight="1">
      <c r="A221" s="134"/>
      <c r="B221" s="134"/>
      <c r="C221" s="134"/>
      <c r="D221" s="134"/>
      <c r="E221" s="134"/>
      <c r="F221" s="134"/>
      <c r="G221" s="134"/>
    </row>
    <row r="222" spans="1:7" ht="15" customHeight="1">
      <c r="A222" s="134"/>
      <c r="B222" s="134"/>
      <c r="C222" s="134"/>
      <c r="D222" s="134"/>
      <c r="E222" s="134"/>
      <c r="F222" s="134"/>
      <c r="G222" s="134"/>
    </row>
    <row r="223" spans="1:7" ht="15" customHeight="1">
      <c r="A223" s="134"/>
      <c r="B223" s="134"/>
      <c r="C223" s="134"/>
      <c r="D223" s="134"/>
      <c r="E223" s="134"/>
      <c r="F223" s="134"/>
      <c r="G223" s="134"/>
    </row>
    <row r="224" spans="1:7" ht="15" customHeight="1">
      <c r="A224" s="134"/>
      <c r="B224" s="134"/>
      <c r="C224" s="134"/>
      <c r="D224" s="134"/>
      <c r="E224" s="134"/>
      <c r="F224" s="134"/>
      <c r="G224" s="134"/>
    </row>
    <row r="225" spans="1:7" ht="15" customHeight="1">
      <c r="A225" s="134"/>
      <c r="B225" s="134"/>
      <c r="C225" s="134"/>
      <c r="D225" s="134"/>
      <c r="E225" s="134"/>
      <c r="F225" s="134"/>
      <c r="G225" s="134"/>
    </row>
    <row r="226" spans="1:7" ht="15" customHeight="1">
      <c r="A226" s="134"/>
      <c r="B226" s="134"/>
      <c r="C226" s="134"/>
      <c r="D226" s="134"/>
      <c r="E226" s="134"/>
      <c r="F226" s="134"/>
      <c r="G226" s="134"/>
    </row>
    <row r="227" spans="1:7" ht="15" customHeight="1">
      <c r="A227" s="134"/>
      <c r="B227" s="134"/>
      <c r="C227" s="134"/>
      <c r="D227" s="134"/>
      <c r="E227" s="134"/>
      <c r="F227" s="134"/>
      <c r="G227" s="134"/>
    </row>
    <row r="228" spans="1:7" ht="15" customHeight="1">
      <c r="A228" s="134"/>
      <c r="B228" s="134"/>
      <c r="C228" s="134"/>
      <c r="D228" s="134"/>
      <c r="E228" s="134"/>
      <c r="F228" s="134"/>
      <c r="G228" s="134"/>
    </row>
    <row r="229" spans="1:7" ht="15" customHeight="1">
      <c r="A229" s="134"/>
      <c r="B229" s="134"/>
      <c r="C229" s="134"/>
      <c r="D229" s="134"/>
      <c r="E229" s="134"/>
      <c r="F229" s="134"/>
      <c r="G229" s="134"/>
    </row>
    <row r="230" spans="1:7" ht="15" customHeight="1">
      <c r="A230" s="134"/>
      <c r="B230" s="134"/>
      <c r="C230" s="134"/>
      <c r="D230" s="134"/>
      <c r="E230" s="134"/>
      <c r="F230" s="134"/>
      <c r="G230" s="134"/>
    </row>
    <row r="231" spans="1:7" ht="15" customHeight="1">
      <c r="A231" s="134"/>
      <c r="B231" s="134"/>
      <c r="C231" s="134"/>
      <c r="D231" s="134"/>
      <c r="E231" s="134"/>
      <c r="F231" s="134"/>
      <c r="G231" s="134"/>
    </row>
    <row r="232" spans="1:7" ht="15" customHeight="1">
      <c r="A232" s="134"/>
      <c r="B232" s="134"/>
      <c r="C232" s="134"/>
      <c r="D232" s="134"/>
      <c r="E232" s="134"/>
      <c r="F232" s="134"/>
      <c r="G232" s="134"/>
    </row>
    <row r="233" spans="1:7" ht="15" customHeight="1">
      <c r="A233" s="134"/>
      <c r="B233" s="134"/>
      <c r="C233" s="134"/>
      <c r="D233" s="134"/>
      <c r="E233" s="134"/>
      <c r="F233" s="134"/>
      <c r="G233" s="134"/>
    </row>
    <row r="234" spans="1:7" ht="15" customHeight="1">
      <c r="A234" s="134"/>
      <c r="B234" s="134"/>
      <c r="C234" s="134"/>
      <c r="D234" s="134"/>
      <c r="E234" s="134"/>
      <c r="F234" s="134"/>
      <c r="G234" s="134"/>
    </row>
    <row r="235" spans="1:7" ht="15" customHeight="1">
      <c r="A235" s="134"/>
      <c r="B235" s="134"/>
      <c r="C235" s="134"/>
      <c r="D235" s="134"/>
      <c r="E235" s="134"/>
      <c r="F235" s="134"/>
      <c r="G235" s="134"/>
    </row>
    <row r="236" spans="1:7" ht="15" customHeight="1">
      <c r="A236" s="134"/>
      <c r="B236" s="134"/>
      <c r="C236" s="134"/>
      <c r="D236" s="134"/>
      <c r="E236" s="134"/>
      <c r="F236" s="134"/>
      <c r="G236" s="134"/>
    </row>
    <row r="237" spans="1:7" ht="15" customHeight="1">
      <c r="A237" s="134"/>
      <c r="B237" s="134"/>
      <c r="C237" s="134"/>
      <c r="D237" s="134"/>
      <c r="E237" s="134"/>
      <c r="F237" s="134"/>
      <c r="G237" s="134"/>
    </row>
    <row r="238" spans="1:7" ht="15" customHeight="1">
      <c r="A238" s="134"/>
      <c r="B238" s="134"/>
      <c r="C238" s="134"/>
      <c r="D238" s="134"/>
      <c r="E238" s="134"/>
      <c r="F238" s="134"/>
      <c r="G238" s="134"/>
    </row>
    <row r="239" spans="1:7" ht="15" customHeight="1">
      <c r="A239" s="134"/>
      <c r="B239" s="134"/>
      <c r="C239" s="134"/>
      <c r="D239" s="134"/>
      <c r="E239" s="134"/>
      <c r="F239" s="134"/>
      <c r="G239" s="134"/>
    </row>
    <row r="240" spans="1:7" ht="15" customHeight="1">
      <c r="A240" s="134"/>
      <c r="B240" s="134"/>
      <c r="C240" s="134"/>
      <c r="D240" s="134"/>
      <c r="E240" s="134"/>
      <c r="F240" s="134"/>
      <c r="G240" s="134"/>
    </row>
    <row r="241" spans="1:7" ht="15" customHeight="1">
      <c r="A241" s="134"/>
      <c r="B241" s="134"/>
      <c r="C241" s="134"/>
      <c r="D241" s="134"/>
      <c r="E241" s="134"/>
      <c r="F241" s="134"/>
      <c r="G241" s="134"/>
    </row>
    <row r="242" spans="1:7" ht="15" customHeight="1">
      <c r="A242" s="134"/>
      <c r="B242" s="134"/>
      <c r="C242" s="134"/>
      <c r="D242" s="134"/>
      <c r="E242" s="134"/>
      <c r="F242" s="134"/>
      <c r="G242" s="134"/>
    </row>
    <row r="243" spans="1:7" ht="15" customHeight="1">
      <c r="A243" s="134"/>
      <c r="B243" s="134"/>
      <c r="C243" s="134"/>
      <c r="D243" s="134"/>
      <c r="E243" s="134"/>
      <c r="F243" s="134"/>
      <c r="G243" s="134"/>
    </row>
    <row r="244" spans="1:7" ht="15" customHeight="1">
      <c r="A244" s="134"/>
      <c r="B244" s="134"/>
      <c r="C244" s="134"/>
      <c r="D244" s="134"/>
      <c r="E244" s="134"/>
      <c r="F244" s="134"/>
      <c r="G244" s="134"/>
    </row>
    <row r="245" spans="1:7" ht="15" customHeight="1">
      <c r="A245" s="134"/>
      <c r="B245" s="134"/>
      <c r="C245" s="134"/>
      <c r="D245" s="134"/>
      <c r="E245" s="134"/>
      <c r="F245" s="134"/>
      <c r="G245" s="134"/>
    </row>
    <row r="246" spans="1:7" ht="15" customHeight="1">
      <c r="A246" s="134"/>
      <c r="B246" s="134"/>
      <c r="C246" s="134"/>
      <c r="D246" s="134"/>
      <c r="E246" s="134"/>
      <c r="F246" s="134"/>
      <c r="G246" s="134"/>
    </row>
    <row r="247" spans="1:7" ht="15" customHeight="1">
      <c r="A247" s="134"/>
      <c r="B247" s="134"/>
      <c r="C247" s="134"/>
      <c r="D247" s="134"/>
      <c r="E247" s="134"/>
      <c r="F247" s="134"/>
      <c r="G247" s="134"/>
    </row>
    <row r="248" spans="1:7" ht="15" customHeight="1">
      <c r="A248" s="134"/>
      <c r="B248" s="134"/>
      <c r="C248" s="134"/>
      <c r="D248" s="134"/>
      <c r="E248" s="134"/>
      <c r="F248" s="134"/>
      <c r="G248" s="134"/>
    </row>
    <row r="249" spans="1:7" ht="15" customHeight="1">
      <c r="A249" s="134"/>
      <c r="B249" s="134"/>
      <c r="C249" s="134"/>
      <c r="D249" s="134"/>
      <c r="E249" s="134"/>
      <c r="F249" s="134"/>
      <c r="G249" s="134"/>
    </row>
    <row r="250" spans="1:7" ht="15" customHeight="1">
      <c r="A250" s="134"/>
      <c r="B250" s="134"/>
      <c r="C250" s="134"/>
      <c r="D250" s="134"/>
      <c r="E250" s="134"/>
      <c r="F250" s="134"/>
      <c r="G250" s="134"/>
    </row>
    <row r="251" spans="1:7" ht="15" customHeight="1">
      <c r="A251" s="134"/>
      <c r="B251" s="134"/>
      <c r="C251" s="134"/>
      <c r="D251" s="134"/>
      <c r="E251" s="134"/>
      <c r="F251" s="134"/>
      <c r="G251" s="134"/>
    </row>
    <row r="252" spans="1:7" ht="15" customHeight="1">
      <c r="A252" s="134"/>
      <c r="B252" s="134"/>
      <c r="C252" s="134"/>
      <c r="D252" s="134"/>
      <c r="E252" s="134"/>
      <c r="F252" s="134"/>
      <c r="G252" s="134"/>
    </row>
    <row r="253" spans="1:7" ht="15" customHeight="1">
      <c r="A253" s="134"/>
      <c r="B253" s="134"/>
      <c r="C253" s="134"/>
      <c r="D253" s="134"/>
      <c r="E253" s="134"/>
      <c r="F253" s="134"/>
      <c r="G253" s="134"/>
    </row>
    <row r="254" spans="1:7" ht="15" customHeight="1">
      <c r="A254" s="134"/>
      <c r="B254" s="134"/>
      <c r="C254" s="134"/>
      <c r="D254" s="134"/>
      <c r="E254" s="134"/>
      <c r="F254" s="134"/>
      <c r="G254" s="134"/>
    </row>
    <row r="255" spans="1:7" ht="15" customHeight="1">
      <c r="A255" s="134"/>
      <c r="B255" s="134"/>
      <c r="C255" s="134"/>
      <c r="D255" s="134"/>
      <c r="E255" s="134"/>
      <c r="F255" s="134"/>
      <c r="G255" s="134"/>
    </row>
    <row r="256" spans="1:7" ht="15" customHeight="1">
      <c r="A256" s="134"/>
      <c r="B256" s="134"/>
      <c r="C256" s="134"/>
      <c r="D256" s="134"/>
      <c r="E256" s="134"/>
      <c r="F256" s="134"/>
      <c r="G256" s="134"/>
    </row>
    <row r="257" spans="1:7" ht="15" customHeight="1">
      <c r="A257" s="134"/>
      <c r="B257" s="134"/>
      <c r="C257" s="134"/>
      <c r="D257" s="134"/>
      <c r="E257" s="134"/>
      <c r="F257" s="134"/>
      <c r="G257" s="134"/>
    </row>
    <row r="258" spans="1:7" ht="15" customHeight="1">
      <c r="A258" s="134"/>
      <c r="B258" s="134"/>
      <c r="C258" s="134"/>
      <c r="D258" s="134"/>
      <c r="E258" s="134"/>
      <c r="F258" s="134"/>
      <c r="G258" s="134"/>
    </row>
    <row r="259" spans="1:7" ht="15" customHeight="1">
      <c r="A259" s="134"/>
      <c r="B259" s="134"/>
      <c r="C259" s="134"/>
      <c r="D259" s="134"/>
      <c r="E259" s="134"/>
      <c r="F259" s="134"/>
      <c r="G259" s="134"/>
    </row>
    <row r="260" spans="1:7" ht="15" customHeight="1">
      <c r="A260" s="134"/>
      <c r="B260" s="134"/>
      <c r="C260" s="134"/>
      <c r="D260" s="134"/>
      <c r="E260" s="134"/>
      <c r="F260" s="134"/>
      <c r="G260" s="134"/>
    </row>
    <row r="261" spans="1:7" ht="15" customHeight="1">
      <c r="A261" s="134"/>
      <c r="B261" s="134"/>
      <c r="C261" s="134"/>
      <c r="D261" s="134"/>
      <c r="E261" s="134"/>
      <c r="F261" s="134"/>
      <c r="G261" s="134"/>
    </row>
    <row r="262" spans="1:7" ht="15" customHeight="1">
      <c r="A262" s="134"/>
      <c r="B262" s="134"/>
      <c r="C262" s="134"/>
      <c r="D262" s="134"/>
      <c r="E262" s="134"/>
      <c r="F262" s="134"/>
      <c r="G262" s="134"/>
    </row>
    <row r="263" spans="1:7" ht="15" customHeight="1">
      <c r="A263" s="134"/>
      <c r="B263" s="134"/>
      <c r="C263" s="134"/>
      <c r="D263" s="134"/>
      <c r="E263" s="134"/>
      <c r="F263" s="134"/>
      <c r="G263" s="134"/>
    </row>
    <row r="264" spans="1:7" ht="15" customHeight="1">
      <c r="A264" s="134"/>
      <c r="B264" s="134"/>
      <c r="C264" s="134"/>
      <c r="D264" s="134"/>
      <c r="E264" s="134"/>
      <c r="F264" s="134"/>
      <c r="G264" s="134"/>
    </row>
    <row r="265" spans="1:7" ht="15" customHeight="1">
      <c r="A265" s="134"/>
      <c r="B265" s="134"/>
      <c r="C265" s="134"/>
      <c r="D265" s="134"/>
      <c r="E265" s="134"/>
      <c r="F265" s="134"/>
      <c r="G265" s="134"/>
    </row>
    <row r="266" spans="1:7" ht="15" customHeight="1">
      <c r="A266" s="134"/>
      <c r="B266" s="134"/>
      <c r="C266" s="134"/>
      <c r="D266" s="134"/>
      <c r="E266" s="134"/>
      <c r="F266" s="134"/>
      <c r="G266" s="134"/>
    </row>
    <row r="267" spans="1:7" ht="15" customHeight="1">
      <c r="A267" s="134"/>
      <c r="B267" s="134"/>
      <c r="C267" s="134"/>
      <c r="D267" s="134"/>
      <c r="E267" s="134"/>
      <c r="F267" s="134"/>
      <c r="G267" s="134"/>
    </row>
    <row r="268" spans="1:7" ht="15" customHeight="1">
      <c r="A268" s="134"/>
      <c r="B268" s="134"/>
      <c r="C268" s="134"/>
      <c r="D268" s="134"/>
      <c r="E268" s="134"/>
      <c r="F268" s="134"/>
      <c r="G268" s="134"/>
    </row>
    <row r="269" spans="1:7" ht="15" customHeight="1">
      <c r="A269" s="134"/>
      <c r="B269" s="134"/>
      <c r="C269" s="134"/>
      <c r="D269" s="134"/>
      <c r="E269" s="134"/>
      <c r="F269" s="134"/>
      <c r="G269" s="134"/>
    </row>
    <row r="270" spans="1:7" ht="15" customHeight="1">
      <c r="A270" s="134"/>
      <c r="B270" s="134"/>
      <c r="C270" s="134"/>
      <c r="D270" s="134"/>
      <c r="E270" s="134"/>
      <c r="F270" s="134"/>
      <c r="G270" s="134"/>
    </row>
    <row r="271" spans="1:7" ht="15" customHeight="1">
      <c r="A271" s="134"/>
      <c r="B271" s="134"/>
      <c r="C271" s="134"/>
      <c r="D271" s="134"/>
      <c r="E271" s="134"/>
      <c r="F271" s="134"/>
      <c r="G271" s="134"/>
    </row>
    <row r="272" spans="1:7" ht="15" customHeight="1">
      <c r="A272" s="134"/>
      <c r="B272" s="134"/>
      <c r="C272" s="134"/>
      <c r="D272" s="134"/>
      <c r="E272" s="134"/>
      <c r="F272" s="134"/>
      <c r="G272" s="134"/>
    </row>
    <row r="273" spans="1:7" ht="15" customHeight="1">
      <c r="A273" s="134"/>
      <c r="B273" s="134"/>
      <c r="C273" s="134"/>
      <c r="D273" s="134"/>
      <c r="E273" s="134"/>
      <c r="F273" s="134"/>
      <c r="G273" s="134"/>
    </row>
    <row r="274" spans="1:7" ht="15" customHeight="1">
      <c r="A274" s="134"/>
      <c r="B274" s="134"/>
      <c r="C274" s="134"/>
      <c r="D274" s="134"/>
      <c r="E274" s="134"/>
      <c r="F274" s="134"/>
      <c r="G274" s="134"/>
    </row>
    <row r="275" spans="1:7" ht="15" customHeight="1">
      <c r="A275" s="134"/>
      <c r="B275" s="134"/>
      <c r="C275" s="134"/>
      <c r="D275" s="134"/>
      <c r="E275" s="134"/>
      <c r="F275" s="134"/>
      <c r="G275" s="134"/>
    </row>
    <row r="276" spans="1:7" ht="15" customHeight="1">
      <c r="A276" s="134"/>
      <c r="B276" s="134"/>
      <c r="C276" s="134"/>
      <c r="D276" s="134"/>
      <c r="E276" s="134"/>
      <c r="F276" s="134"/>
      <c r="G276" s="134"/>
    </row>
    <row r="277" spans="1:7" ht="15" customHeight="1">
      <c r="A277" s="134"/>
      <c r="B277" s="134"/>
      <c r="C277" s="134"/>
      <c r="D277" s="134"/>
      <c r="E277" s="134"/>
      <c r="F277" s="134"/>
      <c r="G277" s="134"/>
    </row>
  </sheetData>
  <mergeCells count="7">
    <mergeCell ref="A20:G25"/>
    <mergeCell ref="A13:G13"/>
    <mergeCell ref="A15:G18"/>
    <mergeCell ref="A1:G1"/>
    <mergeCell ref="A3:G3"/>
    <mergeCell ref="A5:G5"/>
    <mergeCell ref="D9:G9"/>
  </mergeCells>
  <pageMargins left="0.9" right="0.7" top="0.75" bottom="0.75" header="0" footer="0.25"/>
  <pageSetup scale="9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2"/>
  <dimension ref="A1:U43"/>
  <sheetViews>
    <sheetView zoomScale="85" zoomScaleNormal="85" workbookViewId="0">
      <selection sqref="A1:H1"/>
    </sheetView>
  </sheetViews>
  <sheetFormatPr defaultColWidth="8.88671875" defaultRowHeight="15.75"/>
  <cols>
    <col min="1" max="1" width="16.88671875" style="680" customWidth="1"/>
    <col min="2" max="2" width="7.88671875" style="680" customWidth="1"/>
    <col min="3" max="3" width="14" style="680" customWidth="1"/>
    <col min="4" max="4" width="1.88671875" style="680" customWidth="1"/>
    <col min="5" max="5" width="15.6640625" style="680" customWidth="1"/>
    <col min="6" max="6" width="1.44140625" style="680" customWidth="1"/>
    <col min="7" max="7" width="12.6640625" style="680" customWidth="1"/>
    <col min="8" max="8" width="10.6640625" style="680" customWidth="1"/>
    <col min="9" max="10" width="8.88671875" style="680"/>
    <col min="11" max="11" width="10.5546875" style="680" bestFit="1" customWidth="1"/>
    <col min="12" max="12" width="2.88671875" style="680" customWidth="1"/>
    <col min="13" max="13" width="8.88671875" style="680"/>
    <col min="14" max="14" width="12.109375" style="680" customWidth="1"/>
    <col min="15" max="16" width="10.6640625" style="680" customWidth="1"/>
    <col min="17" max="18" width="8.88671875" style="680"/>
    <col min="19" max="19" width="3.6640625" style="680" customWidth="1"/>
    <col min="20" max="20" width="8.88671875" style="680"/>
    <col min="21" max="21" width="10.5546875" style="680" bestFit="1" customWidth="1"/>
    <col min="22" max="16384" width="8.88671875" style="680"/>
  </cols>
  <sheetData>
    <row r="1" spans="1:20">
      <c r="A1" s="824" t="str">
        <f>+Operations!B1</f>
        <v>BAINBRIDGE DISPOSAL, INC.</v>
      </c>
      <c r="B1" s="824"/>
      <c r="C1" s="824"/>
      <c r="D1" s="824"/>
      <c r="E1" s="824"/>
      <c r="F1" s="824"/>
      <c r="G1" s="824"/>
      <c r="H1" s="824"/>
    </row>
    <row r="2" spans="1:20">
      <c r="A2" s="19"/>
      <c r="B2" s="18"/>
      <c r="C2" s="18"/>
      <c r="D2" s="18"/>
      <c r="E2" s="18"/>
      <c r="F2" s="18"/>
      <c r="G2" s="18"/>
    </row>
    <row r="3" spans="1:20">
      <c r="A3" s="825" t="s">
        <v>1255</v>
      </c>
      <c r="B3" s="825"/>
      <c r="C3" s="825"/>
      <c r="D3" s="825"/>
      <c r="E3" s="825"/>
      <c r="F3" s="825"/>
      <c r="G3" s="825"/>
      <c r="H3" s="825"/>
    </row>
    <row r="4" spans="1:20">
      <c r="A4" s="21"/>
      <c r="B4" s="21"/>
      <c r="C4" s="21"/>
      <c r="D4" s="21"/>
      <c r="E4" s="21"/>
      <c r="F4" s="21"/>
      <c r="G4" s="21"/>
    </row>
    <row r="5" spans="1:20">
      <c r="A5" s="824" t="str">
        <f>+'WP-1 Rate Case Cost'!A5:G5</f>
        <v>In Support of Tariff No. 18, G-143, effective March 1, 2024</v>
      </c>
      <c r="B5" s="824"/>
      <c r="C5" s="824"/>
      <c r="D5" s="824"/>
      <c r="E5" s="824"/>
      <c r="F5" s="824"/>
      <c r="G5" s="824"/>
      <c r="H5" s="824"/>
    </row>
    <row r="7" spans="1:20">
      <c r="A7" s="681"/>
      <c r="B7" s="681"/>
      <c r="C7" s="682" t="s">
        <v>129</v>
      </c>
      <c r="D7" s="682"/>
      <c r="E7" s="683"/>
      <c r="F7" s="684"/>
      <c r="G7" s="840" t="s">
        <v>742</v>
      </c>
      <c r="H7" s="840"/>
    </row>
    <row r="8" spans="1:20">
      <c r="A8" s="681"/>
      <c r="B8" s="681"/>
      <c r="C8" s="682" t="s">
        <v>27</v>
      </c>
      <c r="D8" s="682"/>
      <c r="E8" s="685" t="s">
        <v>107</v>
      </c>
      <c r="F8" s="684"/>
      <c r="G8" s="840" t="s">
        <v>108</v>
      </c>
      <c r="H8" s="840"/>
    </row>
    <row r="9" spans="1:20">
      <c r="A9" s="681"/>
      <c r="B9" s="681"/>
      <c r="C9" s="686" t="s">
        <v>83</v>
      </c>
      <c r="D9" s="686"/>
      <c r="E9" s="687" t="s">
        <v>109</v>
      </c>
      <c r="F9" s="688"/>
      <c r="G9" s="841" t="s">
        <v>854</v>
      </c>
      <c r="H9" s="841"/>
    </row>
    <row r="10" spans="1:20">
      <c r="A10" s="689" t="s">
        <v>744</v>
      </c>
      <c r="B10" s="681"/>
      <c r="C10" s="328">
        <v>9162.4</v>
      </c>
      <c r="D10" s="681"/>
      <c r="E10" s="328">
        <v>36447.550000000003</v>
      </c>
      <c r="F10" s="681"/>
      <c r="G10" s="690">
        <f>+E10/C10</f>
        <v>3.9779479175761816</v>
      </c>
      <c r="H10" s="680" t="s">
        <v>110</v>
      </c>
      <c r="I10" s="690" t="s">
        <v>877</v>
      </c>
      <c r="J10" s="691"/>
      <c r="K10" s="692">
        <f>SUM(C10:C21)</f>
        <v>102737.3</v>
      </c>
    </row>
    <row r="11" spans="1:20">
      <c r="A11" s="693" t="s">
        <v>743</v>
      </c>
      <c r="B11" s="681"/>
      <c r="C11" s="328">
        <v>7889.9</v>
      </c>
      <c r="D11" s="681"/>
      <c r="E11" s="328">
        <v>31231.31</v>
      </c>
      <c r="F11" s="681"/>
      <c r="G11" s="690">
        <f t="shared" ref="G11:G21" si="0">+E11/C11</f>
        <v>3.9583911076186014</v>
      </c>
      <c r="H11" s="680" t="s">
        <v>110</v>
      </c>
      <c r="I11" s="690"/>
      <c r="J11" s="691"/>
    </row>
    <row r="12" spans="1:20">
      <c r="A12" s="693" t="s">
        <v>745</v>
      </c>
      <c r="B12" s="681"/>
      <c r="C12" s="328">
        <v>8648</v>
      </c>
      <c r="D12" s="681"/>
      <c r="E12" s="328">
        <v>43130.21</v>
      </c>
      <c r="F12" s="681"/>
      <c r="G12" s="690">
        <f t="shared" si="0"/>
        <v>4.9873045790934318</v>
      </c>
      <c r="H12" s="680" t="s">
        <v>110</v>
      </c>
      <c r="I12" s="690"/>
      <c r="J12" s="691"/>
    </row>
    <row r="13" spans="1:20">
      <c r="A13" s="693" t="s">
        <v>746</v>
      </c>
      <c r="B13" s="681"/>
      <c r="C13" s="328">
        <v>8247</v>
      </c>
      <c r="D13" s="681"/>
      <c r="E13" s="328">
        <v>40152</v>
      </c>
      <c r="F13" s="681"/>
      <c r="G13" s="690">
        <f t="shared" si="0"/>
        <v>4.8686795198253909</v>
      </c>
      <c r="H13" s="680" t="s">
        <v>110</v>
      </c>
      <c r="I13" s="690"/>
      <c r="J13" s="691"/>
    </row>
    <row r="14" spans="1:20">
      <c r="A14" s="693" t="s">
        <v>747</v>
      </c>
      <c r="B14" s="681"/>
      <c r="C14" s="328">
        <v>9669</v>
      </c>
      <c r="D14" s="681"/>
      <c r="E14" s="328">
        <v>51160.09</v>
      </c>
      <c r="F14" s="681"/>
      <c r="G14" s="690">
        <f t="shared" si="0"/>
        <v>5.2911459302926875</v>
      </c>
      <c r="H14" s="680" t="s">
        <v>110</v>
      </c>
      <c r="I14" s="690"/>
      <c r="J14" s="691"/>
    </row>
    <row r="15" spans="1:20">
      <c r="A15" s="693" t="s">
        <v>748</v>
      </c>
      <c r="B15" s="681"/>
      <c r="C15" s="328">
        <v>9804.6</v>
      </c>
      <c r="D15" s="681"/>
      <c r="E15" s="328">
        <v>60115.95</v>
      </c>
      <c r="F15" s="681"/>
      <c r="G15" s="690">
        <f t="shared" si="0"/>
        <v>6.1314026069395995</v>
      </c>
      <c r="H15" s="680" t="s">
        <v>110</v>
      </c>
      <c r="I15" s="690"/>
      <c r="J15" s="691"/>
      <c r="N15" s="694" t="s">
        <v>878</v>
      </c>
    </row>
    <row r="16" spans="1:20">
      <c r="A16" s="693" t="s">
        <v>749</v>
      </c>
      <c r="B16" s="681"/>
      <c r="C16" s="328">
        <v>8270.1</v>
      </c>
      <c r="D16" s="681"/>
      <c r="E16" s="328">
        <v>46706.879999999997</v>
      </c>
      <c r="F16" s="681"/>
      <c r="G16" s="690">
        <f t="shared" si="0"/>
        <v>5.6476801973373956</v>
      </c>
      <c r="H16" s="680" t="s">
        <v>110</v>
      </c>
      <c r="I16" s="690"/>
      <c r="J16" s="691"/>
      <c r="N16" s="695" t="s">
        <v>561</v>
      </c>
      <c r="O16" s="695" t="s">
        <v>562</v>
      </c>
      <c r="P16" s="695" t="s">
        <v>204</v>
      </c>
      <c r="T16" s="695" t="s">
        <v>572</v>
      </c>
    </row>
    <row r="17" spans="1:21">
      <c r="A17" s="693" t="s">
        <v>750</v>
      </c>
      <c r="B17" s="681"/>
      <c r="C17" s="328">
        <v>8919</v>
      </c>
      <c r="D17" s="681"/>
      <c r="E17" s="328">
        <v>42017.52</v>
      </c>
      <c r="F17" s="681"/>
      <c r="G17" s="690">
        <f t="shared" si="0"/>
        <v>4.7110124453414057</v>
      </c>
      <c r="H17" s="680" t="s">
        <v>110</v>
      </c>
      <c r="I17" s="690"/>
      <c r="J17" s="691"/>
      <c r="M17" s="696" t="s">
        <v>56</v>
      </c>
      <c r="N17" s="308">
        <v>0</v>
      </c>
      <c r="O17" s="308">
        <v>24676.75</v>
      </c>
      <c r="P17" s="308">
        <f>+N17-O17</f>
        <v>-24676.75</v>
      </c>
      <c r="Q17" s="680" t="s">
        <v>855</v>
      </c>
      <c r="T17" s="326">
        <v>2741.87</v>
      </c>
      <c r="U17" s="326"/>
    </row>
    <row r="18" spans="1:21">
      <c r="A18" s="693" t="s">
        <v>751</v>
      </c>
      <c r="B18" s="681"/>
      <c r="C18" s="328">
        <v>8950</v>
      </c>
      <c r="D18" s="681"/>
      <c r="E18" s="328">
        <v>41204.050000000003</v>
      </c>
      <c r="F18" s="681"/>
      <c r="G18" s="690">
        <f t="shared" si="0"/>
        <v>4.6038044692737436</v>
      </c>
      <c r="H18" s="680" t="s">
        <v>110</v>
      </c>
      <c r="I18" s="690"/>
      <c r="J18" s="691"/>
      <c r="M18" s="680" t="s">
        <v>60</v>
      </c>
      <c r="N18" s="267">
        <f>+E10</f>
        <v>36447.550000000003</v>
      </c>
      <c r="O18" s="308">
        <v>32802.800000000003</v>
      </c>
      <c r="P18" s="267">
        <f t="shared" ref="P18:P29" si="1">+N18-O18</f>
        <v>3644.75</v>
      </c>
      <c r="S18" s="692"/>
      <c r="T18" s="326">
        <v>3644.75</v>
      </c>
      <c r="U18" s="326">
        <f>+P18-T18</f>
        <v>0</v>
      </c>
    </row>
    <row r="19" spans="1:21">
      <c r="A19" s="693" t="s">
        <v>752</v>
      </c>
      <c r="B19" s="681"/>
      <c r="C19" s="697">
        <v>8634</v>
      </c>
      <c r="D19" s="698"/>
      <c r="E19" s="328">
        <v>44531.75</v>
      </c>
      <c r="F19" s="681"/>
      <c r="G19" s="690">
        <f t="shared" si="0"/>
        <v>5.1577194811211493</v>
      </c>
      <c r="H19" s="680" t="s">
        <v>110</v>
      </c>
      <c r="I19" s="690"/>
      <c r="J19" s="691"/>
      <c r="M19" s="680" t="s">
        <v>61</v>
      </c>
      <c r="N19" s="267">
        <f>+E11</f>
        <v>31231.31</v>
      </c>
      <c r="O19" s="308">
        <v>28108.17</v>
      </c>
      <c r="P19" s="267">
        <f t="shared" si="1"/>
        <v>3123.1400000000031</v>
      </c>
      <c r="T19" s="326">
        <v>3123.14</v>
      </c>
      <c r="U19" s="326">
        <f t="shared" ref="U19:U27" si="2">+P19-T19</f>
        <v>0</v>
      </c>
    </row>
    <row r="20" spans="1:21">
      <c r="A20" s="693" t="s">
        <v>753</v>
      </c>
      <c r="B20" s="681"/>
      <c r="C20" s="699">
        <v>7450</v>
      </c>
      <c r="D20" s="698"/>
      <c r="E20" s="700">
        <v>38022.050000000003</v>
      </c>
      <c r="F20" s="681"/>
      <c r="G20" s="690">
        <f t="shared" si="0"/>
        <v>5.1036308724832216</v>
      </c>
      <c r="H20" s="680" t="s">
        <v>110</v>
      </c>
      <c r="I20" s="690"/>
      <c r="J20" s="691"/>
      <c r="M20" s="680" t="s">
        <v>62</v>
      </c>
      <c r="N20" s="267">
        <f t="shared" ref="N20:N28" si="3">+E12</f>
        <v>43130.21</v>
      </c>
      <c r="O20" s="308">
        <v>38817.19</v>
      </c>
      <c r="P20" s="267">
        <f t="shared" si="1"/>
        <v>4313.0199999999968</v>
      </c>
      <c r="T20" s="326">
        <v>4313.0200000000004</v>
      </c>
      <c r="U20" s="326">
        <f t="shared" si="2"/>
        <v>0</v>
      </c>
    </row>
    <row r="21" spans="1:21" ht="16.5" thickBot="1">
      <c r="A21" s="701" t="s">
        <v>754</v>
      </c>
      <c r="B21" s="702"/>
      <c r="C21" s="703">
        <v>7093.3</v>
      </c>
      <c r="D21" s="704"/>
      <c r="E21" s="705">
        <v>29438.91</v>
      </c>
      <c r="F21" s="702"/>
      <c r="G21" s="706">
        <f t="shared" si="0"/>
        <v>4.1502417774519618</v>
      </c>
      <c r="H21" s="707" t="s">
        <v>110</v>
      </c>
      <c r="I21" s="690"/>
      <c r="J21" s="691"/>
      <c r="M21" s="680" t="s">
        <v>63</v>
      </c>
      <c r="N21" s="267">
        <f t="shared" si="3"/>
        <v>40152</v>
      </c>
      <c r="O21" s="308">
        <v>36136.800000000003</v>
      </c>
      <c r="P21" s="267">
        <f t="shared" si="1"/>
        <v>4015.1999999999971</v>
      </c>
      <c r="T21" s="326">
        <v>4015.2</v>
      </c>
      <c r="U21" s="326">
        <f t="shared" si="2"/>
        <v>0</v>
      </c>
    </row>
    <row r="22" spans="1:21">
      <c r="A22" s="693" t="s">
        <v>755</v>
      </c>
      <c r="B22" s="681"/>
      <c r="C22" s="699">
        <v>9790</v>
      </c>
      <c r="D22" s="698"/>
      <c r="E22" s="700">
        <v>42232.27</v>
      </c>
      <c r="F22" s="681"/>
      <c r="G22" s="690">
        <f t="shared" ref="G22:G31" si="4">+E22/C22</f>
        <v>4.313817160367722</v>
      </c>
      <c r="H22" s="680" t="s">
        <v>110</v>
      </c>
      <c r="J22" s="691"/>
      <c r="M22" s="680" t="s">
        <v>64</v>
      </c>
      <c r="N22" s="267">
        <f t="shared" si="3"/>
        <v>51160.09</v>
      </c>
      <c r="O22" s="308">
        <v>46044.08</v>
      </c>
      <c r="P22" s="267">
        <f t="shared" si="1"/>
        <v>5116.0099999999948</v>
      </c>
      <c r="T22" s="326">
        <v>5116.01</v>
      </c>
      <c r="U22" s="326">
        <f t="shared" si="2"/>
        <v>0</v>
      </c>
    </row>
    <row r="23" spans="1:21">
      <c r="A23" s="693" t="s">
        <v>756</v>
      </c>
      <c r="B23" s="681"/>
      <c r="C23" s="699">
        <v>7683.7</v>
      </c>
      <c r="D23" s="698"/>
      <c r="E23" s="328">
        <v>33572.67</v>
      </c>
      <c r="F23" s="681"/>
      <c r="G23" s="690">
        <f t="shared" si="4"/>
        <v>4.36933638741752</v>
      </c>
      <c r="H23" s="680" t="s">
        <v>110</v>
      </c>
      <c r="J23" s="691"/>
      <c r="M23" s="680" t="s">
        <v>65</v>
      </c>
      <c r="N23" s="267">
        <f t="shared" si="3"/>
        <v>60115.95</v>
      </c>
      <c r="O23" s="308">
        <v>54104.36</v>
      </c>
      <c r="P23" s="267">
        <f t="shared" si="1"/>
        <v>6011.5899999999965</v>
      </c>
      <c r="T23" s="326">
        <v>6011.59</v>
      </c>
      <c r="U23" s="326">
        <f t="shared" si="2"/>
        <v>0</v>
      </c>
    </row>
    <row r="24" spans="1:21">
      <c r="A24" s="693" t="s">
        <v>757</v>
      </c>
      <c r="B24" s="681"/>
      <c r="C24" s="699">
        <v>8900.2000000000007</v>
      </c>
      <c r="D24" s="698"/>
      <c r="E24" s="328">
        <v>38187.97</v>
      </c>
      <c r="F24" s="681"/>
      <c r="G24" s="690">
        <f t="shared" si="4"/>
        <v>4.2906867261409856</v>
      </c>
      <c r="H24" s="680" t="s">
        <v>110</v>
      </c>
      <c r="J24" s="691"/>
      <c r="M24" s="680" t="s">
        <v>66</v>
      </c>
      <c r="N24" s="267">
        <f t="shared" si="3"/>
        <v>46706.879999999997</v>
      </c>
      <c r="O24" s="308">
        <f>42036.2</f>
        <v>42036.2</v>
      </c>
      <c r="P24" s="267">
        <f t="shared" si="1"/>
        <v>4670.68</v>
      </c>
      <c r="T24" s="326">
        <v>4670.68</v>
      </c>
      <c r="U24" s="326">
        <f t="shared" si="2"/>
        <v>0</v>
      </c>
    </row>
    <row r="25" spans="1:21">
      <c r="A25" s="693" t="s">
        <v>758</v>
      </c>
      <c r="B25" s="681"/>
      <c r="C25" s="699">
        <v>8177</v>
      </c>
      <c r="D25" s="698"/>
      <c r="E25" s="328">
        <v>35090.79</v>
      </c>
      <c r="F25" s="681"/>
      <c r="G25" s="690">
        <f t="shared" si="4"/>
        <v>4.2914014919897276</v>
      </c>
      <c r="H25" s="680" t="s">
        <v>110</v>
      </c>
      <c r="J25" s="691"/>
      <c r="M25" s="680" t="s">
        <v>67</v>
      </c>
      <c r="N25" s="267">
        <f t="shared" si="3"/>
        <v>42017.52</v>
      </c>
      <c r="O25" s="308">
        <f>22395.92+15401.86</f>
        <v>37797.78</v>
      </c>
      <c r="P25" s="267">
        <f t="shared" si="1"/>
        <v>4219.739999999998</v>
      </c>
      <c r="T25" s="326">
        <f>1731.31+2488.43</f>
        <v>4219.74</v>
      </c>
      <c r="U25" s="326">
        <f t="shared" si="2"/>
        <v>0</v>
      </c>
    </row>
    <row r="26" spans="1:21">
      <c r="A26" s="693" t="s">
        <v>759</v>
      </c>
      <c r="B26" s="681"/>
      <c r="C26" s="699">
        <v>9883</v>
      </c>
      <c r="D26" s="698"/>
      <c r="E26" s="328">
        <v>41000.81</v>
      </c>
      <c r="F26" s="681"/>
      <c r="G26" s="690">
        <f t="shared" si="4"/>
        <v>4.1486198522715769</v>
      </c>
      <c r="H26" s="680" t="s">
        <v>110</v>
      </c>
      <c r="J26" s="691"/>
      <c r="M26" s="680" t="s">
        <v>59</v>
      </c>
      <c r="N26" s="267">
        <f t="shared" si="3"/>
        <v>41204.050000000003</v>
      </c>
      <c r="O26" s="308">
        <f>37083.65</f>
        <v>37083.65</v>
      </c>
      <c r="P26" s="267">
        <f t="shared" si="1"/>
        <v>4120.4000000000015</v>
      </c>
      <c r="T26" s="326">
        <v>4120.3999999999996</v>
      </c>
      <c r="U26" s="326">
        <f t="shared" si="2"/>
        <v>0</v>
      </c>
    </row>
    <row r="27" spans="1:21">
      <c r="A27" s="693" t="s">
        <v>760</v>
      </c>
      <c r="B27" s="681"/>
      <c r="C27" s="699">
        <v>9455.5</v>
      </c>
      <c r="D27" s="698"/>
      <c r="E27" s="328">
        <v>39608.639999999999</v>
      </c>
      <c r="F27" s="681"/>
      <c r="G27" s="690">
        <f t="shared" si="4"/>
        <v>4.1889524615303264</v>
      </c>
      <c r="H27" s="680" t="s">
        <v>110</v>
      </c>
      <c r="J27" s="691"/>
      <c r="M27" s="680" t="s">
        <v>58</v>
      </c>
      <c r="N27" s="267">
        <f t="shared" si="3"/>
        <v>44531.75</v>
      </c>
      <c r="O27" s="308">
        <f>17572.89+22505.68</f>
        <v>40078.57</v>
      </c>
      <c r="P27" s="267">
        <f t="shared" si="1"/>
        <v>4453.18</v>
      </c>
      <c r="T27" s="326">
        <f>1952.54+2500.64</f>
        <v>4453.18</v>
      </c>
      <c r="U27" s="326">
        <f t="shared" si="2"/>
        <v>0</v>
      </c>
    </row>
    <row r="28" spans="1:21">
      <c r="A28" s="693" t="s">
        <v>872</v>
      </c>
      <c r="B28" s="681"/>
      <c r="C28" s="699">
        <v>9349.2999999999993</v>
      </c>
      <c r="D28" s="698"/>
      <c r="E28" s="328">
        <v>40653.51</v>
      </c>
      <c r="F28" s="681"/>
      <c r="G28" s="690">
        <f t="shared" si="4"/>
        <v>4.3482945247237765</v>
      </c>
      <c r="H28" s="680" t="s">
        <v>110</v>
      </c>
      <c r="M28" s="680" t="s">
        <v>57</v>
      </c>
      <c r="N28" s="411">
        <f t="shared" si="3"/>
        <v>38022.050000000003</v>
      </c>
      <c r="O28" s="308">
        <f>14913.23+19306.62</f>
        <v>34219.85</v>
      </c>
      <c r="P28" s="267">
        <f t="shared" si="1"/>
        <v>3802.2000000000044</v>
      </c>
      <c r="T28" s="326">
        <f>1657.02+2145.18</f>
        <v>3802.2</v>
      </c>
      <c r="U28" s="326">
        <f>+P28-T28</f>
        <v>4.5474735088646412E-12</v>
      </c>
    </row>
    <row r="29" spans="1:21" ht="16.5" customHeight="1">
      <c r="A29" s="693" t="s">
        <v>873</v>
      </c>
      <c r="B29" s="681"/>
      <c r="C29" s="699">
        <v>8973.4</v>
      </c>
      <c r="D29" s="698"/>
      <c r="E29" s="328">
        <v>44694.71</v>
      </c>
      <c r="F29" s="681"/>
      <c r="G29" s="690">
        <f t="shared" si="4"/>
        <v>4.9807999197628545</v>
      </c>
      <c r="H29" s="680" t="s">
        <v>110</v>
      </c>
      <c r="M29" s="680" t="s">
        <v>56</v>
      </c>
      <c r="N29" s="411">
        <f>+E21</f>
        <v>29438.91</v>
      </c>
      <c r="O29" s="308">
        <v>26495.02</v>
      </c>
      <c r="P29" s="308">
        <f t="shared" si="1"/>
        <v>2943.8899999999994</v>
      </c>
      <c r="T29" s="326">
        <f>1730.36+1213.53</f>
        <v>2943.89</v>
      </c>
      <c r="U29" s="326">
        <f>+P29-T29</f>
        <v>0</v>
      </c>
    </row>
    <row r="30" spans="1:21">
      <c r="A30" s="693" t="s">
        <v>1206</v>
      </c>
      <c r="B30" s="681"/>
      <c r="C30" s="699">
        <v>7909.9</v>
      </c>
      <c r="D30" s="698"/>
      <c r="E30" s="700">
        <v>41550.65</v>
      </c>
      <c r="F30" s="681"/>
      <c r="G30" s="690">
        <f t="shared" si="4"/>
        <v>5.2529930846154826</v>
      </c>
      <c r="H30" s="680" t="s">
        <v>110</v>
      </c>
      <c r="N30" s="708">
        <f>SUM(N17:N29)</f>
        <v>504158.26999999996</v>
      </c>
      <c r="O30" s="708">
        <f>SUM(O17:O29)</f>
        <v>478401.22000000003</v>
      </c>
      <c r="P30" s="708">
        <f>SUM(P17:P29)</f>
        <v>25757.049999999992</v>
      </c>
    </row>
    <row r="31" spans="1:21">
      <c r="A31" s="689" t="s">
        <v>1207</v>
      </c>
      <c r="C31" s="699">
        <v>8585.5</v>
      </c>
      <c r="E31" s="700">
        <v>39938.57</v>
      </c>
      <c r="G31" s="690">
        <f t="shared" si="4"/>
        <v>4.6518630248675095</v>
      </c>
      <c r="H31" s="680" t="s">
        <v>110</v>
      </c>
      <c r="N31" s="308">
        <v>0</v>
      </c>
      <c r="O31" s="680" t="s">
        <v>857</v>
      </c>
      <c r="R31" s="680" t="s">
        <v>879</v>
      </c>
    </row>
    <row r="32" spans="1:21">
      <c r="N32" s="308">
        <f>-P17</f>
        <v>24676.75</v>
      </c>
      <c r="O32" s="680" t="s">
        <v>856</v>
      </c>
    </row>
    <row r="33" spans="1:15" ht="16.5" thickBot="1">
      <c r="C33" s="709">
        <f>SUM(C10:C21)</f>
        <v>102737.3</v>
      </c>
      <c r="E33" s="709">
        <f>SUM(E10:E21)</f>
        <v>504158.26999999996</v>
      </c>
      <c r="N33" s="308">
        <f>+E36</f>
        <v>30507.43</v>
      </c>
      <c r="O33" s="680" t="s">
        <v>563</v>
      </c>
    </row>
    <row r="34" spans="1:15" ht="16.5" thickTop="1">
      <c r="C34" s="710"/>
      <c r="E34" s="710"/>
      <c r="N34" s="267">
        <f>-T18-T19-T20-T21-T22-T23-T24-T25-T26-T27-T28-T29</f>
        <v>-50433.8</v>
      </c>
      <c r="O34" s="680" t="s">
        <v>874</v>
      </c>
    </row>
    <row r="35" spans="1:15">
      <c r="A35" s="681" t="s">
        <v>876</v>
      </c>
      <c r="B35" s="681"/>
      <c r="C35" s="711"/>
      <c r="D35" s="681"/>
      <c r="E35" s="711">
        <f>+K10*G35</f>
        <v>463093.8358165606</v>
      </c>
      <c r="F35" s="681"/>
      <c r="G35" s="220">
        <f>AVERAGE(G20:G31)</f>
        <v>4.5075531069685555</v>
      </c>
      <c r="H35" s="77" t="s">
        <v>192</v>
      </c>
      <c r="N35" s="308"/>
    </row>
    <row r="36" spans="1:15">
      <c r="A36" s="681" t="s">
        <v>875</v>
      </c>
      <c r="B36" s="681"/>
      <c r="C36" s="681"/>
      <c r="D36" s="681"/>
      <c r="E36" s="712">
        <v>30507.43</v>
      </c>
      <c r="F36" s="681"/>
      <c r="G36" s="681"/>
      <c r="N36" s="708">
        <f>SUM(N30:N34)</f>
        <v>508908.65000000008</v>
      </c>
    </row>
    <row r="37" spans="1:15">
      <c r="A37" s="681" t="s">
        <v>111</v>
      </c>
      <c r="B37" s="681"/>
      <c r="C37" s="681"/>
      <c r="D37" s="681"/>
      <c r="E37" s="711">
        <f>SUM(E35:E36)</f>
        <v>493601.2658165606</v>
      </c>
      <c r="F37" s="681"/>
      <c r="G37" s="681"/>
      <c r="N37" s="308">
        <f>+Operations!C63</f>
        <v>508908.65</v>
      </c>
      <c r="O37" s="680" t="s">
        <v>37</v>
      </c>
    </row>
    <row r="38" spans="1:15">
      <c r="E38" s="692"/>
      <c r="N38" s="708">
        <f>+N36-N37</f>
        <v>0</v>
      </c>
    </row>
    <row r="39" spans="1:15">
      <c r="A39" s="681" t="s">
        <v>976</v>
      </c>
      <c r="B39" s="681"/>
      <c r="C39" s="681"/>
      <c r="D39" s="681"/>
      <c r="E39" s="712">
        <f>-N37</f>
        <v>-508908.65</v>
      </c>
      <c r="F39" s="681"/>
      <c r="G39" s="681"/>
      <c r="N39" s="694"/>
    </row>
    <row r="41" spans="1:15" ht="16.5" thickBot="1">
      <c r="A41" s="713" t="s">
        <v>112</v>
      </c>
      <c r="B41" s="713"/>
      <c r="C41" s="713"/>
      <c r="D41" s="713"/>
      <c r="E41" s="714">
        <f>SUM(E37:E39)</f>
        <v>-15307.384183439426</v>
      </c>
      <c r="F41" s="681"/>
      <c r="G41" s="681"/>
    </row>
    <row r="42" spans="1:15" ht="16.5" thickTop="1">
      <c r="C42" s="715"/>
      <c r="E42" s="715"/>
      <c r="G42" s="716"/>
    </row>
    <row r="43" spans="1:15">
      <c r="C43" s="715"/>
      <c r="E43" s="716"/>
      <c r="G43" s="691"/>
    </row>
  </sheetData>
  <mergeCells count="6">
    <mergeCell ref="G8:H8"/>
    <mergeCell ref="G9:H9"/>
    <mergeCell ref="A1:H1"/>
    <mergeCell ref="A3:H3"/>
    <mergeCell ref="A5:H5"/>
    <mergeCell ref="G7:H7"/>
  </mergeCells>
  <pageMargins left="0.7" right="0.7" top="0.75" bottom="0.75" header="0.3" footer="0.3"/>
  <pageSetup scale="9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3"/>
  <dimension ref="A1:F27"/>
  <sheetViews>
    <sheetView zoomScaleNormal="100" workbookViewId="0">
      <selection sqref="A1:F1"/>
    </sheetView>
  </sheetViews>
  <sheetFormatPr defaultRowHeight="15"/>
  <cols>
    <col min="3" max="3" width="21.33203125" customWidth="1"/>
    <col min="4" max="4" width="12.109375" customWidth="1"/>
    <col min="5" max="5" width="10.6640625" bestFit="1" customWidth="1"/>
    <col min="6" max="6" width="12" customWidth="1"/>
  </cols>
  <sheetData>
    <row r="1" spans="1:6" ht="15.75">
      <c r="A1" s="824" t="str">
        <f>+Operations!B1</f>
        <v>BAINBRIDGE DISPOSAL, INC.</v>
      </c>
      <c r="B1" s="825"/>
      <c r="C1" s="825"/>
      <c r="D1" s="825"/>
      <c r="E1" s="825"/>
      <c r="F1" s="825"/>
    </row>
    <row r="2" spans="1:6" ht="15.75">
      <c r="A2" s="19"/>
      <c r="B2" s="18"/>
      <c r="C2" s="18"/>
      <c r="D2" s="18"/>
      <c r="E2" s="18"/>
      <c r="F2" s="18"/>
    </row>
    <row r="3" spans="1:6" ht="15.75">
      <c r="A3" s="825" t="s">
        <v>1256</v>
      </c>
      <c r="B3" s="825"/>
      <c r="C3" s="825"/>
      <c r="D3" s="825"/>
      <c r="E3" s="825"/>
      <c r="F3" s="825"/>
    </row>
    <row r="4" spans="1:6" ht="15.75">
      <c r="A4" s="21"/>
      <c r="B4" s="21"/>
      <c r="C4" s="21"/>
      <c r="D4" s="21"/>
      <c r="E4" s="21"/>
      <c r="F4" s="21"/>
    </row>
    <row r="5" spans="1:6" ht="15.75">
      <c r="A5" s="842" t="str">
        <f>+'WP-1 Rate Case Cost'!A5:G5</f>
        <v>In Support of Tariff No. 18, G-143, effective March 1, 2024</v>
      </c>
      <c r="B5" s="843"/>
      <c r="C5" s="843"/>
      <c r="D5" s="843"/>
      <c r="E5" s="843"/>
      <c r="F5" s="843"/>
    </row>
    <row r="6" spans="1:6" ht="15.75">
      <c r="A6" s="175"/>
      <c r="B6" s="659"/>
      <c r="C6" s="659"/>
      <c r="D6" s="659"/>
      <c r="E6" s="659"/>
      <c r="F6" s="659"/>
    </row>
    <row r="7" spans="1:6" ht="15.75">
      <c r="A7" s="1" t="s">
        <v>858</v>
      </c>
    </row>
    <row r="8" spans="1:6" ht="15.75">
      <c r="A8" s="1" t="s">
        <v>593</v>
      </c>
      <c r="C8" s="79"/>
      <c r="D8" s="660"/>
      <c r="E8" s="660"/>
    </row>
    <row r="9" spans="1:6" ht="15.75">
      <c r="A9" s="1" t="s">
        <v>586</v>
      </c>
      <c r="C9" s="79"/>
      <c r="D9" s="660"/>
      <c r="E9" s="660"/>
    </row>
    <row r="10" spans="1:6" ht="15.75">
      <c r="A10" s="1" t="s">
        <v>859</v>
      </c>
      <c r="C10" s="79"/>
      <c r="D10" s="660"/>
      <c r="E10" s="660"/>
    </row>
    <row r="11" spans="1:6">
      <c r="C11" s="79"/>
      <c r="D11" s="168"/>
      <c r="E11" s="168"/>
    </row>
    <row r="12" spans="1:6" ht="15.75">
      <c r="A12" s="236"/>
      <c r="C12" s="79"/>
      <c r="D12" s="168"/>
      <c r="E12" s="168"/>
    </row>
    <row r="13" spans="1:6" ht="15.75">
      <c r="A13" s="236"/>
      <c r="C13" s="79"/>
      <c r="D13" s="168"/>
      <c r="E13" s="168"/>
    </row>
    <row r="14" spans="1:6">
      <c r="C14" s="79"/>
      <c r="D14" s="168"/>
      <c r="E14" s="168"/>
    </row>
    <row r="15" spans="1:6">
      <c r="C15" s="79"/>
      <c r="D15" s="168"/>
      <c r="E15" s="168"/>
    </row>
    <row r="16" spans="1:6">
      <c r="C16" s="79"/>
      <c r="D16" s="168"/>
      <c r="E16" s="168"/>
    </row>
    <row r="17" spans="1:5">
      <c r="C17" s="79"/>
      <c r="D17" s="168"/>
      <c r="E17" s="168"/>
    </row>
    <row r="18" spans="1:5" ht="15.75">
      <c r="A18" s="167"/>
      <c r="C18" s="79"/>
      <c r="D18" s="168"/>
      <c r="E18" s="168"/>
    </row>
    <row r="19" spans="1:5">
      <c r="C19" s="79"/>
      <c r="D19" s="168"/>
      <c r="E19" s="168"/>
    </row>
    <row r="20" spans="1:5">
      <c r="A20" s="169"/>
      <c r="B20" s="170"/>
      <c r="C20" s="169"/>
      <c r="D20" s="171"/>
      <c r="E20" s="171"/>
    </row>
    <row r="21" spans="1:5">
      <c r="A21" s="170"/>
      <c r="B21" s="170"/>
      <c r="C21" s="169"/>
      <c r="D21" s="171"/>
      <c r="E21" s="171"/>
    </row>
    <row r="22" spans="1:5">
      <c r="A22" s="170"/>
      <c r="B22" s="170"/>
      <c r="C22" s="169"/>
      <c r="D22" s="171"/>
      <c r="E22" s="171"/>
    </row>
    <row r="23" spans="1:5">
      <c r="A23" s="170"/>
      <c r="B23" s="170"/>
      <c r="C23" s="169"/>
      <c r="D23" s="171"/>
      <c r="E23" s="171"/>
    </row>
    <row r="24" spans="1:5">
      <c r="A24" s="170"/>
      <c r="B24" s="170"/>
      <c r="C24" s="169"/>
      <c r="D24" s="171"/>
      <c r="E24" s="171"/>
    </row>
    <row r="25" spans="1:5">
      <c r="A25" s="170"/>
      <c r="B25" s="170"/>
      <c r="C25" s="169"/>
      <c r="D25" s="171"/>
      <c r="E25" s="171"/>
    </row>
    <row r="26" spans="1:5">
      <c r="C26" s="79"/>
      <c r="D26" s="168"/>
      <c r="E26" s="168"/>
    </row>
    <row r="27" spans="1:5">
      <c r="C27" s="79"/>
      <c r="D27" s="84"/>
      <c r="E27" s="84"/>
    </row>
  </sheetData>
  <mergeCells count="3">
    <mergeCell ref="A1:F1"/>
    <mergeCell ref="A5:F5"/>
    <mergeCell ref="A3:F3"/>
  </mergeCells>
  <pageMargins left="0.7" right="0.7" top="0.75" bottom="0.75" header="0.3" footer="0.3"/>
  <pageSetup scale="85" orientation="portrait" verticalDpi="1200"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0">
    <pageSetUpPr fitToPage="1"/>
  </sheetPr>
  <dimension ref="A1:AE138"/>
  <sheetViews>
    <sheetView zoomScale="85" zoomScaleNormal="85" workbookViewId="0">
      <selection sqref="A1:N1"/>
    </sheetView>
  </sheetViews>
  <sheetFormatPr defaultColWidth="8.88671875" defaultRowHeight="15.75"/>
  <cols>
    <col min="1" max="1" width="30.88671875" style="717" customWidth="1"/>
    <col min="2" max="2" width="15.88671875" style="717" customWidth="1"/>
    <col min="3" max="14" width="12.6640625" style="717" customWidth="1"/>
    <col min="15" max="15" width="1.5546875" style="717" customWidth="1"/>
    <col min="16" max="17" width="16.5546875" style="717" customWidth="1"/>
    <col min="18" max="19" width="10.88671875" style="717" customWidth="1"/>
    <col min="20" max="20" width="15" style="717" bestFit="1" customWidth="1"/>
    <col min="21" max="21" width="41.109375" style="717" customWidth="1"/>
    <col min="22" max="22" width="28.5546875" style="717" customWidth="1"/>
    <col min="23" max="23" width="9.33203125" style="717" bestFit="1" customWidth="1"/>
    <col min="24" max="24" width="2.6640625" style="717" customWidth="1"/>
    <col min="25" max="25" width="8.88671875" style="717"/>
    <col min="26" max="26" width="11.33203125" style="717" bestFit="1" customWidth="1"/>
    <col min="27" max="27" width="10.88671875" style="717" customWidth="1"/>
    <col min="28" max="28" width="14.6640625" style="717" bestFit="1" customWidth="1"/>
    <col min="29" max="29" width="12" style="717" bestFit="1" customWidth="1"/>
    <col min="30" max="30" width="10.88671875" style="717" customWidth="1"/>
    <col min="31" max="16384" width="8.88671875" style="717"/>
  </cols>
  <sheetData>
    <row r="1" spans="1:31" ht="16.5">
      <c r="A1" s="849" t="str">
        <f>+Operations!B1</f>
        <v>BAINBRIDGE DISPOSAL, INC.</v>
      </c>
      <c r="B1" s="849"/>
      <c r="C1" s="849"/>
      <c r="D1" s="849"/>
      <c r="E1" s="849"/>
      <c r="F1" s="849"/>
      <c r="G1" s="849"/>
      <c r="H1" s="849"/>
      <c r="I1" s="849"/>
      <c r="J1" s="849"/>
      <c r="K1" s="849"/>
      <c r="L1" s="849"/>
      <c r="M1" s="849"/>
      <c r="N1" s="849"/>
    </row>
    <row r="2" spans="1:31" ht="18" customHeight="1">
      <c r="A2" s="19"/>
      <c r="B2" s="19"/>
      <c r="C2" s="18"/>
      <c r="D2" s="18"/>
      <c r="E2" s="18"/>
      <c r="F2" s="18"/>
      <c r="G2" s="18"/>
      <c r="H2" s="18"/>
      <c r="I2" s="718"/>
      <c r="J2" s="718"/>
      <c r="K2" s="718"/>
    </row>
    <row r="3" spans="1:31" ht="16.5">
      <c r="A3" s="850" t="s">
        <v>1257</v>
      </c>
      <c r="B3" s="850"/>
      <c r="C3" s="850"/>
      <c r="D3" s="850"/>
      <c r="E3" s="850"/>
      <c r="F3" s="850"/>
      <c r="G3" s="850"/>
      <c r="H3" s="850"/>
      <c r="I3" s="850"/>
      <c r="J3" s="850"/>
      <c r="K3" s="850"/>
      <c r="L3" s="850"/>
      <c r="M3" s="850"/>
      <c r="N3" s="850"/>
      <c r="T3" s="232"/>
    </row>
    <row r="4" spans="1:31">
      <c r="A4" s="21"/>
      <c r="B4" s="21"/>
      <c r="C4" s="21"/>
      <c r="D4" s="21"/>
      <c r="E4" s="21"/>
      <c r="F4" s="21"/>
      <c r="G4" s="21"/>
      <c r="H4" s="21"/>
      <c r="I4" s="719"/>
      <c r="J4" s="719"/>
      <c r="K4" s="719"/>
      <c r="L4" s="719"/>
    </row>
    <row r="5" spans="1:31">
      <c r="A5" s="824" t="str">
        <f>+'WP-1 Rate Case Cost'!A5:G5</f>
        <v>In Support of Tariff No. 18, G-143, effective March 1, 2024</v>
      </c>
      <c r="B5" s="824"/>
      <c r="C5" s="824"/>
      <c r="D5" s="824"/>
      <c r="E5" s="824"/>
      <c r="F5" s="824"/>
      <c r="G5" s="824"/>
      <c r="H5" s="824"/>
      <c r="I5" s="824"/>
      <c r="J5" s="824"/>
      <c r="K5" s="824"/>
      <c r="L5" s="824"/>
      <c r="M5" s="824"/>
      <c r="N5" s="824"/>
      <c r="T5" s="720"/>
    </row>
    <row r="6" spans="1:31">
      <c r="T6" s="719"/>
    </row>
    <row r="7" spans="1:31">
      <c r="C7" s="851">
        <v>2022</v>
      </c>
      <c r="D7" s="851"/>
      <c r="E7" s="851"/>
      <c r="F7" s="851"/>
      <c r="G7" s="851"/>
      <c r="H7" s="851"/>
      <c r="I7" s="851"/>
      <c r="J7" s="851"/>
      <c r="K7" s="851"/>
      <c r="L7" s="851"/>
      <c r="M7" s="851"/>
      <c r="N7" s="851"/>
      <c r="P7" s="721" t="s">
        <v>1009</v>
      </c>
      <c r="Q7" s="721" t="s">
        <v>1010</v>
      </c>
      <c r="R7" s="721" t="s">
        <v>1009</v>
      </c>
      <c r="S7" s="721" t="s">
        <v>1010</v>
      </c>
      <c r="U7" s="719"/>
      <c r="V7" s="719"/>
    </row>
    <row r="8" spans="1:31">
      <c r="C8" s="722" t="s">
        <v>60</v>
      </c>
      <c r="D8" s="722" t="s">
        <v>61</v>
      </c>
      <c r="E8" s="722" t="s">
        <v>62</v>
      </c>
      <c r="F8" s="722" t="s">
        <v>63</v>
      </c>
      <c r="G8" s="722" t="s">
        <v>64</v>
      </c>
      <c r="H8" s="722" t="s">
        <v>65</v>
      </c>
      <c r="I8" s="722" t="s">
        <v>66</v>
      </c>
      <c r="J8" s="722" t="s">
        <v>67</v>
      </c>
      <c r="K8" s="722" t="s">
        <v>59</v>
      </c>
      <c r="L8" s="722" t="s">
        <v>58</v>
      </c>
      <c r="M8" s="722" t="s">
        <v>57</v>
      </c>
      <c r="N8" s="722" t="s">
        <v>56</v>
      </c>
      <c r="P8" s="722" t="s">
        <v>5</v>
      </c>
      <c r="Q8" s="722" t="s">
        <v>5</v>
      </c>
      <c r="R8" s="723" t="s">
        <v>532</v>
      </c>
      <c r="S8" s="723" t="s">
        <v>532</v>
      </c>
      <c r="Z8" s="845" t="s">
        <v>572</v>
      </c>
      <c r="AA8" s="844" t="s">
        <v>871</v>
      </c>
      <c r="AB8" s="844"/>
      <c r="AC8" s="844"/>
    </row>
    <row r="9" spans="1:31">
      <c r="Z9" s="846"/>
      <c r="AA9" s="725" t="s">
        <v>185</v>
      </c>
      <c r="AB9" s="725" t="s">
        <v>870</v>
      </c>
      <c r="AC9" s="725" t="s">
        <v>862</v>
      </c>
    </row>
    <row r="10" spans="1:31">
      <c r="A10" s="844" t="s">
        <v>980</v>
      </c>
      <c r="B10" s="844"/>
      <c r="C10" s="844"/>
      <c r="D10" s="844"/>
      <c r="E10" s="844"/>
      <c r="F10" s="844"/>
      <c r="G10" s="844"/>
      <c r="H10" s="844"/>
      <c r="I10" s="844"/>
      <c r="J10" s="844"/>
      <c r="K10" s="844"/>
      <c r="L10" s="844"/>
      <c r="M10" s="844"/>
      <c r="N10" s="844"/>
      <c r="O10" s="844"/>
      <c r="P10" s="844"/>
      <c r="Q10" s="721"/>
      <c r="R10" s="721"/>
      <c r="Z10" s="724"/>
      <c r="AA10" s="723"/>
      <c r="AB10" s="723"/>
      <c r="AC10" s="723"/>
    </row>
    <row r="11" spans="1:31">
      <c r="A11" s="726" t="s">
        <v>497</v>
      </c>
      <c r="B11" s="719" t="s">
        <v>589</v>
      </c>
      <c r="C11" s="328">
        <v>404</v>
      </c>
      <c r="D11" s="328">
        <v>364</v>
      </c>
      <c r="E11" s="328">
        <v>370</v>
      </c>
      <c r="F11" s="328">
        <v>309</v>
      </c>
      <c r="G11" s="328">
        <v>450</v>
      </c>
      <c r="H11" s="328">
        <v>458</v>
      </c>
      <c r="I11" s="328">
        <v>481</v>
      </c>
      <c r="J11" s="328">
        <v>395</v>
      </c>
      <c r="K11" s="328">
        <v>372</v>
      </c>
      <c r="L11" s="328">
        <v>347</v>
      </c>
      <c r="M11" s="328">
        <v>342</v>
      </c>
      <c r="N11" s="328">
        <v>269</v>
      </c>
      <c r="O11" s="328"/>
      <c r="P11" s="328">
        <f>SUM(C11:G11)</f>
        <v>1897</v>
      </c>
      <c r="Q11" s="328">
        <f>SUM(H11:N11)</f>
        <v>2664</v>
      </c>
      <c r="R11" s="328">
        <v>90</v>
      </c>
      <c r="S11" s="328">
        <v>104</v>
      </c>
      <c r="T11" s="328">
        <f>(+P11*R11)+(Q11*S11)</f>
        <v>447786</v>
      </c>
      <c r="U11" s="717" t="s">
        <v>1213</v>
      </c>
      <c r="Y11" s="717" t="s">
        <v>60</v>
      </c>
      <c r="Z11" s="328">
        <v>36333</v>
      </c>
      <c r="AA11" s="328">
        <v>76499.759999999995</v>
      </c>
      <c r="AB11" s="328">
        <v>8554.5</v>
      </c>
      <c r="AC11" s="328">
        <v>356.4</v>
      </c>
      <c r="AD11" s="328">
        <f>SUM(Z11:AC11)</f>
        <v>121743.65999999999</v>
      </c>
      <c r="AE11" s="326"/>
    </row>
    <row r="12" spans="1:31">
      <c r="A12" s="726" t="s">
        <v>529</v>
      </c>
      <c r="B12" s="719" t="s">
        <v>185</v>
      </c>
      <c r="C12" s="328">
        <v>793</v>
      </c>
      <c r="D12" s="328">
        <v>582</v>
      </c>
      <c r="E12" s="328">
        <v>694</v>
      </c>
      <c r="F12" s="328">
        <v>672</v>
      </c>
      <c r="G12" s="328">
        <v>685</v>
      </c>
      <c r="H12" s="328">
        <v>688</v>
      </c>
      <c r="I12" s="328">
        <f>697-19</f>
        <v>678</v>
      </c>
      <c r="J12" s="328">
        <v>685</v>
      </c>
      <c r="K12" s="328">
        <v>708</v>
      </c>
      <c r="L12" s="328">
        <v>625</v>
      </c>
      <c r="M12" s="328">
        <v>668</v>
      </c>
      <c r="N12" s="328">
        <v>606</v>
      </c>
      <c r="O12" s="328"/>
      <c r="P12" s="328">
        <f t="shared" ref="P12:P18" si="0">SUM(C12:G12)</f>
        <v>3426</v>
      </c>
      <c r="Q12" s="328">
        <f t="shared" ref="Q12:Q18" si="1">SUM(H12:N12)</f>
        <v>4658</v>
      </c>
      <c r="R12" s="328">
        <v>90</v>
      </c>
      <c r="S12" s="328">
        <v>104</v>
      </c>
      <c r="T12" s="328">
        <f>(+P12*R12)+(Q12*S12)</f>
        <v>792772</v>
      </c>
      <c r="Z12" s="328">
        <v>90</v>
      </c>
      <c r="AA12" s="328">
        <v>90</v>
      </c>
      <c r="AB12" s="328">
        <v>90</v>
      </c>
      <c r="AC12" s="328">
        <v>90</v>
      </c>
      <c r="AD12" s="328"/>
      <c r="AE12" s="326"/>
    </row>
    <row r="13" spans="1:31">
      <c r="A13" s="726" t="s">
        <v>863</v>
      </c>
      <c r="B13" s="719" t="s">
        <v>185</v>
      </c>
      <c r="C13" s="328">
        <v>18</v>
      </c>
      <c r="D13" s="328">
        <v>28</v>
      </c>
      <c r="E13" s="328">
        <v>32</v>
      </c>
      <c r="F13" s="328">
        <v>11</v>
      </c>
      <c r="G13" s="328">
        <v>13</v>
      </c>
      <c r="H13" s="328">
        <v>44</v>
      </c>
      <c r="I13" s="328">
        <v>31</v>
      </c>
      <c r="J13" s="328">
        <v>24</v>
      </c>
      <c r="K13" s="328">
        <v>54</v>
      </c>
      <c r="L13" s="328">
        <v>39</v>
      </c>
      <c r="M13" s="328">
        <v>45</v>
      </c>
      <c r="N13" s="328">
        <v>29</v>
      </c>
      <c r="O13" s="328"/>
      <c r="P13" s="328">
        <f t="shared" si="0"/>
        <v>102</v>
      </c>
      <c r="Q13" s="328">
        <f t="shared" si="1"/>
        <v>266</v>
      </c>
      <c r="R13" s="328">
        <v>90</v>
      </c>
      <c r="S13" s="328">
        <v>104</v>
      </c>
      <c r="T13" s="328">
        <f t="shared" ref="T13:T18" si="2">(+P13*R13)+(Q13*S13)</f>
        <v>36844</v>
      </c>
      <c r="Z13" s="727">
        <f>+Z11/Z12</f>
        <v>403.7</v>
      </c>
      <c r="AA13" s="727">
        <f>+AA11/AA12</f>
        <v>849.99733333333324</v>
      </c>
      <c r="AB13" s="727">
        <f>+AB11/AB12</f>
        <v>95.05</v>
      </c>
      <c r="AC13" s="727">
        <f>+AC11/AC12</f>
        <v>3.96</v>
      </c>
      <c r="AD13" s="78">
        <f>SUM(Z13:AC13)</f>
        <v>1352.7073333333333</v>
      </c>
      <c r="AE13" s="326"/>
    </row>
    <row r="14" spans="1:31">
      <c r="A14" s="726" t="s">
        <v>530</v>
      </c>
      <c r="B14" s="719" t="s">
        <v>185</v>
      </c>
      <c r="C14" s="328">
        <v>7</v>
      </c>
      <c r="D14" s="328">
        <v>0</v>
      </c>
      <c r="E14" s="328">
        <v>0</v>
      </c>
      <c r="F14" s="328">
        <v>6</v>
      </c>
      <c r="G14" s="328">
        <v>0</v>
      </c>
      <c r="H14" s="328">
        <v>10</v>
      </c>
      <c r="I14" s="328">
        <v>5</v>
      </c>
      <c r="J14" s="328">
        <v>0</v>
      </c>
      <c r="K14" s="328">
        <v>0</v>
      </c>
      <c r="L14" s="328">
        <v>0</v>
      </c>
      <c r="M14" s="328">
        <v>0</v>
      </c>
      <c r="N14" s="328">
        <v>4</v>
      </c>
      <c r="O14" s="328"/>
      <c r="P14" s="328">
        <f t="shared" si="0"/>
        <v>13</v>
      </c>
      <c r="Q14" s="328">
        <f t="shared" si="1"/>
        <v>19</v>
      </c>
      <c r="R14" s="328">
        <v>28</v>
      </c>
      <c r="S14" s="328">
        <v>28</v>
      </c>
      <c r="T14" s="328">
        <f t="shared" si="2"/>
        <v>896</v>
      </c>
      <c r="Z14" s="700">
        <v>404</v>
      </c>
      <c r="AA14" s="700">
        <v>850</v>
      </c>
      <c r="AB14" s="700">
        <v>95</v>
      </c>
      <c r="AC14" s="700">
        <v>4</v>
      </c>
      <c r="AD14" s="328"/>
      <c r="AE14" s="326"/>
    </row>
    <row r="15" spans="1:31">
      <c r="A15" s="726" t="s">
        <v>864</v>
      </c>
      <c r="B15" s="719" t="s">
        <v>185</v>
      </c>
      <c r="C15" s="328">
        <v>39</v>
      </c>
      <c r="D15" s="328">
        <v>51</v>
      </c>
      <c r="E15" s="328">
        <v>54</v>
      </c>
      <c r="F15" s="328">
        <v>37</v>
      </c>
      <c r="G15" s="328">
        <v>63</v>
      </c>
      <c r="H15" s="328">
        <v>143</v>
      </c>
      <c r="I15" s="328">
        <v>137</v>
      </c>
      <c r="J15" s="328">
        <v>136</v>
      </c>
      <c r="K15" s="328">
        <v>62</v>
      </c>
      <c r="L15" s="328">
        <v>74</v>
      </c>
      <c r="M15" s="328">
        <v>115</v>
      </c>
      <c r="N15" s="328">
        <v>72</v>
      </c>
      <c r="O15" s="328"/>
      <c r="P15" s="328">
        <f t="shared" si="0"/>
        <v>244</v>
      </c>
      <c r="Q15" s="328">
        <f t="shared" si="1"/>
        <v>739</v>
      </c>
      <c r="R15" s="328">
        <v>90</v>
      </c>
      <c r="S15" s="328">
        <v>104</v>
      </c>
      <c r="T15" s="328">
        <f t="shared" si="2"/>
        <v>98816</v>
      </c>
      <c r="U15" s="232"/>
      <c r="Z15" s="727">
        <f>+Z13-Z14</f>
        <v>-0.30000000000001137</v>
      </c>
      <c r="AA15" s="727">
        <f>+AA13-AA14</f>
        <v>-2.6666666667551908E-3</v>
      </c>
      <c r="AB15" s="727">
        <f>+AB13-AB14</f>
        <v>4.9999999999997158E-2</v>
      </c>
      <c r="AC15" s="727">
        <f>+AC13-AC14</f>
        <v>-4.0000000000000036E-2</v>
      </c>
      <c r="AD15" s="328"/>
      <c r="AE15" s="326"/>
    </row>
    <row r="16" spans="1:31">
      <c r="A16" s="726" t="s">
        <v>865</v>
      </c>
      <c r="B16" s="719" t="s">
        <v>185</v>
      </c>
      <c r="C16" s="328">
        <v>95</v>
      </c>
      <c r="D16" s="328">
        <v>83</v>
      </c>
      <c r="E16" s="328">
        <v>76</v>
      </c>
      <c r="F16" s="328">
        <v>58</v>
      </c>
      <c r="G16" s="328">
        <v>145</v>
      </c>
      <c r="H16" s="328">
        <v>140</v>
      </c>
      <c r="I16" s="328">
        <v>85</v>
      </c>
      <c r="J16" s="328">
        <v>81</v>
      </c>
      <c r="K16" s="328">
        <v>75</v>
      </c>
      <c r="L16" s="328">
        <v>97</v>
      </c>
      <c r="M16" s="328">
        <v>115</v>
      </c>
      <c r="N16" s="328">
        <v>77</v>
      </c>
      <c r="O16" s="328"/>
      <c r="P16" s="328">
        <f t="shared" si="0"/>
        <v>457</v>
      </c>
      <c r="Q16" s="328">
        <f t="shared" si="1"/>
        <v>670</v>
      </c>
      <c r="R16" s="328">
        <v>90</v>
      </c>
      <c r="S16" s="328">
        <v>104</v>
      </c>
      <c r="T16" s="328">
        <f t="shared" si="2"/>
        <v>110810</v>
      </c>
      <c r="Z16" s="328"/>
      <c r="AA16" s="328"/>
      <c r="AB16" s="328"/>
      <c r="AC16" s="328"/>
      <c r="AD16" s="328"/>
      <c r="AE16" s="326"/>
    </row>
    <row r="17" spans="1:31">
      <c r="A17" s="726" t="s">
        <v>862</v>
      </c>
      <c r="B17" s="719" t="s">
        <v>185</v>
      </c>
      <c r="C17" s="328">
        <v>4</v>
      </c>
      <c r="D17" s="328">
        <v>0</v>
      </c>
      <c r="E17" s="328">
        <v>0</v>
      </c>
      <c r="F17" s="328">
        <v>30</v>
      </c>
      <c r="G17" s="328">
        <v>4</v>
      </c>
      <c r="H17" s="328">
        <v>25</v>
      </c>
      <c r="I17" s="328">
        <v>0</v>
      </c>
      <c r="J17" s="328">
        <v>36</v>
      </c>
      <c r="K17" s="328">
        <v>31</v>
      </c>
      <c r="L17" s="328">
        <v>2</v>
      </c>
      <c r="M17" s="328">
        <v>0</v>
      </c>
      <c r="N17" s="328">
        <v>4</v>
      </c>
      <c r="O17" s="328"/>
      <c r="P17" s="328">
        <f t="shared" si="0"/>
        <v>38</v>
      </c>
      <c r="Q17" s="328">
        <f t="shared" si="1"/>
        <v>98</v>
      </c>
      <c r="R17" s="328">
        <v>90</v>
      </c>
      <c r="S17" s="328">
        <v>104</v>
      </c>
      <c r="T17" s="328">
        <f t="shared" si="2"/>
        <v>13612</v>
      </c>
      <c r="Y17" s="717" t="s">
        <v>61</v>
      </c>
      <c r="Z17" s="328">
        <v>32751.9</v>
      </c>
      <c r="AA17" s="328">
        <v>59493.599999999999</v>
      </c>
      <c r="AB17" s="328">
        <v>7497</v>
      </c>
      <c r="AC17" s="328">
        <v>0</v>
      </c>
      <c r="AD17" s="328">
        <f>SUM(Z17:AC17)</f>
        <v>99742.5</v>
      </c>
      <c r="AE17" s="326"/>
    </row>
    <row r="18" spans="1:31">
      <c r="A18" s="726" t="s">
        <v>531</v>
      </c>
      <c r="B18" s="719" t="s">
        <v>185</v>
      </c>
      <c r="C18" s="328">
        <v>135</v>
      </c>
      <c r="D18" s="328">
        <v>135</v>
      </c>
      <c r="E18" s="328">
        <v>135</v>
      </c>
      <c r="F18" s="328">
        <v>135</v>
      </c>
      <c r="G18" s="328">
        <v>135</v>
      </c>
      <c r="H18" s="328">
        <v>135</v>
      </c>
      <c r="I18" s="328">
        <v>135</v>
      </c>
      <c r="J18" s="328">
        <v>135</v>
      </c>
      <c r="K18" s="328">
        <v>135</v>
      </c>
      <c r="L18" s="328">
        <v>135</v>
      </c>
      <c r="M18" s="328">
        <v>135</v>
      </c>
      <c r="N18" s="328">
        <v>135</v>
      </c>
      <c r="O18" s="328"/>
      <c r="P18" s="328">
        <f t="shared" si="0"/>
        <v>675</v>
      </c>
      <c r="Q18" s="328">
        <f t="shared" si="1"/>
        <v>945</v>
      </c>
      <c r="R18" s="328">
        <v>28</v>
      </c>
      <c r="S18" s="328">
        <v>28</v>
      </c>
      <c r="T18" s="328">
        <f t="shared" si="2"/>
        <v>45360</v>
      </c>
      <c r="Z18" s="328">
        <v>90</v>
      </c>
      <c r="AA18" s="328">
        <v>90</v>
      </c>
      <c r="AB18" s="328">
        <v>90</v>
      </c>
      <c r="AC18" s="328">
        <v>90</v>
      </c>
      <c r="AD18" s="328"/>
      <c r="AE18" s="326"/>
    </row>
    <row r="19" spans="1:31">
      <c r="A19" s="726"/>
      <c r="B19" s="726"/>
      <c r="C19" s="328"/>
      <c r="D19" s="328"/>
      <c r="E19" s="328"/>
      <c r="F19" s="328"/>
      <c r="G19" s="328"/>
      <c r="H19" s="328"/>
      <c r="I19" s="328"/>
      <c r="J19" s="328"/>
      <c r="K19" s="328"/>
      <c r="L19" s="328"/>
      <c r="M19" s="328"/>
      <c r="N19" s="328"/>
      <c r="O19" s="328"/>
      <c r="P19" s="328"/>
      <c r="Q19" s="328"/>
      <c r="R19" s="328"/>
      <c r="S19" s="328"/>
      <c r="T19" s="328"/>
      <c r="W19" s="728"/>
      <c r="Z19" s="727">
        <f>+Z17/Z18</f>
        <v>363.91</v>
      </c>
      <c r="AA19" s="727">
        <f>+AA17/AA18</f>
        <v>661.04</v>
      </c>
      <c r="AB19" s="727">
        <f>+AB17/AB18</f>
        <v>83.3</v>
      </c>
      <c r="AC19" s="727">
        <f>+AC17/AC18</f>
        <v>0</v>
      </c>
      <c r="AD19" s="78">
        <f>SUM(Z19:AC19)</f>
        <v>1108.25</v>
      </c>
      <c r="AE19" s="326"/>
    </row>
    <row r="20" spans="1:31">
      <c r="A20" s="726"/>
      <c r="B20" s="726"/>
      <c r="C20" s="328"/>
      <c r="D20" s="328"/>
      <c r="E20" s="328"/>
      <c r="F20" s="328"/>
      <c r="G20" s="328"/>
      <c r="H20" s="328"/>
      <c r="I20" s="328"/>
      <c r="J20" s="328"/>
      <c r="K20" s="328"/>
      <c r="L20" s="328"/>
      <c r="M20" s="328"/>
      <c r="N20" s="328"/>
      <c r="O20" s="328"/>
      <c r="P20" s="721"/>
      <c r="Q20" s="721" t="s">
        <v>1011</v>
      </c>
      <c r="R20" s="328"/>
      <c r="S20" s="721" t="s">
        <v>1011</v>
      </c>
      <c r="T20" s="328"/>
      <c r="W20" s="728"/>
      <c r="Z20" s="700">
        <v>364</v>
      </c>
      <c r="AA20" s="700">
        <v>693</v>
      </c>
      <c r="AB20" s="700">
        <v>83</v>
      </c>
      <c r="AC20" s="700">
        <v>0</v>
      </c>
      <c r="AD20" s="328"/>
      <c r="AE20" s="326"/>
    </row>
    <row r="21" spans="1:31">
      <c r="A21" s="726"/>
      <c r="B21" s="726"/>
      <c r="C21" s="328"/>
      <c r="D21" s="328"/>
      <c r="E21" s="328"/>
      <c r="F21" s="328"/>
      <c r="G21" s="328"/>
      <c r="H21" s="328"/>
      <c r="I21" s="328"/>
      <c r="J21" s="328"/>
      <c r="K21" s="328"/>
      <c r="L21" s="328"/>
      <c r="M21" s="328"/>
      <c r="N21" s="328"/>
      <c r="O21" s="328"/>
      <c r="P21" s="719"/>
      <c r="Q21" s="722" t="s">
        <v>5</v>
      </c>
      <c r="R21" s="328"/>
      <c r="S21" s="723" t="s">
        <v>532</v>
      </c>
      <c r="T21" s="328"/>
      <c r="W21" s="728"/>
      <c r="Z21" s="727">
        <f>+Z19-Z20</f>
        <v>-8.9999999999974989E-2</v>
      </c>
      <c r="AA21" s="727">
        <f>+AA19-AA20</f>
        <v>-31.960000000000036</v>
      </c>
      <c r="AB21" s="727">
        <f>+AB19-AB20</f>
        <v>0.29999999999999716</v>
      </c>
      <c r="AC21" s="727">
        <f>+AC19-AC20</f>
        <v>0</v>
      </c>
      <c r="AD21" s="328"/>
      <c r="AE21" s="326"/>
    </row>
    <row r="22" spans="1:31">
      <c r="A22" s="844" t="s">
        <v>981</v>
      </c>
      <c r="B22" s="844"/>
      <c r="C22" s="844"/>
      <c r="D22" s="844"/>
      <c r="E22" s="844"/>
      <c r="F22" s="844"/>
      <c r="G22" s="844"/>
      <c r="H22" s="844"/>
      <c r="I22" s="844"/>
      <c r="J22" s="844"/>
      <c r="K22" s="844"/>
      <c r="L22" s="844"/>
      <c r="M22" s="844"/>
      <c r="N22" s="844"/>
      <c r="O22" s="844"/>
      <c r="P22" s="844"/>
      <c r="Q22" s="721"/>
      <c r="R22" s="721"/>
      <c r="S22" s="328"/>
      <c r="T22" s="328"/>
      <c r="W22" s="728"/>
      <c r="Z22" s="700"/>
      <c r="AA22" s="700"/>
      <c r="AB22" s="700"/>
      <c r="AC22" s="700"/>
      <c r="AD22" s="328"/>
      <c r="AE22" s="326"/>
    </row>
    <row r="23" spans="1:31">
      <c r="A23" s="726" t="s">
        <v>533</v>
      </c>
      <c r="B23" s="726"/>
      <c r="C23" s="328">
        <v>55.95</v>
      </c>
      <c r="D23" s="328">
        <v>19.64</v>
      </c>
      <c r="E23" s="328">
        <v>21.28</v>
      </c>
      <c r="F23" s="328">
        <v>25.76</v>
      </c>
      <c r="G23" s="328">
        <v>43.31</v>
      </c>
      <c r="H23" s="328">
        <v>25.65</v>
      </c>
      <c r="I23" s="328">
        <v>7.49</v>
      </c>
      <c r="J23" s="328">
        <v>36.15</v>
      </c>
      <c r="K23" s="328">
        <v>26.62</v>
      </c>
      <c r="L23" s="328">
        <v>20.96</v>
      </c>
      <c r="M23" s="328">
        <v>12.41</v>
      </c>
      <c r="N23" s="328">
        <v>47.96</v>
      </c>
      <c r="O23" s="328"/>
      <c r="P23" s="328"/>
      <c r="Q23" s="328">
        <f>SUM(C23:N23)</f>
        <v>343.18</v>
      </c>
      <c r="R23" s="328"/>
      <c r="S23" s="729" t="s">
        <v>550</v>
      </c>
      <c r="T23" s="328">
        <f>+E57</f>
        <v>42070.04</v>
      </c>
      <c r="U23" s="717" t="s">
        <v>1213</v>
      </c>
      <c r="Y23" s="717" t="s">
        <v>62</v>
      </c>
      <c r="Z23" s="328">
        <v>33289.199999999997</v>
      </c>
      <c r="AA23" s="328">
        <v>70261.2</v>
      </c>
      <c r="AB23" s="328">
        <v>6829.2</v>
      </c>
      <c r="AC23" s="328">
        <v>0</v>
      </c>
      <c r="AD23" s="328">
        <f>SUM(Z23:AC23)</f>
        <v>110379.59999999999</v>
      </c>
      <c r="AE23" s="326"/>
    </row>
    <row r="24" spans="1:31">
      <c r="A24" s="726" t="s">
        <v>552</v>
      </c>
      <c r="B24" s="719" t="s">
        <v>185</v>
      </c>
      <c r="C24" s="328">
        <v>274.47000000000003</v>
      </c>
      <c r="D24" s="328">
        <v>210.45</v>
      </c>
      <c r="E24" s="328">
        <v>206.33</v>
      </c>
      <c r="F24" s="328">
        <v>212</v>
      </c>
      <c r="G24" s="328">
        <v>204.54</v>
      </c>
      <c r="H24" s="328">
        <v>259.93</v>
      </c>
      <c r="I24" s="328">
        <v>250.78</v>
      </c>
      <c r="J24" s="328">
        <v>233.33</v>
      </c>
      <c r="K24" s="328">
        <v>207.07</v>
      </c>
      <c r="L24" s="328">
        <v>204.59</v>
      </c>
      <c r="M24" s="328">
        <v>236.49</v>
      </c>
      <c r="N24" s="328">
        <v>283.63</v>
      </c>
      <c r="O24" s="328"/>
      <c r="P24" s="328"/>
      <c r="Q24" s="328">
        <f t="shared" ref="Q24:Q25" si="3">SUM(C24:N24)</f>
        <v>2783.6100000000006</v>
      </c>
      <c r="R24" s="328"/>
      <c r="S24" s="729" t="s">
        <v>550</v>
      </c>
      <c r="T24" s="328">
        <f>+F57</f>
        <v>343151.86</v>
      </c>
      <c r="Z24" s="328">
        <v>90</v>
      </c>
      <c r="AA24" s="328">
        <v>90</v>
      </c>
      <c r="AB24" s="328">
        <v>90</v>
      </c>
      <c r="AC24" s="328">
        <v>90</v>
      </c>
      <c r="AD24" s="328"/>
      <c r="AE24" s="326"/>
    </row>
    <row r="25" spans="1:31">
      <c r="A25" s="726" t="s">
        <v>552</v>
      </c>
      <c r="B25" s="719" t="s">
        <v>589</v>
      </c>
      <c r="C25" s="328">
        <v>220.98</v>
      </c>
      <c r="D25" s="328">
        <v>101.26</v>
      </c>
      <c r="E25" s="328">
        <v>148.38</v>
      </c>
      <c r="F25" s="328">
        <v>109.11</v>
      </c>
      <c r="G25" s="328">
        <v>137.66</v>
      </c>
      <c r="H25" s="328">
        <v>168.67</v>
      </c>
      <c r="I25" s="328">
        <v>135.38</v>
      </c>
      <c r="J25" s="328">
        <v>108.01</v>
      </c>
      <c r="K25" s="328">
        <v>129.83000000000001</v>
      </c>
      <c r="L25" s="328">
        <v>115.38</v>
      </c>
      <c r="M25" s="328">
        <v>158.86000000000001</v>
      </c>
      <c r="N25" s="328">
        <v>151.08000000000001</v>
      </c>
      <c r="O25" s="328"/>
      <c r="P25" s="328"/>
      <c r="Q25" s="328">
        <f t="shared" si="3"/>
        <v>1684.6</v>
      </c>
      <c r="R25" s="328"/>
      <c r="S25" s="729"/>
      <c r="T25" s="328">
        <f>+G57</f>
        <v>207048.69999999995</v>
      </c>
      <c r="Z25" s="727">
        <f>+Z23/Z24</f>
        <v>369.88</v>
      </c>
      <c r="AA25" s="727">
        <f>+AA23/AA24</f>
        <v>780.68</v>
      </c>
      <c r="AB25" s="727">
        <f>+AB23/AB24</f>
        <v>75.88</v>
      </c>
      <c r="AC25" s="727">
        <f>+AC23/AC24</f>
        <v>0</v>
      </c>
      <c r="AD25" s="78">
        <f>SUM(Z25:AC25)</f>
        <v>1226.44</v>
      </c>
      <c r="AE25" s="326"/>
    </row>
    <row r="26" spans="1:31">
      <c r="A26" s="726"/>
      <c r="B26" s="726"/>
      <c r="C26" s="328"/>
      <c r="D26" s="328"/>
      <c r="E26" s="328"/>
      <c r="F26" s="328"/>
      <c r="G26" s="328"/>
      <c r="H26" s="328"/>
      <c r="I26" s="328"/>
      <c r="J26" s="328"/>
      <c r="K26" s="328"/>
      <c r="L26" s="328"/>
      <c r="M26" s="328"/>
      <c r="N26" s="328"/>
      <c r="O26" s="328"/>
      <c r="P26" s="328"/>
      <c r="Q26" s="328"/>
      <c r="R26" s="328"/>
      <c r="S26" s="729"/>
      <c r="T26" s="328"/>
      <c r="Z26" s="700">
        <v>370</v>
      </c>
      <c r="AA26" s="700">
        <v>780</v>
      </c>
      <c r="AB26" s="700">
        <v>76</v>
      </c>
      <c r="AC26" s="700">
        <v>0</v>
      </c>
      <c r="AD26" s="328"/>
      <c r="AE26" s="326"/>
    </row>
    <row r="27" spans="1:31">
      <c r="A27" s="844" t="s">
        <v>982</v>
      </c>
      <c r="B27" s="844"/>
      <c r="C27" s="844"/>
      <c r="D27" s="844"/>
      <c r="E27" s="844"/>
      <c r="F27" s="844"/>
      <c r="G27" s="844"/>
      <c r="H27" s="844"/>
      <c r="I27" s="844"/>
      <c r="J27" s="844"/>
      <c r="K27" s="844"/>
      <c r="L27" s="844"/>
      <c r="M27" s="844"/>
      <c r="N27" s="844"/>
      <c r="O27" s="844"/>
      <c r="P27" s="844"/>
      <c r="Q27" s="721"/>
      <c r="R27" s="721"/>
      <c r="S27" s="729"/>
      <c r="T27" s="328"/>
      <c r="Z27" s="727">
        <f>+Z25-Z26</f>
        <v>-0.12000000000000455</v>
      </c>
      <c r="AA27" s="727">
        <f>+AA25-AA26</f>
        <v>0.67999999999994998</v>
      </c>
      <c r="AB27" s="727">
        <f>+AB25-AB26</f>
        <v>-0.12000000000000455</v>
      </c>
      <c r="AC27" s="727">
        <f>+AC25-AC26</f>
        <v>0</v>
      </c>
      <c r="AD27" s="328"/>
      <c r="AE27" s="326"/>
    </row>
    <row r="28" spans="1:31">
      <c r="A28" s="726" t="s">
        <v>564</v>
      </c>
      <c r="B28" s="726"/>
      <c r="C28" s="328">
        <v>92.19</v>
      </c>
      <c r="D28" s="328">
        <v>61.01</v>
      </c>
      <c r="E28" s="328">
        <v>20.81</v>
      </c>
      <c r="F28" s="328">
        <v>86.73</v>
      </c>
      <c r="G28" s="328">
        <v>84.57</v>
      </c>
      <c r="H28" s="328">
        <v>120.54</v>
      </c>
      <c r="I28" s="328">
        <v>79.95</v>
      </c>
      <c r="J28" s="328">
        <v>50.37</v>
      </c>
      <c r="K28" s="328">
        <v>39</v>
      </c>
      <c r="L28" s="328">
        <v>76.03</v>
      </c>
      <c r="M28" s="328">
        <v>15.9</v>
      </c>
      <c r="N28" s="267">
        <v>62.8</v>
      </c>
      <c r="O28" s="328"/>
      <c r="P28" s="328"/>
      <c r="Q28" s="328">
        <f>SUM(C28:N28)</f>
        <v>789.9</v>
      </c>
      <c r="R28" s="328"/>
      <c r="S28" s="729">
        <v>28</v>
      </c>
      <c r="T28" s="328">
        <f>+Q28*S28</f>
        <v>22117.200000000001</v>
      </c>
      <c r="U28" s="717" t="s">
        <v>1213</v>
      </c>
    </row>
    <row r="29" spans="1:31">
      <c r="A29" s="726" t="s">
        <v>565</v>
      </c>
      <c r="B29" s="726"/>
      <c r="C29" s="328">
        <v>145.32</v>
      </c>
      <c r="D29" s="328">
        <v>227.72</v>
      </c>
      <c r="E29" s="328">
        <v>359.71</v>
      </c>
      <c r="F29" s="328">
        <v>289.17</v>
      </c>
      <c r="G29" s="328">
        <v>381.34</v>
      </c>
      <c r="H29" s="328">
        <v>390.96</v>
      </c>
      <c r="I29" s="328">
        <v>234.27</v>
      </c>
      <c r="J29" s="328">
        <v>294.73</v>
      </c>
      <c r="K29" s="328">
        <v>194.04</v>
      </c>
      <c r="L29" s="328">
        <v>190.41</v>
      </c>
      <c r="M29" s="328">
        <v>238.16</v>
      </c>
      <c r="N29" s="267">
        <v>186.16</v>
      </c>
      <c r="O29" s="328"/>
      <c r="P29" s="328"/>
      <c r="Q29" s="328">
        <f t="shared" ref="Q29:Q39" si="4">SUM(C29:N29)</f>
        <v>3131.99</v>
      </c>
      <c r="R29" s="328"/>
      <c r="S29" s="729">
        <v>28</v>
      </c>
      <c r="T29" s="328">
        <f t="shared" ref="T29:T39" si="5">+Q29*S29</f>
        <v>87695.72</v>
      </c>
      <c r="Y29" s="717" t="s">
        <v>63</v>
      </c>
      <c r="Z29" s="328">
        <v>27846.9</v>
      </c>
      <c r="AA29" s="328">
        <v>64325.87</v>
      </c>
      <c r="AB29" s="328">
        <v>5258.7</v>
      </c>
      <c r="AC29" s="328">
        <v>2703.6</v>
      </c>
      <c r="AD29" s="328">
        <f>SUM(Z29:AC29)</f>
        <v>100135.07</v>
      </c>
    </row>
    <row r="30" spans="1:31">
      <c r="A30" s="726" t="s">
        <v>566</v>
      </c>
      <c r="B30" s="726"/>
      <c r="C30" s="328">
        <v>84.69</v>
      </c>
      <c r="D30" s="328">
        <v>68.52</v>
      </c>
      <c r="E30" s="328">
        <v>88.03</v>
      </c>
      <c r="F30" s="328">
        <v>128.57</v>
      </c>
      <c r="G30" s="328">
        <v>75.459999999999994</v>
      </c>
      <c r="H30" s="328">
        <v>101.72</v>
      </c>
      <c r="I30" s="328">
        <v>77.209999999999994</v>
      </c>
      <c r="J30" s="328">
        <v>45.84</v>
      </c>
      <c r="K30" s="328">
        <v>127.23</v>
      </c>
      <c r="L30" s="328">
        <v>104.53</v>
      </c>
      <c r="M30" s="328">
        <v>116.76</v>
      </c>
      <c r="N30" s="267">
        <v>77.23</v>
      </c>
      <c r="O30" s="328"/>
      <c r="P30" s="328"/>
      <c r="Q30" s="328">
        <f t="shared" si="4"/>
        <v>1095.79</v>
      </c>
      <c r="R30" s="328"/>
      <c r="S30" s="729">
        <v>28</v>
      </c>
      <c r="T30" s="328">
        <f t="shared" si="5"/>
        <v>30682.12</v>
      </c>
      <c r="Z30" s="328">
        <v>90</v>
      </c>
      <c r="AA30" s="328">
        <v>90</v>
      </c>
      <c r="AB30" s="328">
        <v>90</v>
      </c>
      <c r="AC30" s="328">
        <v>90</v>
      </c>
      <c r="AD30" s="328"/>
    </row>
    <row r="31" spans="1:31">
      <c r="A31" s="726" t="s">
        <v>567</v>
      </c>
      <c r="B31" s="726"/>
      <c r="C31" s="328">
        <v>43.97</v>
      </c>
      <c r="D31" s="328">
        <v>4.49</v>
      </c>
      <c r="E31" s="328">
        <v>10.56</v>
      </c>
      <c r="F31" s="328">
        <v>93.53</v>
      </c>
      <c r="G31" s="328">
        <v>5.4</v>
      </c>
      <c r="H31" s="328">
        <v>0</v>
      </c>
      <c r="I31" s="328">
        <v>0</v>
      </c>
      <c r="J31" s="328">
        <v>1.49</v>
      </c>
      <c r="K31" s="328">
        <v>4.47</v>
      </c>
      <c r="L31" s="328">
        <v>14.1</v>
      </c>
      <c r="M31" s="328">
        <v>2.78</v>
      </c>
      <c r="N31" s="267">
        <v>0</v>
      </c>
      <c r="O31" s="328"/>
      <c r="P31" s="328"/>
      <c r="Q31" s="328">
        <f t="shared" si="4"/>
        <v>180.79000000000002</v>
      </c>
      <c r="R31" s="328"/>
      <c r="S31" s="729">
        <v>72</v>
      </c>
      <c r="T31" s="328">
        <f t="shared" si="5"/>
        <v>13016.880000000001</v>
      </c>
      <c r="U31" s="717" t="s">
        <v>1213</v>
      </c>
      <c r="Z31" s="727">
        <f>+Z29/Z30</f>
        <v>309.41000000000003</v>
      </c>
      <c r="AA31" s="727">
        <f>+AA29/AA30</f>
        <v>714.73188888888888</v>
      </c>
      <c r="AB31" s="727">
        <f>+AB29/AB30</f>
        <v>58.43</v>
      </c>
      <c r="AC31" s="727">
        <f>+AC29/AC30</f>
        <v>30.04</v>
      </c>
      <c r="AD31" s="78">
        <f>SUM(Z31:AC31)</f>
        <v>1112.6118888888889</v>
      </c>
    </row>
    <row r="32" spans="1:31">
      <c r="A32" s="726" t="s">
        <v>568</v>
      </c>
      <c r="B32" s="726"/>
      <c r="C32" s="328">
        <v>0</v>
      </c>
      <c r="D32" s="328">
        <v>0</v>
      </c>
      <c r="E32" s="328">
        <v>0</v>
      </c>
      <c r="F32" s="328">
        <v>0</v>
      </c>
      <c r="G32" s="328">
        <v>0</v>
      </c>
      <c r="H32" s="328">
        <v>0</v>
      </c>
      <c r="I32" s="328">
        <v>0</v>
      </c>
      <c r="J32" s="328">
        <v>0</v>
      </c>
      <c r="K32" s="328">
        <v>0</v>
      </c>
      <c r="L32" s="328">
        <v>0</v>
      </c>
      <c r="M32" s="328">
        <v>0</v>
      </c>
      <c r="N32" s="267">
        <v>0</v>
      </c>
      <c r="O32" s="328"/>
      <c r="P32" s="328"/>
      <c r="Q32" s="328">
        <f t="shared" si="4"/>
        <v>0</v>
      </c>
      <c r="R32" s="328"/>
      <c r="S32" s="729">
        <v>72</v>
      </c>
      <c r="T32" s="328">
        <f t="shared" si="5"/>
        <v>0</v>
      </c>
      <c r="Z32" s="700">
        <v>309</v>
      </c>
      <c r="AA32" s="700">
        <v>719</v>
      </c>
      <c r="AB32" s="700">
        <v>58</v>
      </c>
      <c r="AC32" s="700">
        <v>30</v>
      </c>
      <c r="AD32" s="328"/>
    </row>
    <row r="33" spans="1:30">
      <c r="A33" s="726" t="s">
        <v>571</v>
      </c>
      <c r="B33" s="726"/>
      <c r="C33" s="328">
        <v>0</v>
      </c>
      <c r="D33" s="328">
        <v>0</v>
      </c>
      <c r="E33" s="328">
        <v>0</v>
      </c>
      <c r="F33" s="328">
        <v>0</v>
      </c>
      <c r="G33" s="328">
        <v>0</v>
      </c>
      <c r="H33" s="328">
        <v>0</v>
      </c>
      <c r="I33" s="328">
        <v>0</v>
      </c>
      <c r="J33" s="328">
        <v>0</v>
      </c>
      <c r="K33" s="328">
        <v>0</v>
      </c>
      <c r="L33" s="328">
        <v>0</v>
      </c>
      <c r="M33" s="328">
        <v>0</v>
      </c>
      <c r="N33" s="267">
        <v>0</v>
      </c>
      <c r="O33" s="328"/>
      <c r="P33" s="328"/>
      <c r="Q33" s="328">
        <f t="shared" si="4"/>
        <v>0</v>
      </c>
      <c r="R33" s="328"/>
      <c r="S33" s="729">
        <v>72</v>
      </c>
      <c r="T33" s="328">
        <f t="shared" si="5"/>
        <v>0</v>
      </c>
      <c r="Z33" s="727">
        <f>+Z31-Z32</f>
        <v>0.41000000000002501</v>
      </c>
      <c r="AA33" s="727">
        <f>+AA31-AA32</f>
        <v>-4.268111111111125</v>
      </c>
      <c r="AB33" s="727">
        <f>+AB31-AB32</f>
        <v>0.42999999999999972</v>
      </c>
      <c r="AC33" s="727">
        <f>+AC31-AC32</f>
        <v>3.9999999999999147E-2</v>
      </c>
      <c r="AD33" s="328"/>
    </row>
    <row r="34" spans="1:30">
      <c r="A34" s="726" t="s">
        <v>570</v>
      </c>
      <c r="B34" s="726"/>
      <c r="C34" s="328">
        <v>0</v>
      </c>
      <c r="D34" s="328">
        <v>0</v>
      </c>
      <c r="E34" s="328">
        <v>0</v>
      </c>
      <c r="F34" s="328">
        <v>0</v>
      </c>
      <c r="G34" s="328">
        <v>0</v>
      </c>
      <c r="H34" s="328">
        <v>0</v>
      </c>
      <c r="I34" s="328">
        <v>0</v>
      </c>
      <c r="J34" s="328">
        <v>0</v>
      </c>
      <c r="K34" s="328">
        <v>0</v>
      </c>
      <c r="L34" s="328">
        <v>0</v>
      </c>
      <c r="M34" s="328">
        <v>0</v>
      </c>
      <c r="N34" s="267">
        <v>0</v>
      </c>
      <c r="O34" s="328"/>
      <c r="P34" s="328"/>
      <c r="Q34" s="328">
        <f t="shared" si="4"/>
        <v>0</v>
      </c>
      <c r="R34" s="328"/>
      <c r="S34" s="729">
        <v>28</v>
      </c>
      <c r="T34" s="328">
        <f t="shared" si="5"/>
        <v>0</v>
      </c>
    </row>
    <row r="35" spans="1:30">
      <c r="A35" s="726" t="s">
        <v>569</v>
      </c>
      <c r="B35" s="726"/>
      <c r="C35" s="328">
        <v>0</v>
      </c>
      <c r="D35" s="328">
        <v>5.7</v>
      </c>
      <c r="E35" s="328">
        <v>11.11</v>
      </c>
      <c r="F35" s="328">
        <v>70.510000000000005</v>
      </c>
      <c r="G35" s="328">
        <v>3.08</v>
      </c>
      <c r="H35" s="328">
        <v>1.1200000000000001</v>
      </c>
      <c r="I35" s="328">
        <v>57.42</v>
      </c>
      <c r="J35" s="328">
        <v>38.82</v>
      </c>
      <c r="K35" s="328">
        <v>83.55</v>
      </c>
      <c r="L35" s="328">
        <v>33.880000000000003</v>
      </c>
      <c r="M35" s="328">
        <v>3.48</v>
      </c>
      <c r="N35" s="267">
        <v>5.61</v>
      </c>
      <c r="O35" s="328"/>
      <c r="P35" s="328"/>
      <c r="Q35" s="328">
        <f t="shared" si="4"/>
        <v>314.28000000000003</v>
      </c>
      <c r="R35" s="328"/>
      <c r="S35" s="729">
        <v>72</v>
      </c>
      <c r="T35" s="328">
        <f t="shared" si="5"/>
        <v>22628.160000000003</v>
      </c>
      <c r="Y35" s="717" t="s">
        <v>64</v>
      </c>
      <c r="Z35" s="328">
        <v>40543.199999999997</v>
      </c>
      <c r="AA35" s="328">
        <v>68481</v>
      </c>
      <c r="AB35" s="328">
        <v>12521.7</v>
      </c>
      <c r="AC35" s="328">
        <v>370.8</v>
      </c>
      <c r="AD35" s="328">
        <f>SUM(Z35:AC35)</f>
        <v>121916.7</v>
      </c>
    </row>
    <row r="36" spans="1:30">
      <c r="A36" s="726" t="s">
        <v>867</v>
      </c>
      <c r="B36" s="726"/>
      <c r="C36" s="328">
        <v>3.5</v>
      </c>
      <c r="D36" s="328">
        <v>11.72</v>
      </c>
      <c r="E36" s="328">
        <v>7.33</v>
      </c>
      <c r="F36" s="328">
        <v>20.75</v>
      </c>
      <c r="G36" s="328">
        <v>1.17</v>
      </c>
      <c r="H36" s="328">
        <v>9.89</v>
      </c>
      <c r="I36" s="328">
        <v>0</v>
      </c>
      <c r="J36" s="328">
        <v>5.89</v>
      </c>
      <c r="K36" s="328">
        <v>8.85</v>
      </c>
      <c r="L36" s="328">
        <v>0</v>
      </c>
      <c r="M36" s="328">
        <v>0</v>
      </c>
      <c r="N36" s="267">
        <v>0</v>
      </c>
      <c r="O36" s="328"/>
      <c r="P36" s="328"/>
      <c r="Q36" s="328">
        <f t="shared" si="4"/>
        <v>69.099999999999994</v>
      </c>
      <c r="R36" s="328"/>
      <c r="S36" s="729">
        <v>72</v>
      </c>
      <c r="T36" s="328">
        <f t="shared" si="5"/>
        <v>4975.2</v>
      </c>
      <c r="Z36" s="328">
        <v>90</v>
      </c>
      <c r="AA36" s="328">
        <v>90</v>
      </c>
      <c r="AB36" s="328">
        <v>90</v>
      </c>
      <c r="AC36" s="328">
        <v>90</v>
      </c>
      <c r="AD36" s="328"/>
    </row>
    <row r="37" spans="1:30">
      <c r="A37" s="726" t="s">
        <v>868</v>
      </c>
      <c r="B37" s="726"/>
      <c r="C37" s="328">
        <v>0</v>
      </c>
      <c r="D37" s="328">
        <v>0</v>
      </c>
      <c r="E37" s="328">
        <v>0</v>
      </c>
      <c r="F37" s="328">
        <v>35.630000000000003</v>
      </c>
      <c r="G37" s="328">
        <v>0</v>
      </c>
      <c r="H37" s="328">
        <v>19.53</v>
      </c>
      <c r="I37" s="328">
        <v>0</v>
      </c>
      <c r="J37" s="328">
        <v>0</v>
      </c>
      <c r="K37" s="328">
        <v>3.19</v>
      </c>
      <c r="L37" s="328">
        <v>0</v>
      </c>
      <c r="M37" s="328">
        <v>0</v>
      </c>
      <c r="N37" s="267">
        <v>0</v>
      </c>
      <c r="O37" s="328"/>
      <c r="P37" s="328"/>
      <c r="Q37" s="328">
        <f t="shared" si="4"/>
        <v>58.35</v>
      </c>
      <c r="R37" s="328"/>
      <c r="S37" s="729">
        <v>72</v>
      </c>
      <c r="T37" s="328">
        <f t="shared" si="5"/>
        <v>4201.2</v>
      </c>
      <c r="Z37" s="727">
        <f>+Z35/Z36</f>
        <v>450.47999999999996</v>
      </c>
      <c r="AA37" s="727">
        <f>+AA35/AA36</f>
        <v>760.9</v>
      </c>
      <c r="AB37" s="727">
        <f>+AB35/AB36</f>
        <v>139.13</v>
      </c>
      <c r="AC37" s="727">
        <f>+AC35/AC36</f>
        <v>4.12</v>
      </c>
      <c r="AD37" s="78">
        <f>SUM(Z37:AC37)</f>
        <v>1354.6299999999997</v>
      </c>
    </row>
    <row r="38" spans="1:30">
      <c r="A38" s="726" t="s">
        <v>866</v>
      </c>
      <c r="B38" s="726"/>
      <c r="C38" s="328">
        <v>7.36</v>
      </c>
      <c r="D38" s="328">
        <v>0</v>
      </c>
      <c r="E38" s="328">
        <v>0</v>
      </c>
      <c r="F38" s="328">
        <v>12.37</v>
      </c>
      <c r="G38" s="328">
        <v>16.010000000000002</v>
      </c>
      <c r="H38" s="328">
        <v>10.09</v>
      </c>
      <c r="I38" s="328">
        <v>26.18</v>
      </c>
      <c r="J38" s="328">
        <v>0</v>
      </c>
      <c r="K38" s="328">
        <v>0</v>
      </c>
      <c r="L38" s="328">
        <v>4.9800000000000004</v>
      </c>
      <c r="M38" s="328">
        <v>0</v>
      </c>
      <c r="N38" s="267">
        <v>3.8</v>
      </c>
      <c r="O38" s="328"/>
      <c r="P38" s="328"/>
      <c r="Q38" s="328">
        <f t="shared" si="4"/>
        <v>80.789999999999992</v>
      </c>
      <c r="R38" s="328"/>
      <c r="S38" s="729">
        <v>72</v>
      </c>
      <c r="T38" s="328">
        <f t="shared" si="5"/>
        <v>5816.8799999999992</v>
      </c>
      <c r="U38" s="717" t="s">
        <v>1213</v>
      </c>
      <c r="Z38" s="700">
        <v>450</v>
      </c>
      <c r="AA38" s="700">
        <v>761</v>
      </c>
      <c r="AB38" s="700">
        <v>145</v>
      </c>
      <c r="AC38" s="700">
        <v>4</v>
      </c>
      <c r="AD38" s="328"/>
    </row>
    <row r="39" spans="1:30">
      <c r="A39" s="730" t="s">
        <v>587</v>
      </c>
      <c r="B39" s="730"/>
      <c r="C39" s="731">
        <v>0</v>
      </c>
      <c r="D39" s="731">
        <v>0</v>
      </c>
      <c r="E39" s="731">
        <v>0</v>
      </c>
      <c r="F39" s="731">
        <v>0</v>
      </c>
      <c r="G39" s="731">
        <v>0</v>
      </c>
      <c r="H39" s="731">
        <v>0</v>
      </c>
      <c r="I39" s="731">
        <v>0</v>
      </c>
      <c r="J39" s="731">
        <v>0</v>
      </c>
      <c r="K39" s="731">
        <v>0</v>
      </c>
      <c r="L39" s="731">
        <v>0</v>
      </c>
      <c r="M39" s="731">
        <v>0</v>
      </c>
      <c r="N39" s="307">
        <v>0</v>
      </c>
      <c r="O39" s="326"/>
      <c r="P39" s="731"/>
      <c r="Q39" s="731">
        <f t="shared" si="4"/>
        <v>0</v>
      </c>
      <c r="R39" s="700"/>
      <c r="S39" s="729">
        <v>72</v>
      </c>
      <c r="T39" s="731">
        <f t="shared" si="5"/>
        <v>0</v>
      </c>
      <c r="Z39" s="727">
        <f>+Z37-Z38</f>
        <v>0.47999999999996135</v>
      </c>
      <c r="AA39" s="727">
        <f>+AA37-AA38</f>
        <v>-0.10000000000002274</v>
      </c>
      <c r="AB39" s="727">
        <f>+AB37-AB38</f>
        <v>-5.8700000000000045</v>
      </c>
      <c r="AC39" s="727">
        <f>+AC37-AC38</f>
        <v>0.12000000000000011</v>
      </c>
      <c r="AD39" s="328"/>
    </row>
    <row r="40" spans="1:30">
      <c r="A40" s="726" t="s">
        <v>869</v>
      </c>
      <c r="B40" s="726"/>
      <c r="C40" s="326">
        <f t="shared" ref="C40:N40" si="6">SUM(C11:C39)</f>
        <v>2423.4300000000003</v>
      </c>
      <c r="D40" s="326">
        <f t="shared" si="6"/>
        <v>1953.5100000000002</v>
      </c>
      <c r="E40" s="326">
        <f t="shared" si="6"/>
        <v>2234.54</v>
      </c>
      <c r="F40" s="326">
        <f t="shared" si="6"/>
        <v>2342.1300000000006</v>
      </c>
      <c r="G40" s="326">
        <f t="shared" si="6"/>
        <v>2447.5400000000004</v>
      </c>
      <c r="H40" s="326">
        <f t="shared" si="6"/>
        <v>2751.1</v>
      </c>
      <c r="I40" s="326">
        <f t="shared" si="6"/>
        <v>2420.6800000000003</v>
      </c>
      <c r="J40" s="326">
        <f t="shared" si="6"/>
        <v>2306.63</v>
      </c>
      <c r="K40" s="326">
        <f t="shared" si="6"/>
        <v>2260.8499999999995</v>
      </c>
      <c r="L40" s="326">
        <f t="shared" si="6"/>
        <v>2083.8599999999997</v>
      </c>
      <c r="M40" s="326">
        <f t="shared" si="6"/>
        <v>2204.8400000000006</v>
      </c>
      <c r="N40" s="326">
        <f t="shared" si="6"/>
        <v>2014.27</v>
      </c>
      <c r="O40" s="326"/>
      <c r="P40" s="326">
        <f>SUM(P11:P39)</f>
        <v>6852</v>
      </c>
      <c r="Q40" s="326">
        <f>SUM(Q11:Q39)</f>
        <v>20591.379999999997</v>
      </c>
      <c r="R40" s="326"/>
      <c r="S40" s="326"/>
      <c r="T40" s="328">
        <f>SUM(T11:T39)</f>
        <v>2330299.9600000004</v>
      </c>
      <c r="U40" s="717" t="s">
        <v>1229</v>
      </c>
    </row>
    <row r="41" spans="1:30">
      <c r="A41" s="726"/>
      <c r="B41" s="726"/>
      <c r="C41" s="326"/>
      <c r="D41" s="326"/>
      <c r="E41" s="326"/>
      <c r="F41" s="326"/>
      <c r="G41" s="326"/>
      <c r="H41" s="326"/>
      <c r="I41" s="326"/>
      <c r="J41" s="326"/>
      <c r="K41" s="326"/>
      <c r="L41" s="326"/>
      <c r="M41" s="326"/>
      <c r="N41" s="326"/>
      <c r="O41" s="326"/>
      <c r="P41" s="326"/>
      <c r="Q41" s="326"/>
      <c r="R41" s="326"/>
      <c r="S41" s="326"/>
      <c r="T41" s="328">
        <v>32500.16</v>
      </c>
      <c r="U41" s="717" t="s">
        <v>1214</v>
      </c>
      <c r="Y41" s="717" t="s">
        <v>65</v>
      </c>
      <c r="Z41" s="328">
        <v>47636.160000000003</v>
      </c>
      <c r="AA41" s="328">
        <v>90930.32</v>
      </c>
      <c r="AB41" s="328">
        <v>14567.28</v>
      </c>
      <c r="AC41" s="328">
        <v>2552.16</v>
      </c>
      <c r="AD41" s="328">
        <f>SUM(Z41:AC41)</f>
        <v>155685.92000000001</v>
      </c>
    </row>
    <row r="42" spans="1:30">
      <c r="C42" s="326"/>
      <c r="D42" s="847" t="s">
        <v>552</v>
      </c>
      <c r="E42" s="847"/>
      <c r="F42" s="847"/>
      <c r="G42" s="847"/>
      <c r="H42" s="847"/>
      <c r="R42" s="328"/>
      <c r="S42" s="326"/>
      <c r="T42" s="326">
        <v>34199.5</v>
      </c>
      <c r="U42" s="717" t="s">
        <v>881</v>
      </c>
      <c r="Z42" s="328">
        <v>104</v>
      </c>
      <c r="AA42" s="328">
        <v>104</v>
      </c>
      <c r="AB42" s="328">
        <v>104</v>
      </c>
      <c r="AC42" s="328">
        <v>104</v>
      </c>
      <c r="AD42" s="328"/>
    </row>
    <row r="43" spans="1:30">
      <c r="C43" s="326"/>
      <c r="D43" s="852" t="s">
        <v>981</v>
      </c>
      <c r="E43" s="852"/>
      <c r="F43" s="852"/>
      <c r="G43" s="852"/>
      <c r="H43" s="852"/>
      <c r="R43" s="732"/>
      <c r="S43" s="326"/>
      <c r="T43" s="328">
        <v>70990.2</v>
      </c>
      <c r="U43" s="717" t="s">
        <v>880</v>
      </c>
      <c r="Z43" s="727">
        <f>+Z41/Z42</f>
        <v>458.04</v>
      </c>
      <c r="AA43" s="727">
        <f>+AA41/AA42</f>
        <v>874.33</v>
      </c>
      <c r="AB43" s="727">
        <f>+AB41/AB42</f>
        <v>140.07</v>
      </c>
      <c r="AC43" s="727">
        <f>+AC41/AC42</f>
        <v>24.54</v>
      </c>
      <c r="AD43" s="78">
        <f>SUM(Z43:AC43)</f>
        <v>1496.98</v>
      </c>
    </row>
    <row r="44" spans="1:30">
      <c r="A44" s="733" t="s">
        <v>1212</v>
      </c>
      <c r="C44" s="326"/>
      <c r="D44" s="734" t="s">
        <v>553</v>
      </c>
      <c r="E44" s="734" t="s">
        <v>551</v>
      </c>
      <c r="F44" s="734" t="s">
        <v>185</v>
      </c>
      <c r="G44" s="734" t="s">
        <v>589</v>
      </c>
      <c r="H44" s="734" t="s">
        <v>0</v>
      </c>
      <c r="R44" s="732"/>
      <c r="S44" s="326"/>
      <c r="T44" s="326">
        <f>-32734.49-18460.89</f>
        <v>-51195.380000000005</v>
      </c>
      <c r="U44" s="717" t="s">
        <v>1215</v>
      </c>
      <c r="Z44" s="700">
        <v>458</v>
      </c>
      <c r="AA44" s="700">
        <v>874</v>
      </c>
      <c r="AB44" s="700">
        <v>140</v>
      </c>
      <c r="AC44" s="700">
        <v>25</v>
      </c>
      <c r="AD44" s="328"/>
    </row>
    <row r="45" spans="1:30" ht="18">
      <c r="A45" s="24" t="s">
        <v>269</v>
      </c>
      <c r="B45" s="182">
        <v>0</v>
      </c>
      <c r="D45" s="717" t="s">
        <v>60</v>
      </c>
      <c r="E45" s="328">
        <v>6389.56</v>
      </c>
      <c r="F45" s="328">
        <v>31344.55</v>
      </c>
      <c r="G45" s="328">
        <v>25235.919999999998</v>
      </c>
      <c r="H45" s="328">
        <f>SUM(E45:G45)</f>
        <v>62970.03</v>
      </c>
      <c r="J45" s="326"/>
      <c r="K45" s="326"/>
      <c r="L45" s="848" t="s">
        <v>1226</v>
      </c>
      <c r="M45" s="848"/>
      <c r="N45" s="848"/>
      <c r="O45" s="848"/>
      <c r="P45" s="848"/>
      <c r="Q45" s="328"/>
      <c r="R45" s="328"/>
      <c r="S45" s="326"/>
      <c r="T45" s="328">
        <f>-37720.22-25338.18</f>
        <v>-63058.400000000001</v>
      </c>
      <c r="U45" s="717" t="s">
        <v>1216</v>
      </c>
      <c r="Z45" s="727">
        <f>+Z43-Z44</f>
        <v>4.0000000000020464E-2</v>
      </c>
      <c r="AA45" s="727">
        <f>+AA43-AA44</f>
        <v>0.33000000000004093</v>
      </c>
      <c r="AB45" s="727">
        <f>+AB43-AB44</f>
        <v>6.9999999999993179E-2</v>
      </c>
      <c r="AC45" s="727">
        <f>+AC43-AC44</f>
        <v>-0.46000000000000085</v>
      </c>
      <c r="AD45" s="328"/>
    </row>
    <row r="46" spans="1:30">
      <c r="A46" s="24" t="s">
        <v>270</v>
      </c>
      <c r="B46" s="182">
        <v>0</v>
      </c>
      <c r="D46" s="717" t="s">
        <v>61</v>
      </c>
      <c r="E46" s="328">
        <v>2199.7800000000002</v>
      </c>
      <c r="F46" s="328">
        <v>23570.51</v>
      </c>
      <c r="G46" s="328">
        <v>11341.22</v>
      </c>
      <c r="H46" s="328">
        <f t="shared" ref="H46:H56" si="7">SUM(E46:G46)</f>
        <v>37111.509999999995</v>
      </c>
      <c r="K46" s="326"/>
      <c r="L46" s="328" t="s">
        <v>185</v>
      </c>
      <c r="M46" s="328"/>
      <c r="N46" s="328">
        <f>+P12+P13+P15+Q12+Q13+Q15+P16+Q16+P17+Q17+P14+Q14+P18+Q18+Q24+Q29+Q35+Q37</f>
        <v>18638.229999999996</v>
      </c>
      <c r="O46" s="328"/>
      <c r="P46" s="732">
        <f>+N46/$N$48</f>
        <v>0.86738983940594916</v>
      </c>
      <c r="Q46" s="732"/>
      <c r="T46" s="328">
        <f>-43253.61-23039.74</f>
        <v>-66293.350000000006</v>
      </c>
      <c r="U46" s="717" t="s">
        <v>1217</v>
      </c>
    </row>
    <row r="47" spans="1:30">
      <c r="A47" s="24" t="s">
        <v>271</v>
      </c>
      <c r="B47" s="182">
        <f>310962.82</f>
        <v>310962.82</v>
      </c>
      <c r="D47" s="717" t="s">
        <v>62</v>
      </c>
      <c r="E47" s="328">
        <v>2285.52</v>
      </c>
      <c r="F47" s="328">
        <v>22159.9</v>
      </c>
      <c r="G47" s="328">
        <v>15936.07</v>
      </c>
      <c r="H47" s="328">
        <f t="shared" si="7"/>
        <v>40381.490000000005</v>
      </c>
      <c r="K47" s="326"/>
      <c r="L47" s="328" t="s">
        <v>589</v>
      </c>
      <c r="M47" s="328"/>
      <c r="N47" s="731">
        <f>+Q25+Q30+Q36</f>
        <v>2849.49</v>
      </c>
      <c r="O47" s="328"/>
      <c r="P47" s="732">
        <f>+N47/$N$48</f>
        <v>0.13261016059405095</v>
      </c>
      <c r="Q47" s="732"/>
      <c r="T47" s="328">
        <f>-73483.28-8057.92-400.4</f>
        <v>-81941.599999999991</v>
      </c>
      <c r="U47" s="717" t="s">
        <v>883</v>
      </c>
      <c r="Y47" s="717" t="s">
        <v>66</v>
      </c>
      <c r="Z47" s="328">
        <v>50074.96</v>
      </c>
      <c r="AA47" s="328">
        <v>87979.839999999997</v>
      </c>
      <c r="AB47" s="328">
        <v>8863.92</v>
      </c>
      <c r="AC47" s="328">
        <v>0</v>
      </c>
      <c r="AD47" s="328">
        <f>SUM(Z47:AC47)</f>
        <v>146918.72</v>
      </c>
    </row>
    <row r="48" spans="1:30">
      <c r="A48" s="24" t="s">
        <v>272</v>
      </c>
      <c r="B48" s="182">
        <v>0</v>
      </c>
      <c r="D48" s="717" t="s">
        <v>63</v>
      </c>
      <c r="E48" s="328">
        <v>2655.9</v>
      </c>
      <c r="F48" s="328">
        <v>21857.23</v>
      </c>
      <c r="G48" s="328">
        <v>11249.27</v>
      </c>
      <c r="H48" s="328">
        <f t="shared" si="7"/>
        <v>35762.400000000001</v>
      </c>
      <c r="L48" s="328" t="s">
        <v>0</v>
      </c>
      <c r="M48" s="328"/>
      <c r="N48" s="328">
        <f>SUM(N46:N47)</f>
        <v>21487.719999999994</v>
      </c>
      <c r="O48" s="328"/>
      <c r="P48" s="328"/>
      <c r="Q48" s="328"/>
      <c r="T48" s="326">
        <v>8324.6</v>
      </c>
      <c r="U48" s="717" t="s">
        <v>1218</v>
      </c>
      <c r="V48" s="735"/>
      <c r="Z48" s="328">
        <v>104</v>
      </c>
      <c r="AA48" s="328">
        <v>104</v>
      </c>
      <c r="AB48" s="328">
        <v>104</v>
      </c>
      <c r="AC48" s="328">
        <v>104</v>
      </c>
      <c r="AD48" s="328"/>
    </row>
    <row r="49" spans="1:30">
      <c r="A49" s="24" t="s">
        <v>273</v>
      </c>
      <c r="B49" s="182">
        <v>0</v>
      </c>
      <c r="D49" s="717" t="s">
        <v>64</v>
      </c>
      <c r="E49" s="328">
        <v>4344.03</v>
      </c>
      <c r="F49" s="328">
        <v>20515.400000000001</v>
      </c>
      <c r="G49" s="328">
        <v>13807.34</v>
      </c>
      <c r="H49" s="328">
        <f t="shared" si="7"/>
        <v>38666.770000000004</v>
      </c>
      <c r="N49" s="232">
        <f>+N48-P40-Q40+Q38+Q31+Q28+Q23+Q11+P11</f>
        <v>-3.637978807091713E-12</v>
      </c>
      <c r="T49" s="326">
        <v>-7958.36</v>
      </c>
      <c r="U49" s="717" t="s">
        <v>1219</v>
      </c>
      <c r="Z49" s="727">
        <f>+Z47/Z48</f>
        <v>481.49</v>
      </c>
      <c r="AA49" s="727">
        <f>+AA47/AA48</f>
        <v>845.95999999999992</v>
      </c>
      <c r="AB49" s="727">
        <f>+AB47/AB48</f>
        <v>85.23</v>
      </c>
      <c r="AC49" s="727">
        <f>+AC47/AC48</f>
        <v>0</v>
      </c>
      <c r="AD49" s="78">
        <f>SUM(Z49:AC49)</f>
        <v>1412.6799999999998</v>
      </c>
    </row>
    <row r="50" spans="1:30">
      <c r="A50" s="24" t="s">
        <v>274</v>
      </c>
      <c r="B50" s="182">
        <f>202280.65</f>
        <v>202280.65</v>
      </c>
      <c r="D50" s="717" t="s">
        <v>65</v>
      </c>
      <c r="E50" s="328">
        <v>2552.23</v>
      </c>
      <c r="F50" s="328">
        <v>25863.08</v>
      </c>
      <c r="G50" s="328">
        <v>16782.72</v>
      </c>
      <c r="H50" s="328">
        <f t="shared" si="7"/>
        <v>45198.03</v>
      </c>
      <c r="T50" s="326">
        <v>5219.1400000000003</v>
      </c>
      <c r="U50" s="717" t="s">
        <v>1220</v>
      </c>
      <c r="Z50" s="700">
        <v>481</v>
      </c>
      <c r="AA50" s="700">
        <v>864</v>
      </c>
      <c r="AB50" s="700">
        <v>85</v>
      </c>
      <c r="AC50" s="700">
        <v>0</v>
      </c>
      <c r="AD50" s="328"/>
    </row>
    <row r="51" spans="1:30">
      <c r="A51" s="24" t="s">
        <v>554</v>
      </c>
      <c r="B51" s="234">
        <f>1178104.81</f>
        <v>1178104.81</v>
      </c>
      <c r="D51" s="717" t="s">
        <v>66</v>
      </c>
      <c r="E51" s="328">
        <v>776.01</v>
      </c>
      <c r="F51" s="328">
        <v>25980.85</v>
      </c>
      <c r="G51" s="328">
        <v>14025.42</v>
      </c>
      <c r="H51" s="328">
        <f t="shared" si="7"/>
        <v>40782.28</v>
      </c>
      <c r="T51" s="326">
        <v>-3731</v>
      </c>
      <c r="U51" s="717" t="s">
        <v>1225</v>
      </c>
      <c r="Z51" s="727">
        <f>+Z49-Z50</f>
        <v>0.49000000000000909</v>
      </c>
      <c r="AA51" s="727">
        <f>+AA49-AA50</f>
        <v>-18.040000000000077</v>
      </c>
      <c r="AB51" s="727">
        <f>+AB49-AB50</f>
        <v>0.23000000000000398</v>
      </c>
      <c r="AC51" s="727">
        <f>+AC49-AC50</f>
        <v>0</v>
      </c>
      <c r="AD51" s="328"/>
    </row>
    <row r="52" spans="1:30">
      <c r="B52" s="728">
        <f>SUM(B45:B51)</f>
        <v>1691348.28</v>
      </c>
      <c r="D52" s="717" t="s">
        <v>67</v>
      </c>
      <c r="E52" s="328">
        <v>4370.62</v>
      </c>
      <c r="F52" s="328">
        <v>28209.64</v>
      </c>
      <c r="G52" s="328">
        <v>13058.45</v>
      </c>
      <c r="H52" s="328">
        <f t="shared" si="7"/>
        <v>45638.71</v>
      </c>
      <c r="J52" s="726"/>
      <c r="K52" s="232"/>
      <c r="M52" s="717" t="s">
        <v>590</v>
      </c>
      <c r="N52" s="326">
        <f>(90/12*5)+(104/12*7)</f>
        <v>98.166666666666657</v>
      </c>
      <c r="P52" s="717" t="s">
        <v>1228</v>
      </c>
      <c r="T52" s="326">
        <v>2488.25</v>
      </c>
      <c r="U52" s="717" t="s">
        <v>1221</v>
      </c>
    </row>
    <row r="53" spans="1:30">
      <c r="D53" s="717" t="s">
        <v>59</v>
      </c>
      <c r="E53" s="328">
        <v>3849.31</v>
      </c>
      <c r="F53" s="328">
        <v>29942.38</v>
      </c>
      <c r="G53" s="328">
        <v>18773.48</v>
      </c>
      <c r="H53" s="328">
        <f t="shared" si="7"/>
        <v>52565.17</v>
      </c>
      <c r="J53" s="726"/>
      <c r="K53" s="232"/>
      <c r="N53" s="626">
        <v>121.54</v>
      </c>
      <c r="P53" s="717" t="s">
        <v>884</v>
      </c>
      <c r="T53" s="326">
        <f>-9.1*(90-48.48)</f>
        <v>-377.83199999999999</v>
      </c>
      <c r="U53" s="717" t="s">
        <v>1222</v>
      </c>
      <c r="Y53" s="717" t="s">
        <v>67</v>
      </c>
      <c r="Z53" s="328">
        <v>41054</v>
      </c>
      <c r="AA53" s="328">
        <v>87918.48</v>
      </c>
      <c r="AB53" s="328">
        <v>8466.64</v>
      </c>
      <c r="AC53" s="328">
        <v>3705.52</v>
      </c>
      <c r="AD53" s="328">
        <f>SUM(Z53:AC53)</f>
        <v>141144.63999999998</v>
      </c>
    </row>
    <row r="54" spans="1:30">
      <c r="D54" s="717" t="s">
        <v>58</v>
      </c>
      <c r="E54" s="328">
        <v>3353.69</v>
      </c>
      <c r="F54" s="328">
        <v>32734.49</v>
      </c>
      <c r="G54" s="328">
        <v>18460.89</v>
      </c>
      <c r="H54" s="328">
        <f t="shared" si="7"/>
        <v>54549.07</v>
      </c>
      <c r="K54" s="232"/>
      <c r="N54" s="232">
        <f>N53-N52</f>
        <v>23.373333333333349</v>
      </c>
      <c r="P54" s="717" t="s">
        <v>3</v>
      </c>
      <c r="T54" s="326">
        <v>-562.5</v>
      </c>
      <c r="U54" s="717" t="s">
        <v>1223</v>
      </c>
      <c r="Z54" s="328">
        <v>104</v>
      </c>
      <c r="AA54" s="328">
        <v>104</v>
      </c>
      <c r="AB54" s="328">
        <v>104</v>
      </c>
      <c r="AC54" s="328">
        <v>104</v>
      </c>
      <c r="AD54" s="328"/>
    </row>
    <row r="55" spans="1:30">
      <c r="A55" s="736"/>
      <c r="B55" s="736"/>
      <c r="C55" s="737"/>
      <c r="D55" s="717" t="s">
        <v>57</v>
      </c>
      <c r="E55" s="328">
        <v>1979.46</v>
      </c>
      <c r="F55" s="697">
        <v>37720.22</v>
      </c>
      <c r="G55" s="697">
        <v>25338.18</v>
      </c>
      <c r="H55" s="328">
        <f t="shared" si="7"/>
        <v>65037.86</v>
      </c>
      <c r="N55" s="233">
        <f>N54/N52</f>
        <v>0.23809847198641784</v>
      </c>
      <c r="P55" s="717" t="s">
        <v>193</v>
      </c>
      <c r="T55" s="326">
        <v>13322.33</v>
      </c>
      <c r="U55" s="717" t="s">
        <v>1224</v>
      </c>
      <c r="Z55" s="727">
        <f>+Z53/Z54</f>
        <v>394.75</v>
      </c>
      <c r="AA55" s="727">
        <f>+AA53/AA54</f>
        <v>845.37</v>
      </c>
      <c r="AB55" s="727">
        <f>+AB53/AB54</f>
        <v>81.41</v>
      </c>
      <c r="AC55" s="727">
        <f>+AC53/AC54</f>
        <v>35.630000000000003</v>
      </c>
      <c r="AD55" s="78">
        <f>SUM(Z55:AC55)</f>
        <v>1357.16</v>
      </c>
    </row>
    <row r="56" spans="1:30">
      <c r="A56" s="736"/>
      <c r="B56" s="736"/>
      <c r="C56" s="737"/>
      <c r="D56" s="717" t="s">
        <v>56</v>
      </c>
      <c r="E56" s="328">
        <v>7313.93</v>
      </c>
      <c r="F56" s="697">
        <v>43253.61</v>
      </c>
      <c r="G56" s="697">
        <v>23039.74</v>
      </c>
      <c r="H56" s="328">
        <f t="shared" si="7"/>
        <v>73607.28</v>
      </c>
      <c r="J56" s="738"/>
      <c r="K56" s="738"/>
      <c r="T56" s="731">
        <f>-T38-T31-T28-T23-T11</f>
        <v>-530807</v>
      </c>
      <c r="U56" s="717" t="s">
        <v>882</v>
      </c>
      <c r="V56" s="735" t="s">
        <v>983</v>
      </c>
      <c r="Z56" s="700">
        <v>395</v>
      </c>
      <c r="AA56" s="700">
        <v>845</v>
      </c>
      <c r="AB56" s="700">
        <v>81</v>
      </c>
      <c r="AC56" s="700">
        <v>36</v>
      </c>
      <c r="AD56" s="328"/>
    </row>
    <row r="57" spans="1:30">
      <c r="A57" s="736"/>
      <c r="B57" s="736"/>
      <c r="C57" s="737"/>
      <c r="D57" s="717" t="s">
        <v>0</v>
      </c>
      <c r="E57" s="727">
        <f>SUM(E45:E56)</f>
        <v>42070.04</v>
      </c>
      <c r="F57" s="727">
        <f>SUM(F45:F56)</f>
        <v>343151.86</v>
      </c>
      <c r="G57" s="727">
        <f>SUM(G45:G56)</f>
        <v>207048.69999999995</v>
      </c>
      <c r="H57" s="727">
        <f>SUM(H45:H56)</f>
        <v>592270.6</v>
      </c>
      <c r="J57" s="738"/>
      <c r="K57" s="738"/>
      <c r="N57" s="221" t="s">
        <v>966</v>
      </c>
      <c r="T57" s="326">
        <f>SUM(T40:T56)</f>
        <v>1691418.7180000013</v>
      </c>
      <c r="U57" s="717" t="s">
        <v>1230</v>
      </c>
      <c r="Z57" s="727">
        <f>+Z55-Z56</f>
        <v>-0.25</v>
      </c>
      <c r="AA57" s="727">
        <f>+AA55-AA56</f>
        <v>0.37000000000000455</v>
      </c>
      <c r="AB57" s="727">
        <f>+AB55-AB56</f>
        <v>0.40999999999999659</v>
      </c>
      <c r="AC57" s="727">
        <f>+AC55-AC56</f>
        <v>-0.36999999999999744</v>
      </c>
      <c r="AD57" s="328"/>
    </row>
    <row r="58" spans="1:30">
      <c r="A58" s="736"/>
      <c r="B58" s="736"/>
      <c r="C58" s="737"/>
      <c r="D58" s="737"/>
      <c r="E58" s="737"/>
      <c r="F58" s="726"/>
      <c r="L58" s="739" t="s">
        <v>1258</v>
      </c>
      <c r="N58" s="267">
        <f>+P12+Q12+P13+Q13+P15+Q15+P16+Q16+P17+Q17</f>
        <v>10698</v>
      </c>
      <c r="P58" s="739" t="s">
        <v>986</v>
      </c>
    </row>
    <row r="59" spans="1:30">
      <c r="A59" s="736"/>
      <c r="B59" s="736"/>
      <c r="C59" s="737"/>
      <c r="D59" s="737"/>
      <c r="E59" s="737"/>
      <c r="F59" s="726"/>
      <c r="G59" s="232"/>
      <c r="N59" s="307">
        <f>N54</f>
        <v>23.373333333333349</v>
      </c>
      <c r="P59" s="739" t="s">
        <v>1227</v>
      </c>
      <c r="T59" s="328">
        <f>+Operations!C57+Operations!C58+Operations!C59+Operations!C60+Operations!C61</f>
        <v>1691348.2799999998</v>
      </c>
      <c r="U59" s="717" t="s">
        <v>37</v>
      </c>
      <c r="Y59" s="717" t="s">
        <v>59</v>
      </c>
      <c r="Z59" s="328">
        <v>38643.279999999999</v>
      </c>
      <c r="AA59" s="328">
        <v>85706.4</v>
      </c>
      <c r="AB59" s="328">
        <v>7779.2</v>
      </c>
      <c r="AC59" s="328">
        <v>3237.52</v>
      </c>
      <c r="AD59" s="328">
        <f>SUM(Z59:AC59)</f>
        <v>135366.39999999999</v>
      </c>
    </row>
    <row r="60" spans="1:30">
      <c r="A60" s="736"/>
      <c r="B60" s="736"/>
      <c r="C60" s="737"/>
      <c r="D60" s="737"/>
      <c r="E60" s="737"/>
      <c r="F60" s="726"/>
      <c r="L60" s="232"/>
      <c r="N60" s="267">
        <f>N58*N59</f>
        <v>250047.92000000016</v>
      </c>
      <c r="P60" s="739" t="s">
        <v>968</v>
      </c>
      <c r="T60" s="727">
        <f>+T57-T59</f>
        <v>70.43800000147894</v>
      </c>
      <c r="U60" s="717" t="s">
        <v>204</v>
      </c>
      <c r="Z60" s="328">
        <v>104</v>
      </c>
      <c r="AA60" s="328">
        <v>104</v>
      </c>
      <c r="AB60" s="328">
        <v>104</v>
      </c>
      <c r="AC60" s="328">
        <v>104</v>
      </c>
      <c r="AD60" s="328"/>
    </row>
    <row r="61" spans="1:30">
      <c r="A61" s="736"/>
      <c r="B61" s="736"/>
      <c r="C61" s="737"/>
      <c r="D61" s="737"/>
      <c r="E61" s="737"/>
      <c r="F61" s="726"/>
      <c r="L61" s="232"/>
      <c r="Z61" s="727">
        <f>+Z59/Z60</f>
        <v>371.57</v>
      </c>
      <c r="AA61" s="727">
        <f>+AA59/AA60</f>
        <v>824.09999999999991</v>
      </c>
      <c r="AB61" s="727">
        <f>+AB59/AB60</f>
        <v>74.8</v>
      </c>
      <c r="AC61" s="727">
        <f>+AC59/AC60</f>
        <v>31.13</v>
      </c>
      <c r="AD61" s="78">
        <f>SUM(Z61:AC61)</f>
        <v>1301.5999999999999</v>
      </c>
    </row>
    <row r="62" spans="1:30">
      <c r="A62" s="736"/>
      <c r="B62" s="736"/>
      <c r="C62" s="737"/>
      <c r="D62" s="737"/>
      <c r="E62" s="737"/>
      <c r="F62" s="726"/>
      <c r="L62" s="717" t="s">
        <v>1259</v>
      </c>
      <c r="Z62" s="700">
        <v>372</v>
      </c>
      <c r="AA62" s="700">
        <v>824</v>
      </c>
      <c r="AB62" s="700">
        <v>75</v>
      </c>
      <c r="AC62" s="700">
        <v>31</v>
      </c>
      <c r="AD62" s="328"/>
    </row>
    <row r="63" spans="1:30">
      <c r="A63" s="736"/>
      <c r="B63" s="736"/>
      <c r="C63" s="737"/>
      <c r="D63" s="737"/>
      <c r="E63" s="737"/>
      <c r="F63" s="726"/>
      <c r="G63" s="232"/>
      <c r="N63" s="267">
        <f>+Operations!F18+Operations!F23</f>
        <v>366495</v>
      </c>
      <c r="P63" s="739" t="s">
        <v>164</v>
      </c>
      <c r="Z63" s="727">
        <f>+Z61-Z62</f>
        <v>-0.43000000000000682</v>
      </c>
      <c r="AA63" s="727">
        <f>+AA61-AA62</f>
        <v>9.9999999999909051E-2</v>
      </c>
      <c r="AB63" s="727">
        <f>+AB61-AB62</f>
        <v>-0.20000000000000284</v>
      </c>
      <c r="AC63" s="727">
        <f>+AC61-AC62</f>
        <v>0.12999999999999901</v>
      </c>
      <c r="AD63" s="328"/>
    </row>
    <row r="64" spans="1:30">
      <c r="A64" s="736"/>
      <c r="B64" s="736"/>
      <c r="C64" s="737"/>
      <c r="D64" s="737"/>
      <c r="E64" s="737"/>
      <c r="F64" s="726"/>
      <c r="L64" s="232"/>
      <c r="N64" s="267">
        <f>+N52</f>
        <v>98.166666666666657</v>
      </c>
      <c r="P64" s="739"/>
    </row>
    <row r="65" spans="1:30">
      <c r="A65" s="736"/>
      <c r="B65" s="736"/>
      <c r="C65" s="737"/>
      <c r="D65" s="737"/>
      <c r="E65" s="737"/>
      <c r="F65" s="726"/>
      <c r="L65" s="740"/>
      <c r="N65" s="267">
        <f>+N63/N64</f>
        <v>3733.3955857385404</v>
      </c>
      <c r="P65" s="739" t="s">
        <v>194</v>
      </c>
      <c r="Y65" s="717" t="s">
        <v>58</v>
      </c>
      <c r="Z65" s="328">
        <v>36042.239999999998</v>
      </c>
      <c r="AA65" s="328">
        <v>76710.399999999994</v>
      </c>
      <c r="AB65" s="328">
        <v>10059.92</v>
      </c>
      <c r="AC65" s="328">
        <v>226.72</v>
      </c>
      <c r="AD65" s="328">
        <f>SUM(Z65:AC65)</f>
        <v>123039.27999999998</v>
      </c>
    </row>
    <row r="66" spans="1:30">
      <c r="A66" s="736"/>
      <c r="B66" s="736"/>
      <c r="C66" s="737"/>
      <c r="D66" s="737"/>
      <c r="E66" s="737"/>
      <c r="F66" s="726"/>
      <c r="N66" s="307">
        <f>+N59</f>
        <v>23.373333333333349</v>
      </c>
      <c r="P66" s="739" t="s">
        <v>3</v>
      </c>
      <c r="Z66" s="328">
        <v>104</v>
      </c>
      <c r="AA66" s="328">
        <v>104</v>
      </c>
      <c r="AB66" s="328">
        <v>104</v>
      </c>
      <c r="AC66" s="328">
        <v>104</v>
      </c>
      <c r="AD66" s="328"/>
    </row>
    <row r="67" spans="1:30">
      <c r="A67" s="736"/>
      <c r="B67" s="736"/>
      <c r="C67" s="737"/>
      <c r="D67" s="737"/>
      <c r="E67" s="737"/>
      <c r="F67" s="726"/>
      <c r="N67" s="267">
        <f>+N65*N66</f>
        <v>87261.89949066221</v>
      </c>
      <c r="P67" s="739" t="s">
        <v>968</v>
      </c>
      <c r="Z67" s="727">
        <f>+Z65/Z66</f>
        <v>346.56</v>
      </c>
      <c r="AA67" s="727">
        <f>+AA65/AA66</f>
        <v>737.59999999999991</v>
      </c>
      <c r="AB67" s="727">
        <f>+AB65/AB66</f>
        <v>96.73</v>
      </c>
      <c r="AC67" s="727">
        <f>+AC65/AC66</f>
        <v>2.1800000000000002</v>
      </c>
      <c r="AD67" s="78">
        <f>SUM(Z67:AC67)</f>
        <v>1183.07</v>
      </c>
    </row>
    <row r="68" spans="1:30">
      <c r="A68" s="736"/>
      <c r="B68" s="736"/>
      <c r="C68" s="737"/>
      <c r="D68" s="737"/>
      <c r="E68" s="737"/>
      <c r="F68" s="726"/>
      <c r="G68" s="232"/>
      <c r="Z68" s="700">
        <v>347</v>
      </c>
      <c r="AA68" s="700">
        <v>738</v>
      </c>
      <c r="AB68" s="700">
        <v>97</v>
      </c>
      <c r="AC68" s="700">
        <v>2</v>
      </c>
      <c r="AD68" s="328"/>
    </row>
    <row r="69" spans="1:30">
      <c r="A69" s="736"/>
      <c r="B69" s="736"/>
      <c r="C69" s="737"/>
      <c r="D69" s="737"/>
      <c r="E69" s="737"/>
      <c r="F69" s="726"/>
      <c r="L69" s="232"/>
      <c r="M69" s="232"/>
      <c r="Z69" s="727">
        <f>+Z67-Z68</f>
        <v>-0.43999999999999773</v>
      </c>
      <c r="AA69" s="727">
        <f>+AA67-AA68</f>
        <v>-0.40000000000009095</v>
      </c>
      <c r="AB69" s="727">
        <f>+AB67-AB68</f>
        <v>-0.26999999999999602</v>
      </c>
      <c r="AC69" s="727">
        <f>+AC67-AC68</f>
        <v>0.18000000000000016</v>
      </c>
      <c r="AD69" s="328"/>
    </row>
    <row r="70" spans="1:30">
      <c r="A70" s="736"/>
      <c r="B70" s="736"/>
      <c r="C70" s="737"/>
      <c r="D70" s="737"/>
      <c r="E70" s="737"/>
      <c r="F70" s="726"/>
      <c r="L70" s="232"/>
    </row>
    <row r="71" spans="1:30">
      <c r="A71" s="736"/>
      <c r="B71" s="736"/>
      <c r="C71" s="737"/>
      <c r="D71" s="737"/>
      <c r="E71" s="737"/>
      <c r="F71" s="726"/>
      <c r="L71" s="741"/>
      <c r="Y71" s="717" t="s">
        <v>57</v>
      </c>
      <c r="Z71" s="328">
        <v>35583.32</v>
      </c>
      <c r="AA71" s="328">
        <v>86044.4</v>
      </c>
      <c r="AB71" s="328">
        <v>11999.52</v>
      </c>
      <c r="AC71" s="328">
        <v>0</v>
      </c>
      <c r="AD71" s="328">
        <f>SUM(Z71:AC71)</f>
        <v>133627.24</v>
      </c>
    </row>
    <row r="72" spans="1:30">
      <c r="A72" s="736"/>
      <c r="B72" s="736"/>
      <c r="C72" s="737"/>
      <c r="D72" s="737"/>
      <c r="E72" s="737"/>
      <c r="F72" s="726"/>
      <c r="G72" s="232"/>
      <c r="K72" s="733"/>
      <c r="Z72" s="328">
        <v>104</v>
      </c>
      <c r="AA72" s="328">
        <v>104</v>
      </c>
      <c r="AB72" s="328">
        <v>104</v>
      </c>
      <c r="AC72" s="328">
        <v>104</v>
      </c>
      <c r="AD72" s="328"/>
    </row>
    <row r="73" spans="1:30">
      <c r="A73" s="736"/>
      <c r="B73" s="736"/>
      <c r="C73" s="737"/>
      <c r="D73" s="737"/>
      <c r="E73" s="737"/>
      <c r="F73" s="726"/>
      <c r="Z73" s="727">
        <f>+Z71/Z72</f>
        <v>342.14730769230766</v>
      </c>
      <c r="AA73" s="727">
        <f>+AA71/AA72</f>
        <v>827.34999999999991</v>
      </c>
      <c r="AB73" s="727">
        <f>+AB71/AB72</f>
        <v>115.38000000000001</v>
      </c>
      <c r="AC73" s="727">
        <f>+AC71/AC72</f>
        <v>0</v>
      </c>
      <c r="AD73" s="78">
        <f>SUM(Z73:AC73)</f>
        <v>1284.8773076923076</v>
      </c>
    </row>
    <row r="74" spans="1:30">
      <c r="A74" s="736"/>
      <c r="B74" s="736"/>
      <c r="C74" s="737"/>
      <c r="D74" s="737"/>
      <c r="E74" s="737"/>
      <c r="F74" s="726"/>
      <c r="Z74" s="700">
        <v>342</v>
      </c>
      <c r="AA74" s="700">
        <v>827</v>
      </c>
      <c r="AB74" s="700">
        <v>115</v>
      </c>
      <c r="AC74" s="700">
        <v>0</v>
      </c>
      <c r="AD74" s="328"/>
    </row>
    <row r="75" spans="1:30">
      <c r="A75" s="736"/>
      <c r="B75" s="736"/>
      <c r="C75" s="737"/>
      <c r="D75" s="737"/>
      <c r="E75" s="737"/>
      <c r="F75" s="726"/>
      <c r="Z75" s="727">
        <f>+Z73-Z74</f>
        <v>0.14730769230766327</v>
      </c>
      <c r="AA75" s="727">
        <f>+AA73-AA74</f>
        <v>0.34999999999990905</v>
      </c>
      <c r="AB75" s="727">
        <f>+AB73-AB74</f>
        <v>0.38000000000000966</v>
      </c>
      <c r="AC75" s="727">
        <f>+AC73-AC74</f>
        <v>0</v>
      </c>
      <c r="AD75" s="328"/>
    </row>
    <row r="76" spans="1:30">
      <c r="A76" s="736"/>
      <c r="B76" s="736"/>
      <c r="C76" s="737"/>
      <c r="D76" s="737"/>
      <c r="E76" s="737"/>
      <c r="F76" s="726"/>
      <c r="G76" s="232"/>
    </row>
    <row r="77" spans="1:30">
      <c r="A77" s="736"/>
      <c r="B77" s="736"/>
      <c r="C77" s="737"/>
      <c r="D77" s="737"/>
      <c r="E77" s="737"/>
      <c r="F77" s="726"/>
      <c r="Y77" s="717" t="s">
        <v>56</v>
      </c>
      <c r="Z77" s="328">
        <v>27954.16</v>
      </c>
      <c r="AA77" s="328">
        <v>73483.28</v>
      </c>
      <c r="AB77" s="328">
        <v>8057.92</v>
      </c>
      <c r="AC77" s="328">
        <v>400.4</v>
      </c>
      <c r="AD77" s="328">
        <f>SUM(Z77:AC77)</f>
        <v>109895.76</v>
      </c>
    </row>
    <row r="78" spans="1:30">
      <c r="A78" s="736"/>
      <c r="B78" s="736"/>
      <c r="C78" s="737"/>
      <c r="D78" s="737"/>
      <c r="E78" s="737"/>
      <c r="F78" s="726"/>
      <c r="Z78" s="328">
        <v>104</v>
      </c>
      <c r="AA78" s="328">
        <v>104</v>
      </c>
      <c r="AB78" s="328">
        <v>104</v>
      </c>
      <c r="AC78" s="328">
        <v>104</v>
      </c>
      <c r="AD78" s="328"/>
    </row>
    <row r="79" spans="1:30">
      <c r="A79" s="736"/>
      <c r="B79" s="736"/>
      <c r="C79" s="737"/>
      <c r="D79" s="737"/>
      <c r="E79" s="737"/>
      <c r="F79" s="726"/>
      <c r="Z79" s="727">
        <f>+Z77/Z78</f>
        <v>268.79000000000002</v>
      </c>
      <c r="AA79" s="727">
        <f>+AA77/AA78</f>
        <v>706.56999999999994</v>
      </c>
      <c r="AB79" s="727">
        <f>+AB77/AB78</f>
        <v>77.48</v>
      </c>
      <c r="AC79" s="727">
        <f>+AC77/AC78</f>
        <v>3.8499999999999996</v>
      </c>
      <c r="AD79" s="78">
        <f>SUM(Z79:AC79)</f>
        <v>1056.6899999999998</v>
      </c>
    </row>
    <row r="80" spans="1:30">
      <c r="A80" s="736"/>
      <c r="B80" s="736"/>
      <c r="C80" s="737"/>
      <c r="D80" s="737"/>
      <c r="E80" s="737"/>
      <c r="F80" s="726"/>
      <c r="G80" s="232"/>
      <c r="Z80" s="700">
        <v>269</v>
      </c>
      <c r="AA80" s="700">
        <v>707</v>
      </c>
      <c r="AB80" s="700">
        <v>77</v>
      </c>
      <c r="AC80" s="700">
        <v>4</v>
      </c>
    </row>
    <row r="81" spans="1:30">
      <c r="A81" s="736"/>
      <c r="B81" s="736"/>
      <c r="C81" s="737"/>
      <c r="D81" s="737"/>
      <c r="E81" s="737"/>
      <c r="F81" s="726"/>
      <c r="Z81" s="727">
        <f>+Z79-Z80</f>
        <v>-0.20999999999997954</v>
      </c>
      <c r="AA81" s="727">
        <f>+AA79-AA80</f>
        <v>-0.43000000000006366</v>
      </c>
      <c r="AB81" s="727">
        <f>+AB79-AB80</f>
        <v>0.48000000000000398</v>
      </c>
      <c r="AC81" s="727">
        <f>+AC79-AC80</f>
        <v>-0.15000000000000036</v>
      </c>
    </row>
    <row r="82" spans="1:30">
      <c r="A82" s="736"/>
      <c r="B82" s="736"/>
      <c r="C82" s="737"/>
      <c r="D82" s="737"/>
      <c r="E82" s="737"/>
      <c r="F82" s="726"/>
    </row>
    <row r="83" spans="1:30">
      <c r="A83" s="736"/>
      <c r="B83" s="736"/>
      <c r="C83" s="737"/>
      <c r="D83" s="737"/>
      <c r="E83" s="737"/>
      <c r="F83" s="726"/>
      <c r="Z83" s="232">
        <f>+Z15+Z21+Z27+Z33+Z39+Z45+Z51+Z57+Z63+Z69+Z75+Z81</f>
        <v>-0.2726923076922958</v>
      </c>
      <c r="AA83" s="232">
        <f>+AA15+AA21+AA27+AA33+AA39+AA45+AA51+AA57+AA63+AA69+AA75+AA81</f>
        <v>-53.370777777778358</v>
      </c>
      <c r="AB83" s="232">
        <f>+AB15+AB21+AB27+AB33+AB39+AB45+AB51+AB57+AB63+AB69+AB75+AB81</f>
        <v>-4.1100000000000065</v>
      </c>
      <c r="AC83" s="232">
        <f>+AC15+AC21+AC27+AC33+AC39+AC45+AC51+AC57+AC63+AC69+AC75+AC81</f>
        <v>-0.55000000000000027</v>
      </c>
    </row>
    <row r="84" spans="1:30">
      <c r="A84" s="736"/>
      <c r="B84" s="736"/>
      <c r="C84" s="737"/>
      <c r="D84" s="737"/>
      <c r="E84" s="737"/>
      <c r="F84" s="726"/>
      <c r="Z84" s="232">
        <f>+$N$52</f>
        <v>98.166666666666657</v>
      </c>
      <c r="AA84" s="232">
        <f>+$N$52</f>
        <v>98.166666666666657</v>
      </c>
      <c r="AB84" s="232">
        <f>+$N$52</f>
        <v>98.166666666666657</v>
      </c>
      <c r="AC84" s="232">
        <f>+$N$52</f>
        <v>98.166666666666657</v>
      </c>
    </row>
    <row r="85" spans="1:30">
      <c r="A85" s="736"/>
      <c r="B85" s="736"/>
      <c r="C85" s="737"/>
      <c r="D85" s="737"/>
      <c r="E85" s="737"/>
      <c r="F85" s="726"/>
      <c r="G85" s="232"/>
      <c r="Z85" s="742">
        <f>+Z83*Z84</f>
        <v>-26.769294871793701</v>
      </c>
      <c r="AA85" s="742">
        <f>+AA83*AA84</f>
        <v>-5239.2313518519086</v>
      </c>
      <c r="AB85" s="742">
        <f>+AB83*AB84</f>
        <v>-403.4650000000006</v>
      </c>
      <c r="AC85" s="742">
        <f>+AC83*AC84</f>
        <v>-53.991666666666688</v>
      </c>
      <c r="AD85" s="232">
        <f>SUM(Z85:AC85)</f>
        <v>-5723.4573133903705</v>
      </c>
    </row>
    <row r="86" spans="1:30">
      <c r="A86" s="736"/>
      <c r="B86" s="736"/>
      <c r="C86" s="737"/>
      <c r="D86" s="737"/>
      <c r="E86" s="737"/>
      <c r="F86" s="726"/>
    </row>
    <row r="87" spans="1:30">
      <c r="A87" s="736"/>
      <c r="B87" s="736"/>
      <c r="C87" s="737"/>
      <c r="D87" s="737"/>
      <c r="E87" s="737"/>
      <c r="F87" s="726"/>
      <c r="Z87" s="232">
        <f>+Z77+Z71+Z65+Z59+Z53+Z47+Z41+Z35+Z29+Z23+Z17+Z11</f>
        <v>447752.32000000007</v>
      </c>
    </row>
    <row r="88" spans="1:30">
      <c r="A88" s="736"/>
      <c r="B88" s="736"/>
      <c r="C88" s="737"/>
      <c r="D88" s="737"/>
      <c r="E88" s="737"/>
      <c r="F88" s="726"/>
    </row>
    <row r="89" spans="1:30">
      <c r="A89" s="736"/>
      <c r="B89" s="736"/>
      <c r="C89" s="737"/>
      <c r="D89" s="737"/>
      <c r="E89" s="737"/>
      <c r="F89" s="726"/>
      <c r="G89" s="232"/>
    </row>
    <row r="90" spans="1:30">
      <c r="A90" s="736"/>
      <c r="B90" s="736"/>
      <c r="C90" s="737"/>
      <c r="D90" s="737"/>
      <c r="E90" s="737"/>
      <c r="F90" s="726"/>
    </row>
    <row r="91" spans="1:30">
      <c r="A91" s="736"/>
      <c r="B91" s="736"/>
      <c r="C91" s="737"/>
      <c r="D91" s="737"/>
      <c r="E91" s="737"/>
      <c r="F91" s="726"/>
    </row>
    <row r="92" spans="1:30">
      <c r="A92" s="736"/>
      <c r="B92" s="736"/>
      <c r="C92" s="737"/>
      <c r="D92" s="737"/>
      <c r="E92" s="737"/>
      <c r="F92" s="726"/>
    </row>
    <row r="93" spans="1:30">
      <c r="A93" s="736"/>
      <c r="B93" s="736"/>
      <c r="C93" s="737"/>
      <c r="D93" s="737"/>
      <c r="E93" s="737"/>
      <c r="F93" s="726"/>
      <c r="G93" s="232"/>
    </row>
    <row r="94" spans="1:30">
      <c r="A94" s="736"/>
      <c r="B94" s="736"/>
      <c r="C94" s="737"/>
      <c r="D94" s="743"/>
      <c r="E94" s="743"/>
      <c r="G94" s="232"/>
    </row>
    <row r="95" spans="1:30">
      <c r="A95" s="736"/>
      <c r="B95" s="736"/>
      <c r="C95" s="737"/>
      <c r="D95" s="744"/>
    </row>
    <row r="96" spans="1:30">
      <c r="A96" s="736"/>
      <c r="B96" s="736"/>
      <c r="C96" s="737"/>
      <c r="D96" s="744"/>
      <c r="E96" s="745"/>
    </row>
    <row r="97" spans="1:8">
      <c r="A97" s="736"/>
      <c r="B97" s="736"/>
      <c r="C97" s="737"/>
      <c r="D97" s="744"/>
    </row>
    <row r="98" spans="1:8">
      <c r="A98" s="736"/>
      <c r="B98" s="736"/>
      <c r="C98" s="737"/>
      <c r="D98" s="744"/>
    </row>
    <row r="99" spans="1:8">
      <c r="A99" s="736"/>
      <c r="B99" s="736"/>
      <c r="C99" s="737"/>
      <c r="D99" s="744"/>
    </row>
    <row r="100" spans="1:8">
      <c r="A100" s="736"/>
      <c r="B100" s="736"/>
      <c r="C100" s="737"/>
      <c r="D100" s="744"/>
    </row>
    <row r="101" spans="1:8">
      <c r="A101" s="736"/>
      <c r="B101" s="736"/>
      <c r="C101" s="737"/>
      <c r="D101" s="744"/>
    </row>
    <row r="102" spans="1:8">
      <c r="A102" s="736"/>
      <c r="B102" s="736"/>
      <c r="C102" s="737"/>
      <c r="D102" s="744"/>
    </row>
    <row r="103" spans="1:8">
      <c r="A103" s="736"/>
      <c r="B103" s="736"/>
      <c r="C103" s="737"/>
      <c r="D103" s="744"/>
    </row>
    <row r="104" spans="1:8">
      <c r="A104" s="736"/>
      <c r="B104" s="736"/>
      <c r="C104" s="737"/>
      <c r="D104" s="744"/>
    </row>
    <row r="105" spans="1:8">
      <c r="A105" s="736"/>
      <c r="B105" s="736"/>
      <c r="C105" s="737"/>
      <c r="D105" s="744"/>
    </row>
    <row r="106" spans="1:8">
      <c r="A106" s="736"/>
      <c r="B106" s="736"/>
      <c r="C106" s="737"/>
      <c r="D106" s="744"/>
    </row>
    <row r="107" spans="1:8">
      <c r="A107" s="736"/>
      <c r="B107" s="736"/>
      <c r="C107" s="737"/>
      <c r="D107" s="744"/>
    </row>
    <row r="108" spans="1:8">
      <c r="A108" s="736"/>
      <c r="B108" s="736"/>
      <c r="C108" s="737"/>
      <c r="D108" s="744"/>
    </row>
    <row r="109" spans="1:8">
      <c r="A109" s="744"/>
      <c r="B109" s="744"/>
      <c r="C109" s="746"/>
      <c r="D109" s="744"/>
      <c r="H109" s="232">
        <f>+E94-G94</f>
        <v>0</v>
      </c>
    </row>
    <row r="110" spans="1:8">
      <c r="D110" s="744"/>
    </row>
    <row r="111" spans="1:8">
      <c r="D111" s="744"/>
    </row>
    <row r="112" spans="1:8">
      <c r="D112" s="744"/>
    </row>
    <row r="113" spans="4:4">
      <c r="D113" s="744"/>
    </row>
    <row r="114" spans="4:4">
      <c r="D114" s="744"/>
    </row>
    <row r="115" spans="4:4">
      <c r="D115" s="744"/>
    </row>
    <row r="116" spans="4:4">
      <c r="D116" s="744"/>
    </row>
    <row r="117" spans="4:4">
      <c r="D117" s="744"/>
    </row>
    <row r="118" spans="4:4">
      <c r="D118" s="744"/>
    </row>
    <row r="119" spans="4:4">
      <c r="D119" s="744"/>
    </row>
    <row r="120" spans="4:4">
      <c r="D120" s="744"/>
    </row>
    <row r="121" spans="4:4">
      <c r="D121" s="744"/>
    </row>
    <row r="122" spans="4:4">
      <c r="D122" s="744"/>
    </row>
    <row r="123" spans="4:4">
      <c r="D123" s="744"/>
    </row>
    <row r="124" spans="4:4">
      <c r="D124" s="744"/>
    </row>
    <row r="125" spans="4:4">
      <c r="D125" s="744"/>
    </row>
    <row r="126" spans="4:4">
      <c r="D126" s="744"/>
    </row>
    <row r="127" spans="4:4">
      <c r="D127" s="744"/>
    </row>
    <row r="128" spans="4:4">
      <c r="D128" s="744"/>
    </row>
    <row r="129" spans="4:4">
      <c r="D129" s="744"/>
    </row>
    <row r="130" spans="4:4">
      <c r="D130" s="744"/>
    </row>
    <row r="131" spans="4:4">
      <c r="D131" s="744"/>
    </row>
    <row r="132" spans="4:4">
      <c r="D132" s="744"/>
    </row>
    <row r="133" spans="4:4">
      <c r="D133" s="744"/>
    </row>
    <row r="134" spans="4:4">
      <c r="D134" s="744"/>
    </row>
    <row r="135" spans="4:4">
      <c r="D135" s="744"/>
    </row>
    <row r="136" spans="4:4">
      <c r="D136" s="744"/>
    </row>
    <row r="137" spans="4:4">
      <c r="D137" s="744"/>
    </row>
    <row r="138" spans="4:4">
      <c r="D138" s="744"/>
    </row>
  </sheetData>
  <mergeCells count="12">
    <mergeCell ref="L45:P45"/>
    <mergeCell ref="A1:N1"/>
    <mergeCell ref="A3:N3"/>
    <mergeCell ref="A5:N5"/>
    <mergeCell ref="C7:N7"/>
    <mergeCell ref="A10:P10"/>
    <mergeCell ref="D43:H43"/>
    <mergeCell ref="AA8:AC8"/>
    <mergeCell ref="Z8:Z9"/>
    <mergeCell ref="D42:H42"/>
    <mergeCell ref="A22:P22"/>
    <mergeCell ref="A27:P27"/>
  </mergeCells>
  <pageMargins left="0.7" right="0.7" top="0.75" bottom="0.75" header="0.3" footer="0.3"/>
  <pageSetup scale="33" fitToHeight="100" orientation="landscape"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22525-DD2B-4FAF-9932-79C6098AAB08}">
  <sheetPr>
    <pageSetUpPr fitToPage="1"/>
  </sheetPr>
  <dimension ref="A1:O57"/>
  <sheetViews>
    <sheetView zoomScaleNormal="100" workbookViewId="0">
      <selection activeCell="B1" sqref="B1:N1"/>
    </sheetView>
  </sheetViews>
  <sheetFormatPr defaultRowHeight="15"/>
  <cols>
    <col min="2" max="2" width="5.77734375" customWidth="1"/>
    <col min="3" max="3" width="19.109375" bestFit="1" customWidth="1"/>
    <col min="4" max="4" width="12.109375" bestFit="1" customWidth="1"/>
    <col min="5" max="5" width="16.5546875" bestFit="1" customWidth="1"/>
    <col min="6" max="9" width="10.109375" bestFit="1" customWidth="1"/>
    <col min="11" max="12" width="12.109375" bestFit="1" customWidth="1"/>
    <col min="13" max="13" width="10.33203125" customWidth="1"/>
    <col min="14" max="14" width="14.5546875" bestFit="1" customWidth="1"/>
  </cols>
  <sheetData>
    <row r="1" spans="1:14" ht="15.75">
      <c r="B1" s="824" t="str">
        <f>+Operations!B1</f>
        <v>BAINBRIDGE DISPOSAL, INC.</v>
      </c>
      <c r="C1" s="824"/>
      <c r="D1" s="824"/>
      <c r="E1" s="824"/>
      <c r="F1" s="824"/>
      <c r="G1" s="824"/>
      <c r="H1" s="824"/>
      <c r="I1" s="824"/>
      <c r="J1" s="824"/>
      <c r="K1" s="824"/>
      <c r="L1" s="824"/>
      <c r="M1" s="824"/>
      <c r="N1" s="824"/>
    </row>
    <row r="3" spans="1:14" ht="15.75">
      <c r="A3" s="824" t="s">
        <v>1295</v>
      </c>
      <c r="B3" s="824"/>
      <c r="C3" s="824"/>
      <c r="D3" s="824"/>
      <c r="E3" s="824"/>
      <c r="F3" s="824"/>
      <c r="G3" s="824"/>
      <c r="H3" s="824"/>
      <c r="I3" s="824"/>
      <c r="J3" s="824"/>
      <c r="K3" s="824"/>
      <c r="L3" s="824"/>
      <c r="M3" s="824"/>
      <c r="N3" s="824"/>
    </row>
    <row r="5" spans="1:14" ht="15.75">
      <c r="A5" s="824" t="str">
        <f>+'WP-1 Rate Case Cost'!A5:G5</f>
        <v>In Support of Tariff No. 18, G-143, effective March 1, 2024</v>
      </c>
      <c r="B5" s="824"/>
      <c r="C5" s="824"/>
      <c r="D5" s="824"/>
      <c r="E5" s="824"/>
      <c r="F5" s="824"/>
      <c r="G5" s="824"/>
      <c r="H5" s="824"/>
      <c r="I5" s="824"/>
      <c r="J5" s="824"/>
      <c r="K5" s="824"/>
      <c r="L5" s="824"/>
      <c r="M5" s="824"/>
      <c r="N5" s="824"/>
    </row>
    <row r="8" spans="1:14" ht="16.5" thickBot="1">
      <c r="B8" s="331" t="s">
        <v>1013</v>
      </c>
      <c r="C8" s="332" t="s">
        <v>1014</v>
      </c>
      <c r="D8" s="333" t="s">
        <v>1015</v>
      </c>
      <c r="E8" s="333" t="s">
        <v>1016</v>
      </c>
      <c r="F8" s="857" t="s">
        <v>1017</v>
      </c>
      <c r="G8" s="857"/>
      <c r="H8" s="857"/>
      <c r="I8" s="857"/>
      <c r="L8" s="750" t="s">
        <v>1293</v>
      </c>
      <c r="N8" s="750" t="s">
        <v>1294</v>
      </c>
    </row>
    <row r="9" spans="1:14" ht="16.5" thickBot="1">
      <c r="B9" s="858" t="s">
        <v>1018</v>
      </c>
      <c r="C9" s="859"/>
      <c r="D9" s="859"/>
      <c r="E9" s="859"/>
      <c r="F9" s="859"/>
      <c r="G9" s="859"/>
      <c r="H9" s="859"/>
      <c r="I9" s="860"/>
      <c r="K9" s="750" t="s">
        <v>185</v>
      </c>
      <c r="L9" s="750" t="s">
        <v>185</v>
      </c>
      <c r="M9" s="750" t="s">
        <v>0</v>
      </c>
      <c r="N9" s="750" t="s">
        <v>1083</v>
      </c>
    </row>
    <row r="10" spans="1:14" ht="15.75">
      <c r="B10" s="334"/>
      <c r="C10" s="335"/>
      <c r="D10" s="335"/>
      <c r="E10" s="335"/>
      <c r="F10" s="861">
        <v>2022</v>
      </c>
      <c r="G10" s="862"/>
      <c r="H10" s="863" t="s">
        <v>1019</v>
      </c>
      <c r="I10" s="864"/>
    </row>
    <row r="11" spans="1:14" ht="15" customHeight="1">
      <c r="B11" s="336"/>
      <c r="C11" s="337"/>
      <c r="D11" s="338"/>
      <c r="E11" s="337"/>
      <c r="F11" s="339" t="s">
        <v>185</v>
      </c>
      <c r="G11" s="340" t="s">
        <v>1020</v>
      </c>
      <c r="H11" s="341" t="s">
        <v>185</v>
      </c>
      <c r="I11" s="342" t="s">
        <v>1020</v>
      </c>
      <c r="K11" s="170"/>
      <c r="L11" s="170"/>
      <c r="M11" s="170"/>
      <c r="N11" s="170"/>
    </row>
    <row r="12" spans="1:14">
      <c r="B12" s="343">
        <v>10</v>
      </c>
      <c r="C12" s="344" t="s">
        <v>1021</v>
      </c>
      <c r="D12" s="206" t="s">
        <v>191</v>
      </c>
      <c r="E12" s="345" t="s">
        <v>31</v>
      </c>
      <c r="F12" s="346">
        <v>12781</v>
      </c>
      <c r="G12" s="347"/>
      <c r="H12" s="348">
        <v>8761</v>
      </c>
      <c r="I12" s="349"/>
      <c r="K12" s="170"/>
      <c r="L12" s="170"/>
      <c r="M12" s="170"/>
      <c r="N12" s="170"/>
    </row>
    <row r="13" spans="1:14">
      <c r="B13" s="350"/>
      <c r="C13" s="351" t="s">
        <v>1022</v>
      </c>
      <c r="D13" s="352" t="s">
        <v>1023</v>
      </c>
      <c r="E13" s="353"/>
      <c r="F13" s="354"/>
      <c r="G13" s="338"/>
      <c r="H13" s="355"/>
      <c r="I13" s="356"/>
      <c r="K13" s="170"/>
      <c r="L13" s="170"/>
      <c r="M13" s="170"/>
      <c r="N13" s="170"/>
    </row>
    <row r="14" spans="1:14">
      <c r="B14" s="350">
        <v>16</v>
      </c>
      <c r="C14" s="357" t="s">
        <v>1024</v>
      </c>
      <c r="D14" s="358" t="s">
        <v>191</v>
      </c>
      <c r="E14" s="353" t="s">
        <v>1025</v>
      </c>
      <c r="F14" s="354">
        <v>8681</v>
      </c>
      <c r="G14" s="338"/>
      <c r="H14" s="355">
        <v>6621</v>
      </c>
      <c r="I14" s="356"/>
      <c r="K14" s="169"/>
      <c r="L14" s="169"/>
      <c r="M14" s="169"/>
      <c r="N14" s="169"/>
    </row>
    <row r="15" spans="1:14">
      <c r="B15" s="350"/>
      <c r="C15" s="351" t="s">
        <v>1026</v>
      </c>
      <c r="D15" s="352" t="s">
        <v>1023</v>
      </c>
      <c r="E15" s="353"/>
      <c r="F15" s="354"/>
      <c r="G15" s="338"/>
      <c r="H15" s="355"/>
      <c r="I15" s="356"/>
      <c r="K15" s="169"/>
      <c r="L15" s="169"/>
      <c r="M15" s="169"/>
      <c r="N15" s="169"/>
    </row>
    <row r="16" spans="1:14">
      <c r="B16" s="359">
        <v>28</v>
      </c>
      <c r="C16" s="351" t="s">
        <v>1027</v>
      </c>
      <c r="D16" s="352" t="s">
        <v>191</v>
      </c>
      <c r="E16" s="353"/>
      <c r="F16" s="354">
        <v>48691</v>
      </c>
      <c r="G16" s="338"/>
      <c r="H16" s="355"/>
      <c r="I16" s="356"/>
      <c r="K16" s="169"/>
      <c r="L16" s="169"/>
      <c r="M16" s="169"/>
      <c r="N16" s="169"/>
    </row>
    <row r="17" spans="2:14">
      <c r="B17" s="350">
        <v>9</v>
      </c>
      <c r="C17" s="357" t="s">
        <v>1028</v>
      </c>
      <c r="D17" s="352" t="s">
        <v>191</v>
      </c>
      <c r="E17" s="353" t="s">
        <v>31</v>
      </c>
      <c r="F17" s="354">
        <v>4516</v>
      </c>
      <c r="G17" s="338"/>
      <c r="H17" s="355">
        <v>5975</v>
      </c>
      <c r="I17" s="356">
        <v>3796</v>
      </c>
      <c r="K17" s="169"/>
      <c r="L17" s="169"/>
      <c r="M17" s="169"/>
      <c r="N17" s="169"/>
    </row>
    <row r="18" spans="2:14">
      <c r="B18" s="350">
        <v>1</v>
      </c>
      <c r="C18" s="357" t="s">
        <v>1029</v>
      </c>
      <c r="D18" s="358" t="s">
        <v>191</v>
      </c>
      <c r="E18" s="353" t="s">
        <v>1030</v>
      </c>
      <c r="F18" s="354">
        <v>6970</v>
      </c>
      <c r="G18" s="338">
        <v>1405</v>
      </c>
      <c r="H18" s="355">
        <v>5498</v>
      </c>
      <c r="I18" s="356">
        <v>988</v>
      </c>
    </row>
    <row r="19" spans="2:14">
      <c r="B19" s="350">
        <v>19</v>
      </c>
      <c r="C19" s="357" t="s">
        <v>1031</v>
      </c>
      <c r="D19" s="352" t="s">
        <v>1032</v>
      </c>
      <c r="E19" s="353" t="s">
        <v>1025</v>
      </c>
      <c r="F19" s="354">
        <v>8816</v>
      </c>
      <c r="G19" s="338"/>
      <c r="H19" s="355">
        <v>7439</v>
      </c>
      <c r="I19" s="356"/>
    </row>
    <row r="20" spans="2:14">
      <c r="B20" s="350">
        <v>15</v>
      </c>
      <c r="C20" s="357" t="s">
        <v>1033</v>
      </c>
      <c r="D20" s="352" t="s">
        <v>1034</v>
      </c>
      <c r="E20" s="360"/>
      <c r="F20" s="361"/>
      <c r="G20" s="362"/>
      <c r="H20" s="363"/>
      <c r="I20" s="364"/>
    </row>
    <row r="21" spans="2:14">
      <c r="B21" s="350">
        <v>5</v>
      </c>
      <c r="C21" s="351" t="s">
        <v>1035</v>
      </c>
      <c r="D21" s="352" t="s">
        <v>1036</v>
      </c>
      <c r="E21" s="365">
        <v>2022</v>
      </c>
      <c r="F21" s="354">
        <v>39763</v>
      </c>
      <c r="G21" s="338"/>
      <c r="H21" s="355"/>
      <c r="I21" s="356"/>
    </row>
    <row r="22" spans="2:14" ht="15.75" thickBot="1">
      <c r="B22" s="366">
        <v>5</v>
      </c>
      <c r="C22" s="367" t="s">
        <v>1037</v>
      </c>
      <c r="D22" s="368"/>
      <c r="E22" s="369">
        <v>2023</v>
      </c>
      <c r="F22" s="370"/>
      <c r="G22" s="370"/>
      <c r="H22" s="371">
        <v>34078</v>
      </c>
      <c r="I22" s="372"/>
      <c r="K22">
        <f>SUM(F12:F22)</f>
        <v>130218</v>
      </c>
      <c r="L22">
        <f>SUM(G12:G22)</f>
        <v>1405</v>
      </c>
      <c r="M22">
        <f>+K22+L22</f>
        <v>131623</v>
      </c>
      <c r="N22" s="373">
        <f>+L22/M22</f>
        <v>1.0674426202107535E-2</v>
      </c>
    </row>
    <row r="23" spans="2:14">
      <c r="B23" s="206"/>
      <c r="C23" s="374"/>
      <c r="D23" s="375"/>
      <c r="F23" s="206"/>
      <c r="G23" s="206"/>
    </row>
    <row r="24" spans="2:14" ht="15.75" thickBot="1">
      <c r="B24" s="206"/>
      <c r="C24" s="374"/>
      <c r="D24" s="375"/>
      <c r="F24" s="206"/>
      <c r="G24" s="206"/>
    </row>
    <row r="25" spans="2:14" ht="16.5" thickBot="1">
      <c r="B25" s="865" t="s">
        <v>1038</v>
      </c>
      <c r="C25" s="866"/>
      <c r="D25" s="866"/>
      <c r="E25" s="866"/>
      <c r="F25" s="866"/>
      <c r="G25" s="866"/>
      <c r="H25" s="866"/>
      <c r="I25" s="867"/>
    </row>
    <row r="26" spans="2:14">
      <c r="B26" s="343">
        <v>22</v>
      </c>
      <c r="C26" s="344" t="s">
        <v>1039</v>
      </c>
      <c r="D26" s="376" t="s">
        <v>1032</v>
      </c>
      <c r="E26" s="377" t="s">
        <v>1040</v>
      </c>
      <c r="F26" s="378">
        <v>7984</v>
      </c>
      <c r="G26" s="347">
        <v>1906</v>
      </c>
      <c r="H26" s="379">
        <v>6681</v>
      </c>
      <c r="I26" s="349">
        <v>2130</v>
      </c>
    </row>
    <row r="27" spans="2:14">
      <c r="B27" s="350">
        <v>4</v>
      </c>
      <c r="C27" s="357" t="s">
        <v>1041</v>
      </c>
      <c r="D27" s="358" t="s">
        <v>1032</v>
      </c>
      <c r="E27" s="337" t="s">
        <v>1042</v>
      </c>
      <c r="F27" s="380">
        <v>8430</v>
      </c>
      <c r="G27" s="338">
        <v>5841</v>
      </c>
      <c r="H27" s="337">
        <v>3299</v>
      </c>
      <c r="I27" s="356">
        <v>2041</v>
      </c>
    </row>
    <row r="28" spans="2:14">
      <c r="B28" s="350">
        <v>20</v>
      </c>
      <c r="C28" s="357" t="s">
        <v>1043</v>
      </c>
      <c r="D28" s="338" t="s">
        <v>1032</v>
      </c>
      <c r="E28" s="337"/>
      <c r="F28" s="380">
        <v>10532</v>
      </c>
      <c r="G28" s="338">
        <v>336</v>
      </c>
      <c r="H28" s="337">
        <v>8180</v>
      </c>
      <c r="I28" s="356">
        <v>294</v>
      </c>
    </row>
    <row r="29" spans="2:14" ht="16.5" thickBot="1">
      <c r="B29" s="381">
        <v>27</v>
      </c>
      <c r="C29" s="382" t="s">
        <v>1044</v>
      </c>
      <c r="D29" s="383" t="s">
        <v>1032</v>
      </c>
      <c r="E29" s="384" t="s">
        <v>1045</v>
      </c>
      <c r="F29" s="385">
        <v>9525</v>
      </c>
      <c r="G29" s="386">
        <v>2473</v>
      </c>
      <c r="H29" s="387">
        <v>8529</v>
      </c>
      <c r="I29" s="388">
        <v>1548</v>
      </c>
      <c r="K29">
        <f>SUM(F26:F29)</f>
        <v>36471</v>
      </c>
      <c r="L29">
        <f>SUM(G26:G29)</f>
        <v>10556</v>
      </c>
      <c r="M29">
        <f>+K29+L29</f>
        <v>47027</v>
      </c>
      <c r="N29" s="373">
        <f>+L29/M29</f>
        <v>0.22446679567057223</v>
      </c>
    </row>
    <row r="30" spans="2:14" ht="16.5" thickBot="1">
      <c r="B30" s="389"/>
      <c r="C30" s="374"/>
      <c r="D30" s="375"/>
      <c r="E30" s="390"/>
      <c r="F30" s="206"/>
      <c r="G30" s="206"/>
    </row>
    <row r="31" spans="2:14" ht="16.5" thickBot="1">
      <c r="B31" s="865" t="s">
        <v>1046</v>
      </c>
      <c r="C31" s="866"/>
      <c r="D31" s="866"/>
      <c r="E31" s="866"/>
      <c r="F31" s="866"/>
      <c r="G31" s="866"/>
      <c r="H31" s="866"/>
      <c r="I31" s="867"/>
    </row>
    <row r="32" spans="2:14">
      <c r="B32" s="350"/>
      <c r="C32" s="351" t="s">
        <v>1047</v>
      </c>
      <c r="D32" s="352" t="s">
        <v>1048</v>
      </c>
      <c r="E32" s="337"/>
      <c r="F32" s="354" t="s">
        <v>1049</v>
      </c>
      <c r="G32" s="338"/>
      <c r="H32" s="355"/>
      <c r="I32" s="356"/>
    </row>
    <row r="33" spans="2:14" ht="15.75">
      <c r="B33" s="391">
        <v>11</v>
      </c>
      <c r="C33" s="392" t="s">
        <v>1050</v>
      </c>
      <c r="D33" s="376" t="s">
        <v>1051</v>
      </c>
      <c r="E33" s="379"/>
      <c r="F33" s="378">
        <v>5805</v>
      </c>
      <c r="G33" s="347"/>
      <c r="H33" s="379">
        <v>8062</v>
      </c>
      <c r="I33" s="349"/>
    </row>
    <row r="34" spans="2:14">
      <c r="B34" s="350"/>
      <c r="C34" s="351" t="s">
        <v>1037</v>
      </c>
      <c r="D34" s="352" t="s">
        <v>1052</v>
      </c>
      <c r="E34" s="338" t="s">
        <v>1053</v>
      </c>
      <c r="F34" s="354"/>
      <c r="G34" s="338"/>
      <c r="H34" s="355"/>
      <c r="I34" s="356"/>
    </row>
    <row r="35" spans="2:14" ht="15.75">
      <c r="B35" s="393"/>
      <c r="C35" s="351" t="s">
        <v>1054</v>
      </c>
      <c r="D35" s="338" t="s">
        <v>1055</v>
      </c>
      <c r="E35" s="337"/>
      <c r="F35" s="380"/>
      <c r="G35" s="338"/>
      <c r="H35" s="337"/>
      <c r="I35" s="356"/>
    </row>
    <row r="36" spans="2:14" ht="15.75">
      <c r="B36" s="393"/>
      <c r="C36" s="351" t="s">
        <v>1056</v>
      </c>
      <c r="D36" s="352" t="s">
        <v>1055</v>
      </c>
      <c r="E36" s="337"/>
      <c r="F36" s="380"/>
      <c r="G36" s="338"/>
      <c r="H36" s="337"/>
      <c r="I36" s="356"/>
    </row>
    <row r="37" spans="2:14" ht="15.75">
      <c r="B37" s="393"/>
      <c r="C37" s="351" t="s">
        <v>1057</v>
      </c>
      <c r="D37" s="352" t="s">
        <v>1055</v>
      </c>
      <c r="E37" s="337"/>
      <c r="F37" s="380"/>
      <c r="G37" s="338"/>
      <c r="H37" s="337"/>
      <c r="I37" s="356"/>
    </row>
    <row r="38" spans="2:14">
      <c r="B38" s="350"/>
      <c r="C38" s="357" t="s">
        <v>1058</v>
      </c>
      <c r="D38" s="358" t="s">
        <v>1048</v>
      </c>
      <c r="E38" s="337"/>
      <c r="F38" s="394">
        <v>1</v>
      </c>
      <c r="G38" s="338"/>
      <c r="H38" s="337"/>
      <c r="I38" s="356"/>
    </row>
    <row r="39" spans="2:14" ht="15.75">
      <c r="B39" s="393"/>
      <c r="C39" s="351" t="s">
        <v>1059</v>
      </c>
      <c r="D39" s="338" t="s">
        <v>1060</v>
      </c>
      <c r="E39" s="337"/>
      <c r="F39" s="380"/>
      <c r="G39" s="338"/>
      <c r="H39" s="337"/>
      <c r="I39" s="356"/>
    </row>
    <row r="40" spans="2:14" ht="15.75">
      <c r="B40" s="393"/>
      <c r="C40" s="351" t="s">
        <v>1061</v>
      </c>
      <c r="D40" s="352" t="s">
        <v>1062</v>
      </c>
      <c r="E40" s="337"/>
      <c r="F40" s="380"/>
      <c r="G40" s="338"/>
      <c r="H40" s="337"/>
      <c r="I40" s="356"/>
    </row>
    <row r="41" spans="2:14" ht="16.5" thickBot="1">
      <c r="B41" s="395"/>
      <c r="C41" s="396" t="s">
        <v>1063</v>
      </c>
      <c r="D41" s="397" t="s">
        <v>1055</v>
      </c>
      <c r="E41" s="371"/>
      <c r="F41" s="398"/>
      <c r="G41" s="370"/>
      <c r="H41" s="371"/>
      <c r="I41" s="372"/>
      <c r="K41">
        <f>+F33</f>
        <v>5805</v>
      </c>
      <c r="L41">
        <v>0</v>
      </c>
      <c r="M41">
        <f>+K41+L41</f>
        <v>5805</v>
      </c>
      <c r="N41" s="373">
        <f>+L41/M41</f>
        <v>0</v>
      </c>
    </row>
    <row r="42" spans="2:14" ht="16.5" thickBot="1">
      <c r="B42" s="389"/>
      <c r="C42" s="374"/>
      <c r="D42" s="375"/>
      <c r="F42" s="206"/>
      <c r="G42" s="206"/>
    </row>
    <row r="43" spans="2:14" ht="16.5" thickBot="1">
      <c r="B43" s="868" t="s">
        <v>1064</v>
      </c>
      <c r="C43" s="869"/>
      <c r="D43" s="869"/>
      <c r="E43" s="869"/>
      <c r="F43" s="869"/>
      <c r="G43" s="869"/>
      <c r="H43" s="869"/>
      <c r="I43" s="870"/>
    </row>
    <row r="44" spans="2:14" ht="15.75" thickBot="1">
      <c r="B44" s="399">
        <v>26</v>
      </c>
      <c r="C44" s="400" t="s">
        <v>1065</v>
      </c>
      <c r="D44" s="401" t="s">
        <v>1066</v>
      </c>
      <c r="E44" s="387"/>
      <c r="F44" s="385">
        <v>1537</v>
      </c>
      <c r="G44" s="386">
        <v>13525</v>
      </c>
      <c r="H44" s="387">
        <v>1794</v>
      </c>
      <c r="I44" s="388">
        <v>12297</v>
      </c>
      <c r="K44">
        <f>+F44</f>
        <v>1537</v>
      </c>
      <c r="L44">
        <f>+G44</f>
        <v>13525</v>
      </c>
      <c r="M44">
        <f>+K44+L44</f>
        <v>15062</v>
      </c>
      <c r="N44" s="402">
        <f>+L44/M44</f>
        <v>0.8979551188421192</v>
      </c>
    </row>
    <row r="45" spans="2:14" ht="15.75" thickBot="1">
      <c r="B45" s="206"/>
      <c r="C45" s="403"/>
      <c r="D45" s="375"/>
      <c r="F45" s="206"/>
      <c r="G45" s="206"/>
    </row>
    <row r="46" spans="2:14" ht="16.5" thickBot="1">
      <c r="B46" s="853" t="s">
        <v>1067</v>
      </c>
      <c r="C46" s="854"/>
      <c r="D46" s="854"/>
      <c r="E46" s="854"/>
      <c r="F46" s="854"/>
      <c r="G46" s="854"/>
      <c r="H46" s="854"/>
      <c r="I46" s="855"/>
    </row>
    <row r="47" spans="2:14">
      <c r="B47" s="343">
        <v>6</v>
      </c>
      <c r="C47" s="392" t="s">
        <v>1068</v>
      </c>
      <c r="D47" s="376" t="s">
        <v>1069</v>
      </c>
      <c r="E47" s="379"/>
      <c r="F47" s="378"/>
      <c r="G47" s="347"/>
      <c r="H47" s="379">
        <v>19285</v>
      </c>
      <c r="I47" s="349"/>
    </row>
    <row r="48" spans="2:14">
      <c r="B48" s="350"/>
      <c r="C48" s="357" t="s">
        <v>1070</v>
      </c>
      <c r="D48" s="338" t="s">
        <v>1071</v>
      </c>
      <c r="E48" s="337"/>
      <c r="F48" s="380"/>
      <c r="G48" s="338"/>
      <c r="H48" s="337"/>
      <c r="I48" s="356"/>
    </row>
    <row r="49" spans="2:15" ht="15" customHeight="1">
      <c r="B49" s="350"/>
      <c r="C49" s="357" t="s">
        <v>1072</v>
      </c>
      <c r="D49" s="358" t="s">
        <v>1023</v>
      </c>
      <c r="E49" s="337"/>
      <c r="F49" s="380"/>
      <c r="G49" s="338"/>
      <c r="H49" s="337"/>
      <c r="I49" s="356"/>
      <c r="K49" s="856" t="s">
        <v>1073</v>
      </c>
      <c r="L49" s="856"/>
      <c r="M49" s="856"/>
      <c r="N49" s="856"/>
    </row>
    <row r="50" spans="2:15">
      <c r="B50" s="350">
        <v>24</v>
      </c>
      <c r="C50" s="351" t="s">
        <v>1074</v>
      </c>
      <c r="D50" s="352" t="s">
        <v>1075</v>
      </c>
      <c r="E50" s="338" t="s">
        <v>1076</v>
      </c>
      <c r="F50" s="380">
        <v>50219</v>
      </c>
      <c r="G50" s="338"/>
      <c r="H50" s="337">
        <v>31994</v>
      </c>
      <c r="I50" s="356"/>
      <c r="K50" s="856"/>
      <c r="L50" s="856"/>
      <c r="M50" s="856"/>
      <c r="N50" s="856"/>
    </row>
    <row r="51" spans="2:15">
      <c r="B51" s="350"/>
      <c r="C51" s="351" t="s">
        <v>1077</v>
      </c>
      <c r="D51" s="352" t="s">
        <v>1023</v>
      </c>
      <c r="E51" s="338"/>
      <c r="F51" s="380"/>
      <c r="G51" s="338"/>
      <c r="H51" s="337"/>
      <c r="I51" s="356"/>
      <c r="K51" s="856"/>
      <c r="L51" s="856"/>
      <c r="M51" s="856"/>
      <c r="N51" s="856"/>
    </row>
    <row r="52" spans="2:15">
      <c r="B52" s="350">
        <v>25</v>
      </c>
      <c r="C52" s="357" t="s">
        <v>1078</v>
      </c>
      <c r="D52" s="358" t="s">
        <v>1075</v>
      </c>
      <c r="E52" s="338" t="s">
        <v>1076</v>
      </c>
      <c r="F52" s="380">
        <v>53722</v>
      </c>
      <c r="G52" s="338"/>
      <c r="H52" s="337">
        <v>40542</v>
      </c>
      <c r="I52" s="356"/>
      <c r="K52" s="856"/>
      <c r="L52" s="856"/>
      <c r="M52" s="856"/>
      <c r="N52" s="856"/>
    </row>
    <row r="53" spans="2:15">
      <c r="B53" s="350"/>
      <c r="C53" s="404" t="s">
        <v>1079</v>
      </c>
      <c r="D53" s="352" t="s">
        <v>1080</v>
      </c>
      <c r="E53" s="338"/>
      <c r="F53" s="380"/>
      <c r="G53" s="338"/>
      <c r="H53" s="337"/>
      <c r="I53" s="356"/>
      <c r="K53" s="856"/>
      <c r="L53" s="856"/>
      <c r="M53" s="856"/>
      <c r="N53" s="856"/>
    </row>
    <row r="54" spans="2:15" ht="15.75" thickBot="1">
      <c r="B54" s="405">
        <v>23</v>
      </c>
      <c r="C54" s="406" t="s">
        <v>1035</v>
      </c>
      <c r="D54" s="407" t="s">
        <v>1075</v>
      </c>
      <c r="E54" s="370" t="s">
        <v>1076</v>
      </c>
      <c r="F54" s="398"/>
      <c r="G54" s="370"/>
      <c r="H54" s="371"/>
      <c r="I54" s="372"/>
    </row>
    <row r="55" spans="2:15">
      <c r="K55" s="749"/>
      <c r="L55" s="749"/>
      <c r="M55" s="749"/>
    </row>
    <row r="56" spans="2:15">
      <c r="K56">
        <f>+K22+K29+K44+K41</f>
        <v>174031</v>
      </c>
      <c r="L56">
        <f t="shared" ref="L56" si="0">+L22+L29+L44+L41</f>
        <v>25486</v>
      </c>
      <c r="M56">
        <f>+K56+L56</f>
        <v>199517</v>
      </c>
      <c r="N56" s="747">
        <f>+L56/M56</f>
        <v>0.12773848844960581</v>
      </c>
      <c r="O56" s="155" t="s">
        <v>1292</v>
      </c>
    </row>
    <row r="57" spans="2:15">
      <c r="N57" s="748">
        <f>1-N56</f>
        <v>0.87226151155039422</v>
      </c>
      <c r="O57" s="155" t="s">
        <v>1083</v>
      </c>
    </row>
  </sheetData>
  <mergeCells count="12">
    <mergeCell ref="A5:N5"/>
    <mergeCell ref="A3:N3"/>
    <mergeCell ref="B1:N1"/>
    <mergeCell ref="B31:I31"/>
    <mergeCell ref="B43:I43"/>
    <mergeCell ref="B46:I46"/>
    <mergeCell ref="K49:N53"/>
    <mergeCell ref="F8:I8"/>
    <mergeCell ref="B9:I9"/>
    <mergeCell ref="F10:G10"/>
    <mergeCell ref="H10:I10"/>
    <mergeCell ref="B25:I25"/>
  </mergeCells>
  <pageMargins left="0.7" right="0.7" top="0.75" bottom="0.75" header="0.3" footer="0.3"/>
  <pageSetup scale="57" fitToHeight="0" orientation="landscape"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T112"/>
  <sheetViews>
    <sheetView zoomScaleNormal="100" workbookViewId="0">
      <selection activeCell="A3" sqref="A3"/>
    </sheetView>
  </sheetViews>
  <sheetFormatPr defaultRowHeight="15"/>
  <cols>
    <col min="1" max="6" width="2.44140625" style="208" customWidth="1"/>
    <col min="7" max="7" width="22" style="208" customWidth="1"/>
    <col min="8" max="8" width="10.44140625" style="209" bestFit="1" customWidth="1"/>
    <col min="9" max="10" width="9.77734375" style="209" bestFit="1" customWidth="1"/>
    <col min="11" max="13" width="9.88671875" style="209" bestFit="1" customWidth="1"/>
    <col min="14" max="14" width="9.5546875" style="209" bestFit="1" customWidth="1"/>
    <col min="15" max="15" width="9.77734375" style="209" bestFit="1" customWidth="1"/>
    <col min="16" max="16" width="9.5546875" style="209" bestFit="1" customWidth="1"/>
    <col min="17" max="17" width="9.33203125" style="209" bestFit="1" customWidth="1"/>
    <col min="18" max="18" width="9.5546875" style="209" bestFit="1" customWidth="1"/>
    <col min="19" max="19" width="10.109375" style="209" bestFit="1" customWidth="1"/>
    <col min="20" max="20" width="11" style="209" bestFit="1" customWidth="1"/>
  </cols>
  <sheetData>
    <row r="1" spans="1:20">
      <c r="A1" s="202" t="s">
        <v>390</v>
      </c>
      <c r="B1" s="203"/>
      <c r="C1" s="203"/>
      <c r="D1" s="203"/>
      <c r="E1" s="203"/>
      <c r="F1" s="203"/>
      <c r="G1" s="203"/>
      <c r="H1" s="143"/>
      <c r="I1" s="143"/>
      <c r="J1" s="143"/>
      <c r="K1" s="143"/>
      <c r="L1" s="143"/>
      <c r="M1" s="143"/>
      <c r="N1" s="143"/>
      <c r="O1" s="143"/>
      <c r="P1" s="143"/>
      <c r="Q1" s="143"/>
      <c r="R1" s="143"/>
      <c r="S1" s="143"/>
      <c r="T1" s="144" t="s">
        <v>657</v>
      </c>
    </row>
    <row r="2" spans="1:20" ht="18">
      <c r="A2" s="204" t="s">
        <v>1300</v>
      </c>
      <c r="B2" s="203"/>
      <c r="C2" s="203"/>
      <c r="D2" s="203"/>
      <c r="E2" s="203"/>
      <c r="F2" s="203"/>
      <c r="G2" s="203"/>
      <c r="H2" s="143"/>
      <c r="I2" s="143"/>
      <c r="J2" s="143"/>
      <c r="K2" s="143"/>
      <c r="L2" s="143"/>
      <c r="M2" s="143"/>
      <c r="N2" s="143"/>
      <c r="O2" s="143"/>
      <c r="P2" s="143"/>
      <c r="Q2" s="143"/>
      <c r="R2" s="143"/>
      <c r="S2" s="143"/>
      <c r="T2" s="145">
        <v>45063</v>
      </c>
    </row>
    <row r="3" spans="1:20">
      <c r="A3" s="202" t="s">
        <v>611</v>
      </c>
      <c r="B3" s="203"/>
      <c r="C3" s="203"/>
      <c r="D3" s="203"/>
      <c r="E3" s="203"/>
      <c r="F3" s="203"/>
      <c r="G3" s="203"/>
      <c r="H3" s="143"/>
      <c r="I3" s="143"/>
      <c r="J3" s="143"/>
      <c r="K3" s="143"/>
      <c r="L3" s="143"/>
      <c r="M3" s="143"/>
      <c r="N3" s="143"/>
      <c r="O3" s="143"/>
      <c r="P3" s="143"/>
      <c r="Q3" s="143"/>
      <c r="R3" s="143"/>
      <c r="S3" s="143"/>
      <c r="T3" s="144" t="s">
        <v>394</v>
      </c>
    </row>
    <row r="4" spans="1:20" s="206" customFormat="1" ht="15.75" thickBot="1">
      <c r="A4" s="147"/>
      <c r="B4" s="147"/>
      <c r="C4" s="147"/>
      <c r="D4" s="147"/>
      <c r="E4" s="147"/>
      <c r="F4" s="147"/>
      <c r="G4" s="147"/>
      <c r="H4" s="205" t="s">
        <v>658</v>
      </c>
      <c r="I4" s="205" t="s">
        <v>659</v>
      </c>
      <c r="J4" s="205" t="s">
        <v>660</v>
      </c>
      <c r="K4" s="205" t="s">
        <v>661</v>
      </c>
      <c r="L4" s="205" t="s">
        <v>662</v>
      </c>
      <c r="M4" s="205" t="s">
        <v>663</v>
      </c>
      <c r="N4" s="205" t="s">
        <v>664</v>
      </c>
      <c r="O4" s="205" t="s">
        <v>665</v>
      </c>
      <c r="P4" s="205" t="s">
        <v>666</v>
      </c>
      <c r="Q4" s="205" t="s">
        <v>667</v>
      </c>
      <c r="R4" s="205" t="s">
        <v>668</v>
      </c>
      <c r="S4" s="205" t="s">
        <v>669</v>
      </c>
      <c r="T4" s="205" t="s">
        <v>5</v>
      </c>
    </row>
    <row r="5" spans="1:20" ht="15.75" thickTop="1">
      <c r="A5" s="146"/>
      <c r="B5" s="146" t="s">
        <v>206</v>
      </c>
      <c r="C5" s="146"/>
      <c r="D5" s="146"/>
      <c r="E5" s="146"/>
      <c r="F5" s="146"/>
      <c r="G5" s="146"/>
      <c r="H5" s="149"/>
      <c r="I5" s="149"/>
      <c r="J5" s="149"/>
      <c r="K5" s="149"/>
      <c r="L5" s="149"/>
      <c r="M5" s="149"/>
      <c r="N5" s="149"/>
      <c r="O5" s="149"/>
      <c r="P5" s="149"/>
      <c r="Q5" s="149"/>
      <c r="R5" s="149"/>
      <c r="S5" s="149"/>
      <c r="T5" s="149"/>
    </row>
    <row r="6" spans="1:20">
      <c r="A6" s="146"/>
      <c r="B6" s="146"/>
      <c r="C6" s="146"/>
      <c r="D6" s="146" t="s">
        <v>186</v>
      </c>
      <c r="E6" s="146"/>
      <c r="F6" s="146"/>
      <c r="G6" s="146"/>
      <c r="H6" s="149"/>
      <c r="I6" s="149"/>
      <c r="J6" s="149"/>
      <c r="K6" s="149"/>
      <c r="L6" s="149"/>
      <c r="M6" s="149"/>
      <c r="N6" s="149"/>
      <c r="O6" s="149"/>
      <c r="P6" s="149"/>
      <c r="Q6" s="149"/>
      <c r="R6" s="149"/>
      <c r="S6" s="149"/>
      <c r="T6" s="149"/>
    </row>
    <row r="7" spans="1:20">
      <c r="A7" s="146"/>
      <c r="B7" s="146"/>
      <c r="C7" s="146"/>
      <c r="D7" s="146"/>
      <c r="E7" s="146" t="s">
        <v>612</v>
      </c>
      <c r="F7" s="146"/>
      <c r="G7" s="146"/>
      <c r="H7" s="149">
        <v>2037.88</v>
      </c>
      <c r="I7" s="149">
        <v>1849.55</v>
      </c>
      <c r="J7" s="149">
        <v>2279.4499999999998</v>
      </c>
      <c r="K7" s="149">
        <v>2379.71</v>
      </c>
      <c r="L7" s="149">
        <v>2699.68</v>
      </c>
      <c r="M7" s="149">
        <v>5079.38</v>
      </c>
      <c r="N7" s="149">
        <v>4689.43</v>
      </c>
      <c r="O7" s="149">
        <v>4129.49</v>
      </c>
      <c r="P7" s="149">
        <v>4490.32</v>
      </c>
      <c r="Q7" s="149">
        <v>2534.36</v>
      </c>
      <c r="R7" s="149">
        <v>2191</v>
      </c>
      <c r="S7" s="149">
        <v>2059.44</v>
      </c>
      <c r="T7" s="149">
        <f>ROUND(SUM(H7:S7),5)</f>
        <v>36419.69</v>
      </c>
    </row>
    <row r="8" spans="1:20">
      <c r="A8" s="146"/>
      <c r="B8" s="146"/>
      <c r="C8" s="146"/>
      <c r="D8" s="146"/>
      <c r="E8" s="146" t="s">
        <v>613</v>
      </c>
      <c r="F8" s="146"/>
      <c r="G8" s="146"/>
      <c r="H8" s="149">
        <v>156703</v>
      </c>
      <c r="I8" s="149">
        <v>402960.73</v>
      </c>
      <c r="J8" s="149">
        <v>311024.03000000003</v>
      </c>
      <c r="K8" s="149">
        <v>301523.52</v>
      </c>
      <c r="L8" s="149">
        <v>259661.32</v>
      </c>
      <c r="M8" s="149">
        <v>317428.96000000002</v>
      </c>
      <c r="N8" s="149">
        <v>291680.06</v>
      </c>
      <c r="O8" s="149">
        <v>225240.97</v>
      </c>
      <c r="P8" s="149">
        <v>429697.73</v>
      </c>
      <c r="Q8" s="149">
        <v>341653.02</v>
      </c>
      <c r="R8" s="149">
        <v>241608.98</v>
      </c>
      <c r="S8" s="149">
        <v>407290.02</v>
      </c>
      <c r="T8" s="149">
        <f>ROUND(SUM(H8:S8),5)</f>
        <v>3686472.34</v>
      </c>
    </row>
    <row r="9" spans="1:20">
      <c r="A9" s="146"/>
      <c r="B9" s="146"/>
      <c r="C9" s="146"/>
      <c r="D9" s="146"/>
      <c r="E9" s="146" t="s">
        <v>614</v>
      </c>
      <c r="F9" s="146"/>
      <c r="G9" s="146"/>
      <c r="H9" s="149"/>
      <c r="I9" s="149"/>
      <c r="J9" s="149"/>
      <c r="K9" s="149"/>
      <c r="L9" s="149"/>
      <c r="M9" s="149"/>
      <c r="N9" s="149"/>
      <c r="O9" s="149"/>
      <c r="P9" s="149"/>
      <c r="Q9" s="149"/>
      <c r="R9" s="149"/>
      <c r="S9" s="149"/>
      <c r="T9" s="149"/>
    </row>
    <row r="10" spans="1:20">
      <c r="A10" s="146"/>
      <c r="B10" s="146"/>
      <c r="C10" s="146"/>
      <c r="D10" s="146"/>
      <c r="E10" s="146" t="s">
        <v>208</v>
      </c>
      <c r="F10" s="146"/>
      <c r="G10" s="146"/>
      <c r="H10" s="149"/>
      <c r="I10" s="149"/>
      <c r="J10" s="149"/>
      <c r="K10" s="149"/>
      <c r="L10" s="149">
        <v>-5406.49</v>
      </c>
      <c r="M10" s="149"/>
      <c r="N10" s="149">
        <v>5406.49</v>
      </c>
      <c r="O10" s="149"/>
      <c r="P10" s="149"/>
      <c r="Q10" s="149"/>
      <c r="R10" s="149"/>
      <c r="S10" s="149"/>
      <c r="T10" s="149"/>
    </row>
    <row r="11" spans="1:20">
      <c r="A11" s="146"/>
      <c r="B11" s="146"/>
      <c r="C11" s="146"/>
      <c r="D11" s="146"/>
      <c r="E11" s="146" t="s">
        <v>209</v>
      </c>
      <c r="F11" s="146"/>
      <c r="G11" s="146"/>
      <c r="H11" s="149"/>
      <c r="I11" s="149"/>
      <c r="J11" s="149"/>
      <c r="K11" s="149"/>
      <c r="L11" s="149"/>
      <c r="M11" s="149"/>
      <c r="N11" s="149"/>
      <c r="O11" s="149"/>
      <c r="P11" s="149"/>
      <c r="Q11" s="149"/>
      <c r="R11" s="149"/>
      <c r="S11" s="149"/>
      <c r="T11" s="149"/>
    </row>
    <row r="12" spans="1:20">
      <c r="A12" s="146"/>
      <c r="B12" s="146"/>
      <c r="C12" s="146"/>
      <c r="D12" s="146"/>
      <c r="E12" s="146" t="s">
        <v>210</v>
      </c>
      <c r="F12" s="146"/>
      <c r="G12" s="146"/>
      <c r="H12" s="149"/>
      <c r="I12" s="149"/>
      <c r="J12" s="149"/>
      <c r="K12" s="149"/>
      <c r="L12" s="149"/>
      <c r="M12" s="149"/>
      <c r="N12" s="149"/>
      <c r="O12" s="149"/>
      <c r="P12" s="149"/>
      <c r="Q12" s="149"/>
      <c r="R12" s="149"/>
      <c r="S12" s="149"/>
      <c r="T12" s="149"/>
    </row>
    <row r="13" spans="1:20">
      <c r="A13" s="146"/>
      <c r="B13" s="146"/>
      <c r="C13" s="146"/>
      <c r="D13" s="146"/>
      <c r="E13" s="146" t="s">
        <v>211</v>
      </c>
      <c r="F13" s="146"/>
      <c r="G13" s="146"/>
      <c r="H13" s="149"/>
      <c r="I13" s="149"/>
      <c r="J13" s="149"/>
      <c r="K13" s="149"/>
      <c r="L13" s="149"/>
      <c r="M13" s="149"/>
      <c r="N13" s="149"/>
      <c r="O13" s="149"/>
      <c r="P13" s="149"/>
      <c r="Q13" s="149"/>
      <c r="R13" s="149"/>
      <c r="S13" s="149"/>
      <c r="T13" s="149"/>
    </row>
    <row r="14" spans="1:20">
      <c r="A14" s="146"/>
      <c r="B14" s="146"/>
      <c r="C14" s="146"/>
      <c r="D14" s="146"/>
      <c r="E14" s="146" t="s">
        <v>212</v>
      </c>
      <c r="F14" s="146"/>
      <c r="G14" s="146"/>
      <c r="H14" s="149">
        <v>15590</v>
      </c>
      <c r="I14" s="149">
        <v>15845</v>
      </c>
      <c r="J14" s="149">
        <v>17458</v>
      </c>
      <c r="K14" s="149">
        <v>17560</v>
      </c>
      <c r="L14" s="149">
        <v>17576</v>
      </c>
      <c r="M14" s="149">
        <v>17880</v>
      </c>
      <c r="N14" s="149">
        <v>17745</v>
      </c>
      <c r="O14" s="149">
        <v>18555</v>
      </c>
      <c r="P14" s="149">
        <v>18187</v>
      </c>
      <c r="Q14" s="149">
        <v>18125</v>
      </c>
      <c r="R14" s="149">
        <v>18170</v>
      </c>
      <c r="S14" s="149">
        <v>16420</v>
      </c>
      <c r="T14" s="149">
        <f>ROUND(SUM(H14:S14),5)</f>
        <v>209111</v>
      </c>
    </row>
    <row r="15" spans="1:20">
      <c r="A15" s="146"/>
      <c r="B15" s="146"/>
      <c r="C15" s="146"/>
      <c r="D15" s="146"/>
      <c r="E15" s="146" t="s">
        <v>615</v>
      </c>
      <c r="F15" s="146"/>
      <c r="G15" s="146"/>
      <c r="H15" s="149">
        <v>41200</v>
      </c>
      <c r="I15" s="149">
        <v>40500</v>
      </c>
      <c r="J15" s="149">
        <v>41650</v>
      </c>
      <c r="K15" s="149">
        <v>42150</v>
      </c>
      <c r="L15" s="149">
        <v>42010</v>
      </c>
      <c r="M15" s="149">
        <v>43600</v>
      </c>
      <c r="N15" s="149">
        <v>44600</v>
      </c>
      <c r="O15" s="149">
        <v>44050</v>
      </c>
      <c r="P15" s="149">
        <v>44500</v>
      </c>
      <c r="Q15" s="149">
        <v>44200</v>
      </c>
      <c r="R15" s="149">
        <v>42900</v>
      </c>
      <c r="S15" s="149">
        <v>43500</v>
      </c>
      <c r="T15" s="149">
        <f>ROUND(SUM(H15:S15),5)</f>
        <v>514860</v>
      </c>
    </row>
    <row r="16" spans="1:20">
      <c r="A16" s="146"/>
      <c r="B16" s="146"/>
      <c r="C16" s="146"/>
      <c r="D16" s="146"/>
      <c r="E16" s="146" t="s">
        <v>616</v>
      </c>
      <c r="F16" s="146"/>
      <c r="G16" s="146"/>
      <c r="H16" s="149"/>
      <c r="I16" s="149"/>
      <c r="J16" s="149"/>
      <c r="K16" s="149"/>
      <c r="L16" s="149"/>
      <c r="M16" s="149"/>
      <c r="N16" s="149"/>
      <c r="O16" s="149"/>
      <c r="P16" s="149"/>
      <c r="Q16" s="149"/>
      <c r="R16" s="149"/>
      <c r="S16" s="149"/>
      <c r="T16" s="149"/>
    </row>
    <row r="17" spans="1:20">
      <c r="A17" s="146"/>
      <c r="B17" s="146"/>
      <c r="C17" s="146"/>
      <c r="D17" s="146"/>
      <c r="E17" s="146" t="s">
        <v>617</v>
      </c>
      <c r="F17" s="146"/>
      <c r="G17" s="146"/>
      <c r="H17" s="149">
        <v>52855.37</v>
      </c>
      <c r="I17" s="149">
        <v>83964.46</v>
      </c>
      <c r="J17" s="149">
        <v>60463.89</v>
      </c>
      <c r="K17" s="149">
        <v>94608.29</v>
      </c>
      <c r="L17" s="149">
        <v>83951.08</v>
      </c>
      <c r="M17" s="149">
        <v>107356.52</v>
      </c>
      <c r="N17" s="149">
        <v>94646.49</v>
      </c>
      <c r="O17" s="149">
        <v>97551.1</v>
      </c>
      <c r="P17" s="149">
        <v>94980.04</v>
      </c>
      <c r="Q17" s="149">
        <v>87302.01</v>
      </c>
      <c r="R17" s="149">
        <v>93541.08</v>
      </c>
      <c r="S17" s="149">
        <v>96630.89</v>
      </c>
      <c r="T17" s="149">
        <f t="shared" ref="T17:T22" si="0">ROUND(SUM(H17:S17),5)</f>
        <v>1047851.22</v>
      </c>
    </row>
    <row r="18" spans="1:20">
      <c r="A18" s="146"/>
      <c r="B18" s="146"/>
      <c r="C18" s="146"/>
      <c r="D18" s="146"/>
      <c r="E18" s="146" t="s">
        <v>218</v>
      </c>
      <c r="F18" s="146"/>
      <c r="G18" s="146"/>
      <c r="H18" s="149">
        <v>8390.42</v>
      </c>
      <c r="I18" s="149">
        <v>38140.800000000003</v>
      </c>
      <c r="J18" s="149">
        <v>27199.66</v>
      </c>
      <c r="K18" s="149">
        <v>25064.68</v>
      </c>
      <c r="L18" s="149">
        <v>35751.279999999999</v>
      </c>
      <c r="M18" s="149">
        <v>31941.85</v>
      </c>
      <c r="N18" s="149">
        <v>37130.42</v>
      </c>
      <c r="O18" s="149">
        <v>24779.759999999998</v>
      </c>
      <c r="P18" s="149">
        <v>48964.43</v>
      </c>
      <c r="Q18" s="149">
        <v>38339.74</v>
      </c>
      <c r="R18" s="149">
        <v>23925.98</v>
      </c>
      <c r="S18" s="149">
        <v>22835.09</v>
      </c>
      <c r="T18" s="149">
        <f t="shared" si="0"/>
        <v>362464.11</v>
      </c>
    </row>
    <row r="19" spans="1:20">
      <c r="A19" s="146"/>
      <c r="B19" s="146"/>
      <c r="C19" s="146"/>
      <c r="D19" s="146"/>
      <c r="E19" s="146" t="s">
        <v>219</v>
      </c>
      <c r="F19" s="146"/>
      <c r="G19" s="146"/>
      <c r="H19" s="149">
        <v>18277.490000000002</v>
      </c>
      <c r="I19" s="149">
        <v>11930.19</v>
      </c>
      <c r="J19" s="149">
        <v>8849.24</v>
      </c>
      <c r="K19" s="149">
        <v>8298.89</v>
      </c>
      <c r="L19" s="149">
        <v>9760.7999999999993</v>
      </c>
      <c r="M19" s="149">
        <v>17404.68</v>
      </c>
      <c r="N19" s="149">
        <v>14346.63</v>
      </c>
      <c r="O19" s="149">
        <v>22037.32</v>
      </c>
      <c r="P19" s="149">
        <v>18703.650000000001</v>
      </c>
      <c r="Q19" s="149">
        <v>6771.97</v>
      </c>
      <c r="R19" s="149">
        <v>13152.8</v>
      </c>
      <c r="S19" s="149">
        <v>10177.620000000001</v>
      </c>
      <c r="T19" s="149">
        <f t="shared" si="0"/>
        <v>159711.28</v>
      </c>
    </row>
    <row r="20" spans="1:20" ht="15.75" thickBot="1">
      <c r="A20" s="146"/>
      <c r="B20" s="146"/>
      <c r="C20" s="146"/>
      <c r="D20" s="146"/>
      <c r="E20" s="146" t="s">
        <v>618</v>
      </c>
      <c r="F20" s="146"/>
      <c r="G20" s="146"/>
      <c r="H20" s="149">
        <v>-546.05999999999995</v>
      </c>
      <c r="I20" s="149">
        <v>-236.73</v>
      </c>
      <c r="J20" s="149">
        <v>-1207.04</v>
      </c>
      <c r="K20" s="149">
        <v>-1041.3599999999999</v>
      </c>
      <c r="L20" s="149">
        <v>-12.13</v>
      </c>
      <c r="M20" s="149">
        <v>-1451.89</v>
      </c>
      <c r="N20" s="149">
        <v>-848.95</v>
      </c>
      <c r="O20" s="149">
        <v>-1198.4100000000001</v>
      </c>
      <c r="P20" s="149">
        <v>-366.48</v>
      </c>
      <c r="Q20" s="149">
        <v>-1223.8699999999999</v>
      </c>
      <c r="R20" s="149">
        <v>-778.61</v>
      </c>
      <c r="S20" s="149">
        <v>-65.33</v>
      </c>
      <c r="T20" s="149">
        <f t="shared" si="0"/>
        <v>-8976.86</v>
      </c>
    </row>
    <row r="21" spans="1:20" ht="15.75" thickBot="1">
      <c r="A21" s="146"/>
      <c r="B21" s="146"/>
      <c r="C21" s="146"/>
      <c r="D21" s="146" t="s">
        <v>220</v>
      </c>
      <c r="E21" s="146"/>
      <c r="F21" s="146"/>
      <c r="G21" s="146"/>
      <c r="H21" s="152">
        <f t="shared" ref="H21:S21" si="1">ROUND(SUM(H6:H20),5)</f>
        <v>294508.09999999998</v>
      </c>
      <c r="I21" s="152">
        <f t="shared" si="1"/>
        <v>594954</v>
      </c>
      <c r="J21" s="152">
        <f t="shared" si="1"/>
        <v>467717.23</v>
      </c>
      <c r="K21" s="152">
        <f t="shared" si="1"/>
        <v>490543.73</v>
      </c>
      <c r="L21" s="152">
        <f t="shared" si="1"/>
        <v>445991.54</v>
      </c>
      <c r="M21" s="152">
        <f t="shared" si="1"/>
        <v>539239.5</v>
      </c>
      <c r="N21" s="152">
        <f t="shared" si="1"/>
        <v>509395.57</v>
      </c>
      <c r="O21" s="152">
        <f t="shared" si="1"/>
        <v>435145.23</v>
      </c>
      <c r="P21" s="152">
        <f t="shared" si="1"/>
        <v>659156.68999999994</v>
      </c>
      <c r="Q21" s="152">
        <f t="shared" si="1"/>
        <v>537702.23</v>
      </c>
      <c r="R21" s="152">
        <f t="shared" si="1"/>
        <v>434711.23</v>
      </c>
      <c r="S21" s="152">
        <f t="shared" si="1"/>
        <v>598847.73</v>
      </c>
      <c r="T21" s="152">
        <f t="shared" si="0"/>
        <v>6007912.7800000003</v>
      </c>
    </row>
    <row r="22" spans="1:20">
      <c r="A22" s="146"/>
      <c r="B22" s="146"/>
      <c r="C22" s="146" t="s">
        <v>221</v>
      </c>
      <c r="D22" s="146"/>
      <c r="E22" s="146"/>
      <c r="F22" s="146"/>
      <c r="G22" s="146"/>
      <c r="H22" s="149">
        <f t="shared" ref="H22:S22" si="2">H21</f>
        <v>294508.09999999998</v>
      </c>
      <c r="I22" s="149">
        <f t="shared" si="2"/>
        <v>594954</v>
      </c>
      <c r="J22" s="149">
        <f t="shared" si="2"/>
        <v>467717.23</v>
      </c>
      <c r="K22" s="149">
        <f t="shared" si="2"/>
        <v>490543.73</v>
      </c>
      <c r="L22" s="149">
        <f t="shared" si="2"/>
        <v>445991.54</v>
      </c>
      <c r="M22" s="149">
        <f t="shared" si="2"/>
        <v>539239.5</v>
      </c>
      <c r="N22" s="149">
        <f t="shared" si="2"/>
        <v>509395.57</v>
      </c>
      <c r="O22" s="149">
        <f t="shared" si="2"/>
        <v>435145.23</v>
      </c>
      <c r="P22" s="149">
        <f t="shared" si="2"/>
        <v>659156.68999999994</v>
      </c>
      <c r="Q22" s="149">
        <f t="shared" si="2"/>
        <v>537702.23</v>
      </c>
      <c r="R22" s="149">
        <f t="shared" si="2"/>
        <v>434711.23</v>
      </c>
      <c r="S22" s="149">
        <f t="shared" si="2"/>
        <v>598847.73</v>
      </c>
      <c r="T22" s="149">
        <f t="shared" si="0"/>
        <v>6007912.7800000003</v>
      </c>
    </row>
    <row r="23" spans="1:20">
      <c r="A23" s="146"/>
      <c r="B23" s="146"/>
      <c r="C23" s="146"/>
      <c r="D23" s="146" t="s">
        <v>8</v>
      </c>
      <c r="E23" s="146"/>
      <c r="F23" s="146"/>
      <c r="G23" s="146"/>
      <c r="H23" s="149"/>
      <c r="I23" s="149"/>
      <c r="J23" s="149"/>
      <c r="K23" s="149"/>
      <c r="L23" s="149"/>
      <c r="M23" s="149"/>
      <c r="N23" s="149"/>
      <c r="O23" s="149"/>
      <c r="P23" s="149"/>
      <c r="Q23" s="149"/>
      <c r="R23" s="149"/>
      <c r="S23" s="149"/>
      <c r="T23" s="149"/>
    </row>
    <row r="24" spans="1:20">
      <c r="A24" s="146"/>
      <c r="B24" s="146"/>
      <c r="C24" s="146"/>
      <c r="D24" s="146"/>
      <c r="E24" s="146" t="s">
        <v>619</v>
      </c>
      <c r="F24" s="146"/>
      <c r="G24" s="146"/>
      <c r="H24" s="149"/>
      <c r="I24" s="149"/>
      <c r="J24" s="149"/>
      <c r="K24" s="149"/>
      <c r="L24" s="149"/>
      <c r="M24" s="149"/>
      <c r="N24" s="149"/>
      <c r="O24" s="149"/>
      <c r="P24" s="149">
        <v>139835.44</v>
      </c>
      <c r="Q24" s="149"/>
      <c r="R24" s="149"/>
      <c r="S24" s="149">
        <v>122693.38</v>
      </c>
      <c r="T24" s="149">
        <f t="shared" ref="T24:T31" si="3">ROUND(SUM(H24:S24),5)</f>
        <v>262528.82</v>
      </c>
    </row>
    <row r="25" spans="1:20">
      <c r="A25" s="146"/>
      <c r="B25" s="146"/>
      <c r="C25" s="146"/>
      <c r="D25" s="146"/>
      <c r="E25" s="146" t="s">
        <v>620</v>
      </c>
      <c r="F25" s="146"/>
      <c r="G25" s="146"/>
      <c r="H25" s="149">
        <v>413</v>
      </c>
      <c r="I25" s="149">
        <v>399.16</v>
      </c>
      <c r="J25" s="149">
        <v>256.22000000000003</v>
      </c>
      <c r="K25" s="149">
        <v>993.94</v>
      </c>
      <c r="L25" s="149">
        <v>401.84</v>
      </c>
      <c r="M25" s="149">
        <v>258.38</v>
      </c>
      <c r="N25" s="149">
        <v>548.91</v>
      </c>
      <c r="O25" s="149">
        <v>404.78</v>
      </c>
      <c r="P25" s="149">
        <v>547.22</v>
      </c>
      <c r="Q25" s="149">
        <v>475.3</v>
      </c>
      <c r="R25" s="149">
        <v>395.68</v>
      </c>
      <c r="S25" s="149">
        <v>631.17999999999995</v>
      </c>
      <c r="T25" s="149">
        <f t="shared" si="3"/>
        <v>5725.61</v>
      </c>
    </row>
    <row r="26" spans="1:20">
      <c r="A26" s="146"/>
      <c r="B26" s="146"/>
      <c r="C26" s="146"/>
      <c r="D26" s="146"/>
      <c r="E26" s="146" t="s">
        <v>621</v>
      </c>
      <c r="F26" s="146"/>
      <c r="G26" s="146"/>
      <c r="H26" s="149"/>
      <c r="I26" s="149">
        <v>3235</v>
      </c>
      <c r="J26" s="149">
        <v>1127.5</v>
      </c>
      <c r="K26" s="149"/>
      <c r="L26" s="149"/>
      <c r="M26" s="149"/>
      <c r="N26" s="149"/>
      <c r="O26" s="149">
        <v>337.5</v>
      </c>
      <c r="P26" s="149">
        <v>375</v>
      </c>
      <c r="Q26" s="149">
        <v>375</v>
      </c>
      <c r="R26" s="149">
        <v>450</v>
      </c>
      <c r="S26" s="149">
        <v>2184.1</v>
      </c>
      <c r="T26" s="149">
        <f t="shared" si="3"/>
        <v>8084.1</v>
      </c>
    </row>
    <row r="27" spans="1:20">
      <c r="A27" s="146"/>
      <c r="B27" s="146"/>
      <c r="C27" s="146"/>
      <c r="D27" s="146"/>
      <c r="E27" s="146" t="s">
        <v>222</v>
      </c>
      <c r="F27" s="146"/>
      <c r="G27" s="146"/>
      <c r="H27" s="149">
        <v>2873.03</v>
      </c>
      <c r="I27" s="149">
        <v>5662.63</v>
      </c>
      <c r="J27" s="149">
        <v>2555.35</v>
      </c>
      <c r="K27" s="149">
        <v>2788.76</v>
      </c>
      <c r="L27" s="149">
        <v>3585.33</v>
      </c>
      <c r="M27" s="149">
        <v>2938.86</v>
      </c>
      <c r="N27" s="149">
        <v>3870.65</v>
      </c>
      <c r="O27" s="149">
        <v>3519.77</v>
      </c>
      <c r="P27" s="149">
        <v>4075.37</v>
      </c>
      <c r="Q27" s="149">
        <v>3447.79</v>
      </c>
      <c r="R27" s="149">
        <v>3584.13</v>
      </c>
      <c r="S27" s="149">
        <v>2265.64</v>
      </c>
      <c r="T27" s="149">
        <f t="shared" si="3"/>
        <v>41167.31</v>
      </c>
    </row>
    <row r="28" spans="1:20">
      <c r="A28" s="146"/>
      <c r="B28" s="146"/>
      <c r="C28" s="146"/>
      <c r="D28" s="146"/>
      <c r="E28" s="146" t="s">
        <v>622</v>
      </c>
      <c r="F28" s="146"/>
      <c r="G28" s="146"/>
      <c r="H28" s="149">
        <v>575.55999999999995</v>
      </c>
      <c r="I28" s="149">
        <v>545.13</v>
      </c>
      <c r="J28" s="149">
        <v>557.19000000000005</v>
      </c>
      <c r="K28" s="149">
        <v>570</v>
      </c>
      <c r="L28" s="149">
        <v>592.22</v>
      </c>
      <c r="M28" s="149"/>
      <c r="N28" s="149">
        <v>1356.43</v>
      </c>
      <c r="O28" s="149">
        <v>685.95</v>
      </c>
      <c r="P28" s="149"/>
      <c r="Q28" s="149">
        <v>662.66</v>
      </c>
      <c r="R28" s="149">
        <v>1307.82</v>
      </c>
      <c r="S28" s="149">
        <v>568.54999999999995</v>
      </c>
      <c r="T28" s="149">
        <f t="shared" si="3"/>
        <v>7421.51</v>
      </c>
    </row>
    <row r="29" spans="1:20">
      <c r="A29" s="146"/>
      <c r="B29" s="146"/>
      <c r="C29" s="146"/>
      <c r="D29" s="146"/>
      <c r="E29" s="146" t="s">
        <v>224</v>
      </c>
      <c r="F29" s="146"/>
      <c r="G29" s="146"/>
      <c r="H29" s="149">
        <v>945.58</v>
      </c>
      <c r="I29" s="149">
        <v>1996.79</v>
      </c>
      <c r="J29" s="149"/>
      <c r="K29" s="149">
        <v>3201.69</v>
      </c>
      <c r="L29" s="149"/>
      <c r="M29" s="149">
        <v>18898.87</v>
      </c>
      <c r="N29" s="149">
        <v>10689.59</v>
      </c>
      <c r="O29" s="149">
        <v>1128.43</v>
      </c>
      <c r="P29" s="149">
        <v>1433.56</v>
      </c>
      <c r="Q29" s="149">
        <v>19612.2</v>
      </c>
      <c r="R29" s="149"/>
      <c r="S29" s="149">
        <v>1004.26</v>
      </c>
      <c r="T29" s="149">
        <f t="shared" si="3"/>
        <v>58910.97</v>
      </c>
    </row>
    <row r="30" spans="1:20">
      <c r="A30" s="146"/>
      <c r="B30" s="146"/>
      <c r="C30" s="146"/>
      <c r="D30" s="146"/>
      <c r="E30" s="146" t="s">
        <v>225</v>
      </c>
      <c r="F30" s="146"/>
      <c r="G30" s="146"/>
      <c r="H30" s="149">
        <v>2778.37</v>
      </c>
      <c r="I30" s="149">
        <v>434.22</v>
      </c>
      <c r="J30" s="149">
        <v>3258.99</v>
      </c>
      <c r="K30" s="149">
        <v>11724.9</v>
      </c>
      <c r="L30" s="149">
        <v>6193.28</v>
      </c>
      <c r="M30" s="149">
        <v>1539.87</v>
      </c>
      <c r="N30" s="149">
        <v>8852.32</v>
      </c>
      <c r="O30" s="149">
        <v>2875</v>
      </c>
      <c r="P30" s="149">
        <v>3930.88</v>
      </c>
      <c r="Q30" s="149">
        <v>6783.93</v>
      </c>
      <c r="R30" s="149">
        <v>354.9</v>
      </c>
      <c r="S30" s="149">
        <v>6182.83</v>
      </c>
      <c r="T30" s="149">
        <f t="shared" si="3"/>
        <v>54909.49</v>
      </c>
    </row>
    <row r="31" spans="1:20">
      <c r="A31" s="146"/>
      <c r="B31" s="146"/>
      <c r="C31" s="146"/>
      <c r="D31" s="146"/>
      <c r="E31" s="146" t="s">
        <v>226</v>
      </c>
      <c r="F31" s="146"/>
      <c r="G31" s="146"/>
      <c r="H31" s="149">
        <v>1000</v>
      </c>
      <c r="I31" s="149">
        <v>1000</v>
      </c>
      <c r="J31" s="149">
        <v>1000</v>
      </c>
      <c r="K31" s="149">
        <v>1000</v>
      </c>
      <c r="L31" s="149">
        <v>1000</v>
      </c>
      <c r="M31" s="149">
        <v>1000</v>
      </c>
      <c r="N31" s="149">
        <v>1000</v>
      </c>
      <c r="O31" s="149">
        <v>1000</v>
      </c>
      <c r="P31" s="149">
        <v>1000</v>
      </c>
      <c r="Q31" s="149">
        <v>1000</v>
      </c>
      <c r="R31" s="149">
        <v>1000</v>
      </c>
      <c r="S31" s="149">
        <v>1189.99</v>
      </c>
      <c r="T31" s="149">
        <f t="shared" si="3"/>
        <v>12189.99</v>
      </c>
    </row>
    <row r="32" spans="1:20">
      <c r="A32" s="146"/>
      <c r="B32" s="146"/>
      <c r="C32" s="146"/>
      <c r="D32" s="146"/>
      <c r="E32" s="146" t="s">
        <v>623</v>
      </c>
      <c r="F32" s="146"/>
      <c r="G32" s="146"/>
      <c r="H32" s="149"/>
      <c r="I32" s="149"/>
      <c r="J32" s="149"/>
      <c r="K32" s="149"/>
      <c r="L32" s="149"/>
      <c r="M32" s="149"/>
      <c r="N32" s="149"/>
      <c r="O32" s="149"/>
      <c r="P32" s="149"/>
      <c r="Q32" s="149"/>
      <c r="R32" s="149"/>
      <c r="S32" s="149"/>
      <c r="T32" s="149"/>
    </row>
    <row r="33" spans="1:20">
      <c r="A33" s="146"/>
      <c r="B33" s="146"/>
      <c r="C33" s="146"/>
      <c r="D33" s="146"/>
      <c r="E33" s="146"/>
      <c r="F33" s="146" t="s">
        <v>624</v>
      </c>
      <c r="G33" s="146"/>
      <c r="H33" s="149">
        <v>24503.89</v>
      </c>
      <c r="I33" s="149">
        <v>27786.87</v>
      </c>
      <c r="J33" s="149">
        <v>32732.99</v>
      </c>
      <c r="K33" s="149">
        <v>18170.419999999998</v>
      </c>
      <c r="L33" s="149">
        <v>26463.74</v>
      </c>
      <c r="M33" s="149">
        <v>24141.77</v>
      </c>
      <c r="N33" s="149">
        <v>32505.1</v>
      </c>
      <c r="O33" s="149">
        <v>25646.63</v>
      </c>
      <c r="P33" s="149">
        <v>12172.16</v>
      </c>
      <c r="Q33" s="149">
        <v>26106.36</v>
      </c>
      <c r="R33" s="149">
        <v>45784.54</v>
      </c>
      <c r="S33" s="149">
        <v>14948.35</v>
      </c>
      <c r="T33" s="149">
        <f t="shared" ref="T33:T38" si="4">ROUND(SUM(H33:S33),5)</f>
        <v>310962.82</v>
      </c>
    </row>
    <row r="34" spans="1:20">
      <c r="A34" s="146"/>
      <c r="B34" s="146"/>
      <c r="C34" s="146"/>
      <c r="D34" s="146"/>
      <c r="E34" s="146"/>
      <c r="F34" s="146" t="s">
        <v>625</v>
      </c>
      <c r="G34" s="146"/>
      <c r="H34" s="149">
        <v>11424.6</v>
      </c>
      <c r="I34" s="149">
        <v>15645.37</v>
      </c>
      <c r="J34" s="149">
        <v>14223.96</v>
      </c>
      <c r="K34" s="149">
        <v>18464.400000000001</v>
      </c>
      <c r="L34" s="149">
        <v>22404.48</v>
      </c>
      <c r="M34" s="149">
        <v>17071.400000000001</v>
      </c>
      <c r="N34" s="149">
        <v>18867.43</v>
      </c>
      <c r="O34" s="149">
        <v>17745.560000000001</v>
      </c>
      <c r="P34" s="149">
        <v>19559.71</v>
      </c>
      <c r="Q34" s="149">
        <v>21866.03</v>
      </c>
      <c r="R34" s="149">
        <v>11352.41</v>
      </c>
      <c r="S34" s="149">
        <v>13655.3</v>
      </c>
      <c r="T34" s="149">
        <f t="shared" si="4"/>
        <v>202280.65</v>
      </c>
    </row>
    <row r="35" spans="1:20" ht="15.75" thickBot="1">
      <c r="A35" s="146"/>
      <c r="B35" s="146"/>
      <c r="C35" s="146"/>
      <c r="D35" s="146"/>
      <c r="E35" s="146"/>
      <c r="F35" s="146" t="s">
        <v>227</v>
      </c>
      <c r="G35" s="146"/>
      <c r="H35" s="151">
        <v>78986.47</v>
      </c>
      <c r="I35" s="151">
        <v>91823.29</v>
      </c>
      <c r="J35" s="151">
        <v>90838.15</v>
      </c>
      <c r="K35" s="151">
        <v>93831.71</v>
      </c>
      <c r="L35" s="151">
        <v>86485.77</v>
      </c>
      <c r="M35" s="151">
        <v>90338.23</v>
      </c>
      <c r="N35" s="151">
        <v>111445.72</v>
      </c>
      <c r="O35" s="151">
        <v>113842.92</v>
      </c>
      <c r="P35" s="151">
        <v>87918.48</v>
      </c>
      <c r="Q35" s="151">
        <v>111687.25</v>
      </c>
      <c r="R35" s="151">
        <v>134862.42000000001</v>
      </c>
      <c r="S35" s="151">
        <v>86044.4</v>
      </c>
      <c r="T35" s="151">
        <f t="shared" si="4"/>
        <v>1178104.81</v>
      </c>
    </row>
    <row r="36" spans="1:20">
      <c r="A36" s="146"/>
      <c r="B36" s="146"/>
      <c r="C36" s="146"/>
      <c r="D36" s="146"/>
      <c r="E36" s="146" t="s">
        <v>626</v>
      </c>
      <c r="F36" s="146"/>
      <c r="G36" s="146"/>
      <c r="H36" s="149">
        <f t="shared" ref="H36:S36" si="5">ROUND(SUM(H32:H35),5)</f>
        <v>114914.96</v>
      </c>
      <c r="I36" s="149">
        <f t="shared" si="5"/>
        <v>135255.53</v>
      </c>
      <c r="J36" s="149">
        <f t="shared" si="5"/>
        <v>137795.1</v>
      </c>
      <c r="K36" s="149">
        <f t="shared" si="5"/>
        <v>130466.53</v>
      </c>
      <c r="L36" s="149">
        <f t="shared" si="5"/>
        <v>135353.99</v>
      </c>
      <c r="M36" s="149">
        <f t="shared" si="5"/>
        <v>131551.4</v>
      </c>
      <c r="N36" s="149">
        <f t="shared" si="5"/>
        <v>162818.25</v>
      </c>
      <c r="O36" s="149">
        <f t="shared" si="5"/>
        <v>157235.10999999999</v>
      </c>
      <c r="P36" s="149">
        <f t="shared" si="5"/>
        <v>119650.35</v>
      </c>
      <c r="Q36" s="149">
        <f t="shared" si="5"/>
        <v>159659.64000000001</v>
      </c>
      <c r="R36" s="149">
        <f t="shared" si="5"/>
        <v>191999.37</v>
      </c>
      <c r="S36" s="149">
        <f t="shared" si="5"/>
        <v>114648.05</v>
      </c>
      <c r="T36" s="149">
        <f t="shared" si="4"/>
        <v>1691348.28</v>
      </c>
    </row>
    <row r="37" spans="1:20">
      <c r="A37" s="146"/>
      <c r="B37" s="146"/>
      <c r="C37" s="146"/>
      <c r="D37" s="146"/>
      <c r="E37" s="146" t="s">
        <v>228</v>
      </c>
      <c r="F37" s="146"/>
      <c r="G37" s="146"/>
      <c r="H37" s="149">
        <v>480</v>
      </c>
      <c r="I37" s="149"/>
      <c r="J37" s="149">
        <v>2100</v>
      </c>
      <c r="K37" s="149">
        <v>60</v>
      </c>
      <c r="L37" s="149"/>
      <c r="M37" s="149"/>
      <c r="N37" s="149"/>
      <c r="O37" s="149">
        <v>60</v>
      </c>
      <c r="P37" s="149"/>
      <c r="Q37" s="149">
        <v>3062</v>
      </c>
      <c r="R37" s="149"/>
      <c r="S37" s="149">
        <v>480</v>
      </c>
      <c r="T37" s="149">
        <f t="shared" si="4"/>
        <v>6242</v>
      </c>
    </row>
    <row r="38" spans="1:20">
      <c r="A38" s="146"/>
      <c r="B38" s="146"/>
      <c r="C38" s="146"/>
      <c r="D38" s="146"/>
      <c r="E38" s="146" t="s">
        <v>229</v>
      </c>
      <c r="F38" s="146"/>
      <c r="G38" s="146"/>
      <c r="H38" s="149">
        <v>28582.94</v>
      </c>
      <c r="I38" s="149">
        <v>34903.230000000003</v>
      </c>
      <c r="J38" s="149">
        <v>33550.870000000003</v>
      </c>
      <c r="K38" s="149">
        <v>42009.84</v>
      </c>
      <c r="L38" s="149">
        <v>44739.51</v>
      </c>
      <c r="M38" s="149">
        <v>43741</v>
      </c>
      <c r="N38" s="149">
        <v>55733.48</v>
      </c>
      <c r="O38" s="149">
        <v>59766.98</v>
      </c>
      <c r="P38" s="149">
        <v>24692.53</v>
      </c>
      <c r="Q38" s="149">
        <v>58370.63</v>
      </c>
      <c r="R38" s="149">
        <v>41539.94</v>
      </c>
      <c r="S38" s="149">
        <v>41277.699999999997</v>
      </c>
      <c r="T38" s="149">
        <f t="shared" si="4"/>
        <v>508908.65</v>
      </c>
    </row>
    <row r="39" spans="1:20">
      <c r="A39" s="146"/>
      <c r="B39" s="146"/>
      <c r="C39" s="146"/>
      <c r="D39" s="146"/>
      <c r="E39" s="146" t="s">
        <v>627</v>
      </c>
      <c r="F39" s="146"/>
      <c r="G39" s="146"/>
      <c r="H39" s="149"/>
      <c r="I39" s="149"/>
      <c r="J39" s="149"/>
      <c r="K39" s="149"/>
      <c r="L39" s="149"/>
      <c r="M39" s="149"/>
      <c r="N39" s="149"/>
      <c r="O39" s="149"/>
      <c r="P39" s="149"/>
      <c r="Q39" s="149"/>
      <c r="R39" s="149"/>
      <c r="S39" s="149"/>
      <c r="T39" s="149"/>
    </row>
    <row r="40" spans="1:20">
      <c r="A40" s="146"/>
      <c r="B40" s="146"/>
      <c r="C40" s="146"/>
      <c r="D40" s="146"/>
      <c r="E40" s="146"/>
      <c r="F40" s="146" t="s">
        <v>628</v>
      </c>
      <c r="G40" s="146"/>
      <c r="H40" s="149">
        <v>9187.16</v>
      </c>
      <c r="I40" s="149">
        <v>4434.5</v>
      </c>
      <c r="J40" s="149">
        <v>8671.2000000000007</v>
      </c>
      <c r="K40" s="149">
        <v>7491.34</v>
      </c>
      <c r="L40" s="149">
        <v>4392</v>
      </c>
      <c r="M40" s="149">
        <v>7688.18</v>
      </c>
      <c r="N40" s="149">
        <v>11242.48</v>
      </c>
      <c r="O40" s="149">
        <v>11313.34</v>
      </c>
      <c r="P40" s="149">
        <v>11137.48</v>
      </c>
      <c r="Q40" s="149">
        <v>5752</v>
      </c>
      <c r="R40" s="149">
        <v>1296</v>
      </c>
      <c r="S40" s="149">
        <v>9270.64</v>
      </c>
      <c r="T40" s="149">
        <f t="shared" ref="T40:T47" si="6">ROUND(SUM(H40:S40),5)</f>
        <v>91876.32</v>
      </c>
    </row>
    <row r="41" spans="1:20">
      <c r="A41" s="146"/>
      <c r="B41" s="146"/>
      <c r="C41" s="146"/>
      <c r="D41" s="146"/>
      <c r="E41" s="146"/>
      <c r="F41" s="146" t="s">
        <v>77</v>
      </c>
      <c r="G41" s="146"/>
      <c r="H41" s="149">
        <v>3337.36</v>
      </c>
      <c r="I41" s="149">
        <v>1692.41</v>
      </c>
      <c r="J41" s="149">
        <v>580.78</v>
      </c>
      <c r="K41" s="149">
        <v>1037.94</v>
      </c>
      <c r="L41" s="149">
        <v>587.28</v>
      </c>
      <c r="M41" s="149">
        <v>7447.27</v>
      </c>
      <c r="N41" s="149">
        <v>6281.51</v>
      </c>
      <c r="O41" s="149">
        <v>1039.71</v>
      </c>
      <c r="P41" s="149">
        <v>1232.0999999999999</v>
      </c>
      <c r="Q41" s="149">
        <v>747.07</v>
      </c>
      <c r="R41" s="149">
        <v>803.17</v>
      </c>
      <c r="S41" s="149">
        <v>1647.89</v>
      </c>
      <c r="T41" s="149">
        <f t="shared" si="6"/>
        <v>26434.49</v>
      </c>
    </row>
    <row r="42" spans="1:20">
      <c r="A42" s="146"/>
      <c r="B42" s="146"/>
      <c r="C42" s="146"/>
      <c r="D42" s="146"/>
      <c r="E42" s="146"/>
      <c r="F42" s="146" t="s">
        <v>12</v>
      </c>
      <c r="G42" s="146"/>
      <c r="H42" s="149">
        <v>10940</v>
      </c>
      <c r="I42" s="149">
        <v>10670</v>
      </c>
      <c r="J42" s="149">
        <v>10400</v>
      </c>
      <c r="K42" s="149">
        <v>10400</v>
      </c>
      <c r="L42" s="149">
        <v>10400</v>
      </c>
      <c r="M42" s="149">
        <v>15600</v>
      </c>
      <c r="N42" s="149">
        <v>10400</v>
      </c>
      <c r="O42" s="149">
        <v>10400</v>
      </c>
      <c r="P42" s="149">
        <v>10400</v>
      </c>
      <c r="Q42" s="149">
        <v>10400</v>
      </c>
      <c r="R42" s="149">
        <v>10600</v>
      </c>
      <c r="S42" s="149">
        <v>16200</v>
      </c>
      <c r="T42" s="149">
        <f t="shared" si="6"/>
        <v>136810</v>
      </c>
    </row>
    <row r="43" spans="1:20">
      <c r="A43" s="146"/>
      <c r="B43" s="146"/>
      <c r="C43" s="146"/>
      <c r="D43" s="146"/>
      <c r="E43" s="146"/>
      <c r="F43" s="146" t="s">
        <v>629</v>
      </c>
      <c r="G43" s="146"/>
      <c r="H43" s="149">
        <v>13553.68</v>
      </c>
      <c r="I43" s="149">
        <v>476</v>
      </c>
      <c r="J43" s="149">
        <v>428</v>
      </c>
      <c r="K43" s="149">
        <v>576</v>
      </c>
      <c r="L43" s="149">
        <v>1987.24</v>
      </c>
      <c r="M43" s="149">
        <v>2833.5</v>
      </c>
      <c r="N43" s="149">
        <v>652</v>
      </c>
      <c r="O43" s="149">
        <v>1612</v>
      </c>
      <c r="P43" s="149">
        <v>2087.3200000000002</v>
      </c>
      <c r="Q43" s="149">
        <v>826</v>
      </c>
      <c r="R43" s="149">
        <v>2118.5</v>
      </c>
      <c r="S43" s="149">
        <v>99504.07</v>
      </c>
      <c r="T43" s="149">
        <f t="shared" si="6"/>
        <v>126654.31</v>
      </c>
    </row>
    <row r="44" spans="1:20">
      <c r="A44" s="146"/>
      <c r="B44" s="146"/>
      <c r="C44" s="146"/>
      <c r="D44" s="146"/>
      <c r="E44" s="146"/>
      <c r="F44" s="146" t="s">
        <v>230</v>
      </c>
      <c r="G44" s="146"/>
      <c r="H44" s="149">
        <v>86742.57</v>
      </c>
      <c r="I44" s="149">
        <v>109203.63</v>
      </c>
      <c r="J44" s="149">
        <v>104369.71</v>
      </c>
      <c r="K44" s="149">
        <v>109634.92</v>
      </c>
      <c r="L44" s="149">
        <v>106645.64</v>
      </c>
      <c r="M44" s="149">
        <v>162773.21</v>
      </c>
      <c r="N44" s="149">
        <v>107447.61</v>
      </c>
      <c r="O44" s="149">
        <v>108580.27</v>
      </c>
      <c r="P44" s="149">
        <v>108149.75</v>
      </c>
      <c r="Q44" s="149">
        <v>112597.31</v>
      </c>
      <c r="R44" s="149">
        <v>114779.84</v>
      </c>
      <c r="S44" s="149">
        <v>149936.85999999999</v>
      </c>
      <c r="T44" s="149">
        <f t="shared" si="6"/>
        <v>1380861.32</v>
      </c>
    </row>
    <row r="45" spans="1:20">
      <c r="A45" s="146"/>
      <c r="B45" s="146"/>
      <c r="C45" s="146"/>
      <c r="D45" s="146"/>
      <c r="E45" s="146"/>
      <c r="F45" s="146" t="s">
        <v>231</v>
      </c>
      <c r="G45" s="146"/>
      <c r="H45" s="149">
        <v>3445.74</v>
      </c>
      <c r="I45" s="149">
        <v>5186.97</v>
      </c>
      <c r="J45" s="149">
        <v>3963.1</v>
      </c>
      <c r="K45" s="149">
        <v>-13228.23</v>
      </c>
      <c r="L45" s="149">
        <v>3878.79</v>
      </c>
      <c r="M45" s="149">
        <v>23255.33</v>
      </c>
      <c r="N45" s="149">
        <v>4970.87</v>
      </c>
      <c r="O45" s="149">
        <v>4163.97</v>
      </c>
      <c r="P45" s="149">
        <v>7653.26</v>
      </c>
      <c r="Q45" s="149">
        <v>5136.3100000000004</v>
      </c>
      <c r="R45" s="149">
        <v>5044.21</v>
      </c>
      <c r="S45" s="149">
        <v>3005.96</v>
      </c>
      <c r="T45" s="149">
        <f t="shared" si="6"/>
        <v>56476.28</v>
      </c>
    </row>
    <row r="46" spans="1:20">
      <c r="A46" s="146"/>
      <c r="B46" s="146"/>
      <c r="C46" s="146"/>
      <c r="D46" s="146"/>
      <c r="E46" s="146"/>
      <c r="F46" s="146" t="s">
        <v>232</v>
      </c>
      <c r="G46" s="146"/>
      <c r="H46" s="149">
        <v>2062.35</v>
      </c>
      <c r="I46" s="149">
        <v>1843.3</v>
      </c>
      <c r="J46" s="149">
        <v>39492.44</v>
      </c>
      <c r="K46" s="149">
        <v>1843.3</v>
      </c>
      <c r="L46" s="149">
        <v>1515.6</v>
      </c>
      <c r="M46" s="149">
        <v>-3404.05</v>
      </c>
      <c r="N46" s="149">
        <v>1785.65</v>
      </c>
      <c r="O46" s="149">
        <v>1785.65</v>
      </c>
      <c r="P46" s="149">
        <v>57100.75</v>
      </c>
      <c r="Q46" s="149">
        <v>1785.65</v>
      </c>
      <c r="R46" s="149">
        <v>1785.65</v>
      </c>
      <c r="S46" s="149">
        <v>32495.39</v>
      </c>
      <c r="T46" s="149">
        <f t="shared" si="6"/>
        <v>140091.68</v>
      </c>
    </row>
    <row r="47" spans="1:20">
      <c r="A47" s="146"/>
      <c r="B47" s="146"/>
      <c r="C47" s="146"/>
      <c r="D47" s="146"/>
      <c r="E47" s="146"/>
      <c r="F47" s="146" t="s">
        <v>233</v>
      </c>
      <c r="G47" s="146"/>
      <c r="H47" s="149">
        <v>1052.03</v>
      </c>
      <c r="I47" s="149">
        <v>1061.1600000000001</v>
      </c>
      <c r="J47" s="149">
        <v>1048.8599999999999</v>
      </c>
      <c r="K47" s="149">
        <v>1186.53</v>
      </c>
      <c r="L47" s="149">
        <v>1060.2</v>
      </c>
      <c r="M47" s="149">
        <v>1643.64</v>
      </c>
      <c r="N47" s="149">
        <v>1116.71</v>
      </c>
      <c r="O47" s="149">
        <v>1131.6600000000001</v>
      </c>
      <c r="P47" s="149">
        <v>1154.4000000000001</v>
      </c>
      <c r="Q47" s="149">
        <v>1144.1199999999999</v>
      </c>
      <c r="R47" s="149">
        <v>1303.9100000000001</v>
      </c>
      <c r="S47" s="149">
        <v>23829.8</v>
      </c>
      <c r="T47" s="149">
        <f t="shared" si="6"/>
        <v>36733.019999999997</v>
      </c>
    </row>
    <row r="48" spans="1:20">
      <c r="A48" s="146"/>
      <c r="B48" s="146"/>
      <c r="C48" s="146"/>
      <c r="D48" s="146"/>
      <c r="E48" s="146"/>
      <c r="F48" s="146" t="s">
        <v>234</v>
      </c>
      <c r="G48" s="146"/>
      <c r="H48" s="149"/>
      <c r="I48" s="149"/>
      <c r="J48" s="149"/>
      <c r="K48" s="149"/>
      <c r="L48" s="149"/>
      <c r="M48" s="149"/>
      <c r="N48" s="149"/>
      <c r="O48" s="149"/>
      <c r="P48" s="149"/>
      <c r="Q48" s="149"/>
      <c r="R48" s="149"/>
      <c r="S48" s="149"/>
      <c r="T48" s="149"/>
    </row>
    <row r="49" spans="1:20">
      <c r="A49" s="146"/>
      <c r="B49" s="146"/>
      <c r="C49" s="146"/>
      <c r="D49" s="146"/>
      <c r="E49" s="146"/>
      <c r="F49" s="146"/>
      <c r="G49" s="146" t="s">
        <v>446</v>
      </c>
      <c r="H49" s="149">
        <v>529.11</v>
      </c>
      <c r="I49" s="149">
        <v>542.07000000000005</v>
      </c>
      <c r="J49" s="149">
        <v>534.01</v>
      </c>
      <c r="K49" s="149">
        <v>491.78</v>
      </c>
      <c r="L49" s="149">
        <v>402.78</v>
      </c>
      <c r="M49" s="149">
        <v>642.08000000000004</v>
      </c>
      <c r="N49" s="149">
        <v>451.32</v>
      </c>
      <c r="O49" s="149">
        <v>435.36</v>
      </c>
      <c r="P49" s="149">
        <v>433.89</v>
      </c>
      <c r="Q49" s="149">
        <v>409.35</v>
      </c>
      <c r="R49" s="149">
        <v>388.68</v>
      </c>
      <c r="S49" s="149">
        <v>403.49</v>
      </c>
      <c r="T49" s="149">
        <f t="shared" ref="T49:T60" si="7">ROUND(SUM(H49:S49),5)</f>
        <v>5663.92</v>
      </c>
    </row>
    <row r="50" spans="1:20">
      <c r="A50" s="146"/>
      <c r="B50" s="146"/>
      <c r="C50" s="146"/>
      <c r="D50" s="146"/>
      <c r="E50" s="146"/>
      <c r="F50" s="146"/>
      <c r="G50" s="146" t="s">
        <v>81</v>
      </c>
      <c r="H50" s="149">
        <v>715.85</v>
      </c>
      <c r="I50" s="149">
        <v>312.99</v>
      </c>
      <c r="J50" s="149">
        <v>16.66</v>
      </c>
      <c r="K50" s="149">
        <v>32.79</v>
      </c>
      <c r="L50" s="149">
        <v>20.170000000000002</v>
      </c>
      <c r="M50" s="149">
        <v>48.11</v>
      </c>
      <c r="N50" s="149">
        <v>29.37</v>
      </c>
      <c r="O50" s="149">
        <v>36.67</v>
      </c>
      <c r="P50" s="149">
        <v>32.619999999999997</v>
      </c>
      <c r="Q50" s="149">
        <v>26.23</v>
      </c>
      <c r="R50" s="149">
        <v>13.92</v>
      </c>
      <c r="S50" s="149">
        <v>1.01</v>
      </c>
      <c r="T50" s="149">
        <f t="shared" si="7"/>
        <v>1286.3900000000001</v>
      </c>
    </row>
    <row r="51" spans="1:20">
      <c r="A51" s="146"/>
      <c r="B51" s="146"/>
      <c r="C51" s="146"/>
      <c r="D51" s="146"/>
      <c r="E51" s="146"/>
      <c r="F51" s="146"/>
      <c r="G51" s="146" t="s">
        <v>80</v>
      </c>
      <c r="H51" s="149">
        <v>9428.64</v>
      </c>
      <c r="I51" s="149">
        <v>9636.36</v>
      </c>
      <c r="J51" s="149">
        <v>9481.35</v>
      </c>
      <c r="K51" s="149">
        <v>9840.14</v>
      </c>
      <c r="L51" s="149">
        <v>9447.82</v>
      </c>
      <c r="M51" s="149">
        <v>14961.53</v>
      </c>
      <c r="N51" s="149">
        <v>10366.67</v>
      </c>
      <c r="O51" s="149">
        <v>10131.209999999999</v>
      </c>
      <c r="P51" s="149">
        <v>10135.9</v>
      </c>
      <c r="Q51" s="149">
        <v>9930.56</v>
      </c>
      <c r="R51" s="149">
        <v>9875.08</v>
      </c>
      <c r="S51" s="149">
        <v>21098.23</v>
      </c>
      <c r="T51" s="149">
        <f t="shared" si="7"/>
        <v>134333.49</v>
      </c>
    </row>
    <row r="52" spans="1:20" ht="15.75" thickBot="1">
      <c r="A52" s="146"/>
      <c r="B52" s="146"/>
      <c r="C52" s="146"/>
      <c r="D52" s="146"/>
      <c r="E52" s="146"/>
      <c r="F52" s="146"/>
      <c r="G52" s="146" t="s">
        <v>630</v>
      </c>
      <c r="H52" s="149"/>
      <c r="I52" s="149"/>
      <c r="J52" s="149">
        <v>2.54</v>
      </c>
      <c r="K52" s="149"/>
      <c r="L52" s="149"/>
      <c r="M52" s="149"/>
      <c r="N52" s="149"/>
      <c r="O52" s="149"/>
      <c r="P52" s="149"/>
      <c r="Q52" s="149"/>
      <c r="R52" s="149"/>
      <c r="S52" s="149"/>
      <c r="T52" s="149">
        <f t="shared" si="7"/>
        <v>2.54</v>
      </c>
    </row>
    <row r="53" spans="1:20" ht="15.75" thickBot="1">
      <c r="A53" s="146"/>
      <c r="B53" s="146"/>
      <c r="C53" s="146"/>
      <c r="D53" s="146"/>
      <c r="E53" s="146"/>
      <c r="F53" s="146" t="s">
        <v>631</v>
      </c>
      <c r="G53" s="146"/>
      <c r="H53" s="152">
        <f t="shared" ref="H53:S53" si="8">ROUND(SUM(H48:H52),5)</f>
        <v>10673.6</v>
      </c>
      <c r="I53" s="152">
        <f t="shared" si="8"/>
        <v>10491.42</v>
      </c>
      <c r="J53" s="152">
        <f t="shared" si="8"/>
        <v>10034.56</v>
      </c>
      <c r="K53" s="152">
        <f t="shared" si="8"/>
        <v>10364.709999999999</v>
      </c>
      <c r="L53" s="152">
        <f t="shared" si="8"/>
        <v>9870.77</v>
      </c>
      <c r="M53" s="152">
        <f t="shared" si="8"/>
        <v>15651.72</v>
      </c>
      <c r="N53" s="152">
        <f t="shared" si="8"/>
        <v>10847.36</v>
      </c>
      <c r="O53" s="152">
        <f t="shared" si="8"/>
        <v>10603.24</v>
      </c>
      <c r="P53" s="152">
        <f t="shared" si="8"/>
        <v>10602.41</v>
      </c>
      <c r="Q53" s="152">
        <f t="shared" si="8"/>
        <v>10366.14</v>
      </c>
      <c r="R53" s="152">
        <f t="shared" si="8"/>
        <v>10277.68</v>
      </c>
      <c r="S53" s="152">
        <f t="shared" si="8"/>
        <v>21502.73</v>
      </c>
      <c r="T53" s="152">
        <f t="shared" si="7"/>
        <v>141286.34</v>
      </c>
    </row>
    <row r="54" spans="1:20">
      <c r="A54" s="146"/>
      <c r="B54" s="146"/>
      <c r="C54" s="146"/>
      <c r="D54" s="146"/>
      <c r="E54" s="146" t="s">
        <v>632</v>
      </c>
      <c r="F54" s="146"/>
      <c r="G54" s="146"/>
      <c r="H54" s="149">
        <f t="shared" ref="H54:S54" si="9">ROUND(SUM(H39:H47)+H53,5)</f>
        <v>140994.49</v>
      </c>
      <c r="I54" s="149">
        <f t="shared" si="9"/>
        <v>145059.39000000001</v>
      </c>
      <c r="J54" s="149">
        <f t="shared" si="9"/>
        <v>178988.65</v>
      </c>
      <c r="K54" s="149">
        <f t="shared" si="9"/>
        <v>129306.51</v>
      </c>
      <c r="L54" s="149">
        <f t="shared" si="9"/>
        <v>140337.51999999999</v>
      </c>
      <c r="M54" s="149">
        <f t="shared" si="9"/>
        <v>233488.8</v>
      </c>
      <c r="N54" s="149">
        <f t="shared" si="9"/>
        <v>154744.19</v>
      </c>
      <c r="O54" s="149">
        <f t="shared" si="9"/>
        <v>150629.84</v>
      </c>
      <c r="P54" s="149">
        <f t="shared" si="9"/>
        <v>209517.47</v>
      </c>
      <c r="Q54" s="149">
        <f t="shared" si="9"/>
        <v>148754.6</v>
      </c>
      <c r="R54" s="149">
        <f t="shared" si="9"/>
        <v>148008.95999999999</v>
      </c>
      <c r="S54" s="149">
        <f t="shared" si="9"/>
        <v>357393.34</v>
      </c>
      <c r="T54" s="149">
        <f t="shared" si="7"/>
        <v>2137223.7599999998</v>
      </c>
    </row>
    <row r="55" spans="1:20">
      <c r="A55" s="146"/>
      <c r="B55" s="146"/>
      <c r="C55" s="146"/>
      <c r="D55" s="146"/>
      <c r="E55" s="146" t="s">
        <v>236</v>
      </c>
      <c r="F55" s="146"/>
      <c r="G55" s="146"/>
      <c r="H55" s="149">
        <v>268.51</v>
      </c>
      <c r="I55" s="149">
        <v>110.88</v>
      </c>
      <c r="J55" s="149"/>
      <c r="K55" s="149">
        <v>133.33000000000001</v>
      </c>
      <c r="L55" s="149"/>
      <c r="M55" s="149"/>
      <c r="N55" s="149"/>
      <c r="O55" s="149"/>
      <c r="P55" s="149"/>
      <c r="Q55" s="149"/>
      <c r="R55" s="149"/>
      <c r="S55" s="149"/>
      <c r="T55" s="149">
        <f t="shared" si="7"/>
        <v>512.72</v>
      </c>
    </row>
    <row r="56" spans="1:20">
      <c r="A56" s="146"/>
      <c r="B56" s="146"/>
      <c r="C56" s="146"/>
      <c r="D56" s="146"/>
      <c r="E56" s="146" t="s">
        <v>237</v>
      </c>
      <c r="F56" s="146"/>
      <c r="G56" s="146"/>
      <c r="H56" s="149"/>
      <c r="I56" s="149"/>
      <c r="J56" s="149"/>
      <c r="K56" s="149"/>
      <c r="L56" s="149"/>
      <c r="M56" s="149"/>
      <c r="N56" s="149"/>
      <c r="O56" s="149"/>
      <c r="P56" s="149"/>
      <c r="Q56" s="149">
        <v>6178.18</v>
      </c>
      <c r="R56" s="149"/>
      <c r="S56" s="149"/>
      <c r="T56" s="149">
        <f t="shared" si="7"/>
        <v>6178.18</v>
      </c>
    </row>
    <row r="57" spans="1:20">
      <c r="A57" s="146"/>
      <c r="B57" s="146"/>
      <c r="C57" s="146"/>
      <c r="D57" s="146"/>
      <c r="E57" s="146" t="s">
        <v>633</v>
      </c>
      <c r="F57" s="146"/>
      <c r="G57" s="146"/>
      <c r="H57" s="149"/>
      <c r="I57" s="149">
        <v>169</v>
      </c>
      <c r="J57" s="149">
        <v>1035.6600000000001</v>
      </c>
      <c r="K57" s="149">
        <v>614.28</v>
      </c>
      <c r="L57" s="149">
        <v>98</v>
      </c>
      <c r="M57" s="149">
        <v>550.71</v>
      </c>
      <c r="N57" s="149">
        <v>409.89</v>
      </c>
      <c r="O57" s="149">
        <v>80</v>
      </c>
      <c r="P57" s="149">
        <v>1511.32</v>
      </c>
      <c r="Q57" s="149">
        <v>972.78</v>
      </c>
      <c r="R57" s="149">
        <v>67.650000000000006</v>
      </c>
      <c r="S57" s="149">
        <v>2202.14</v>
      </c>
      <c r="T57" s="149">
        <f t="shared" si="7"/>
        <v>7711.43</v>
      </c>
    </row>
    <row r="58" spans="1:20">
      <c r="A58" s="146"/>
      <c r="B58" s="146"/>
      <c r="C58" s="146"/>
      <c r="D58" s="146"/>
      <c r="E58" s="146" t="s">
        <v>239</v>
      </c>
      <c r="F58" s="146"/>
      <c r="G58" s="146"/>
      <c r="H58" s="149">
        <v>1774.46</v>
      </c>
      <c r="I58" s="149">
        <v>1262.07</v>
      </c>
      <c r="J58" s="149">
        <v>2117.81</v>
      </c>
      <c r="K58" s="149">
        <v>6570.57</v>
      </c>
      <c r="L58" s="149">
        <v>1299.95</v>
      </c>
      <c r="M58" s="149">
        <v>3180.34</v>
      </c>
      <c r="N58" s="149">
        <v>2265.79</v>
      </c>
      <c r="O58" s="149">
        <v>2419.6799999999998</v>
      </c>
      <c r="P58" s="149">
        <v>2163.52</v>
      </c>
      <c r="Q58" s="149">
        <v>4808.74</v>
      </c>
      <c r="R58" s="149">
        <v>6588.79</v>
      </c>
      <c r="S58" s="149">
        <v>1593.91</v>
      </c>
      <c r="T58" s="149">
        <f t="shared" si="7"/>
        <v>36045.629999999997</v>
      </c>
    </row>
    <row r="59" spans="1:20">
      <c r="A59" s="146"/>
      <c r="B59" s="146"/>
      <c r="C59" s="146"/>
      <c r="D59" s="146"/>
      <c r="E59" s="146" t="s">
        <v>240</v>
      </c>
      <c r="F59" s="146"/>
      <c r="G59" s="146"/>
      <c r="H59" s="149">
        <v>121.73</v>
      </c>
      <c r="I59" s="149"/>
      <c r="J59" s="149">
        <v>5744.03</v>
      </c>
      <c r="K59" s="149"/>
      <c r="L59" s="149"/>
      <c r="M59" s="149"/>
      <c r="N59" s="149"/>
      <c r="O59" s="149">
        <v>790.14</v>
      </c>
      <c r="P59" s="149">
        <v>3293.75</v>
      </c>
      <c r="Q59" s="149"/>
      <c r="R59" s="149"/>
      <c r="S59" s="149"/>
      <c r="T59" s="149">
        <f t="shared" si="7"/>
        <v>9949.65</v>
      </c>
    </row>
    <row r="60" spans="1:20">
      <c r="A60" s="146"/>
      <c r="B60" s="146"/>
      <c r="C60" s="146"/>
      <c r="D60" s="146"/>
      <c r="E60" s="146" t="s">
        <v>634</v>
      </c>
      <c r="F60" s="146"/>
      <c r="G60" s="146"/>
      <c r="H60" s="149"/>
      <c r="I60" s="149"/>
      <c r="J60" s="149"/>
      <c r="K60" s="149">
        <v>22.46</v>
      </c>
      <c r="L60" s="149"/>
      <c r="M60" s="149">
        <v>336.32</v>
      </c>
      <c r="N60" s="149">
        <v>683.26</v>
      </c>
      <c r="O60" s="149"/>
      <c r="P60" s="149"/>
      <c r="Q60" s="149"/>
      <c r="R60" s="149"/>
      <c r="S60" s="149">
        <v>199.28</v>
      </c>
      <c r="T60" s="149">
        <f t="shared" si="7"/>
        <v>1241.32</v>
      </c>
    </row>
    <row r="61" spans="1:20">
      <c r="A61" s="146"/>
      <c r="B61" s="146"/>
      <c r="C61" s="146"/>
      <c r="D61" s="146"/>
      <c r="E61" s="146" t="s">
        <v>43</v>
      </c>
      <c r="F61" s="146"/>
      <c r="G61" s="146"/>
      <c r="H61" s="149"/>
      <c r="I61" s="149"/>
      <c r="J61" s="149"/>
      <c r="K61" s="149"/>
      <c r="L61" s="149"/>
      <c r="M61" s="149"/>
      <c r="N61" s="149"/>
      <c r="O61" s="149"/>
      <c r="P61" s="149"/>
      <c r="Q61" s="149"/>
      <c r="R61" s="149"/>
      <c r="S61" s="149"/>
      <c r="T61" s="149"/>
    </row>
    <row r="62" spans="1:20">
      <c r="A62" s="146"/>
      <c r="B62" s="146"/>
      <c r="C62" s="146"/>
      <c r="D62" s="146"/>
      <c r="E62" s="146"/>
      <c r="F62" s="146" t="s">
        <v>635</v>
      </c>
      <c r="G62" s="146"/>
      <c r="H62" s="149">
        <v>100</v>
      </c>
      <c r="I62" s="149"/>
      <c r="J62" s="149"/>
      <c r="K62" s="149"/>
      <c r="L62" s="149">
        <v>100</v>
      </c>
      <c r="M62" s="149">
        <v>100</v>
      </c>
      <c r="N62" s="149">
        <v>200</v>
      </c>
      <c r="O62" s="149"/>
      <c r="P62" s="149">
        <v>100</v>
      </c>
      <c r="Q62" s="149">
        <v>200</v>
      </c>
      <c r="R62" s="149"/>
      <c r="S62" s="149"/>
      <c r="T62" s="149">
        <f>ROUND(SUM(H62:S62),5)</f>
        <v>800</v>
      </c>
    </row>
    <row r="63" spans="1:20" ht="15.75" thickBot="1">
      <c r="A63" s="146"/>
      <c r="B63" s="146"/>
      <c r="C63" s="146"/>
      <c r="D63" s="146"/>
      <c r="E63" s="146"/>
      <c r="F63" s="146" t="s">
        <v>636</v>
      </c>
      <c r="G63" s="146"/>
      <c r="H63" s="151"/>
      <c r="I63" s="151"/>
      <c r="J63" s="151"/>
      <c r="K63" s="151"/>
      <c r="L63" s="151"/>
      <c r="M63" s="151"/>
      <c r="N63" s="151"/>
      <c r="O63" s="151"/>
      <c r="P63" s="151">
        <v>2.48</v>
      </c>
      <c r="Q63" s="151"/>
      <c r="R63" s="151"/>
      <c r="S63" s="151"/>
      <c r="T63" s="151">
        <f>ROUND(SUM(H63:S63),5)</f>
        <v>2.48</v>
      </c>
    </row>
    <row r="64" spans="1:20">
      <c r="A64" s="146"/>
      <c r="B64" s="146"/>
      <c r="C64" s="146"/>
      <c r="D64" s="146"/>
      <c r="E64" s="146" t="s">
        <v>637</v>
      </c>
      <c r="F64" s="146"/>
      <c r="G64" s="146"/>
      <c r="H64" s="149">
        <f>ROUND(SUM(H61:H63),5)</f>
        <v>100</v>
      </c>
      <c r="I64" s="149"/>
      <c r="J64" s="149"/>
      <c r="K64" s="149"/>
      <c r="L64" s="149">
        <f>ROUND(SUM(L61:L63),5)</f>
        <v>100</v>
      </c>
      <c r="M64" s="149">
        <f>ROUND(SUM(M61:M63),5)</f>
        <v>100</v>
      </c>
      <c r="N64" s="149">
        <f>ROUND(SUM(N61:N63),5)</f>
        <v>200</v>
      </c>
      <c r="O64" s="149"/>
      <c r="P64" s="149">
        <f>ROUND(SUM(P61:P63),5)</f>
        <v>102.48</v>
      </c>
      <c r="Q64" s="149">
        <f>ROUND(SUM(Q61:Q63),5)</f>
        <v>200</v>
      </c>
      <c r="R64" s="149"/>
      <c r="S64" s="149"/>
      <c r="T64" s="149">
        <f>ROUND(SUM(H64:S64),5)</f>
        <v>802.48</v>
      </c>
    </row>
    <row r="65" spans="1:20">
      <c r="A65" s="146"/>
      <c r="B65" s="146"/>
      <c r="C65" s="146"/>
      <c r="D65" s="146"/>
      <c r="E65" s="146" t="s">
        <v>638</v>
      </c>
      <c r="F65" s="146"/>
      <c r="G65" s="146"/>
      <c r="H65" s="149"/>
      <c r="I65" s="149"/>
      <c r="J65" s="149"/>
      <c r="K65" s="149"/>
      <c r="L65" s="149"/>
      <c r="M65" s="149"/>
      <c r="N65" s="149"/>
      <c r="O65" s="149"/>
      <c r="P65" s="149"/>
      <c r="Q65" s="149"/>
      <c r="R65" s="149"/>
      <c r="S65" s="149"/>
      <c r="T65" s="149"/>
    </row>
    <row r="66" spans="1:20">
      <c r="A66" s="146"/>
      <c r="B66" s="146"/>
      <c r="C66" s="146"/>
      <c r="D66" s="146"/>
      <c r="E66" s="146"/>
      <c r="F66" s="146" t="s">
        <v>639</v>
      </c>
      <c r="G66" s="146"/>
      <c r="H66" s="149"/>
      <c r="I66" s="149"/>
      <c r="J66" s="149"/>
      <c r="K66" s="149"/>
      <c r="L66" s="149"/>
      <c r="M66" s="149"/>
      <c r="N66" s="149">
        <v>3339.99</v>
      </c>
      <c r="O66" s="149"/>
      <c r="P66" s="149"/>
      <c r="Q66" s="149"/>
      <c r="R66" s="149"/>
      <c r="S66" s="149"/>
      <c r="T66" s="149">
        <f t="shared" ref="T66:T77" si="10">ROUND(SUM(H66:S66),5)</f>
        <v>3339.99</v>
      </c>
    </row>
    <row r="67" spans="1:20">
      <c r="A67" s="146"/>
      <c r="B67" s="146"/>
      <c r="C67" s="146"/>
      <c r="D67" s="146"/>
      <c r="E67" s="146"/>
      <c r="F67" s="146" t="s">
        <v>640</v>
      </c>
      <c r="G67" s="146"/>
      <c r="H67" s="149"/>
      <c r="I67" s="149"/>
      <c r="J67" s="149"/>
      <c r="K67" s="149">
        <v>2392.14</v>
      </c>
      <c r="L67" s="149"/>
      <c r="M67" s="149"/>
      <c r="N67" s="149"/>
      <c r="O67" s="149"/>
      <c r="P67" s="149"/>
      <c r="Q67" s="149"/>
      <c r="R67" s="149">
        <v>140</v>
      </c>
      <c r="S67" s="149"/>
      <c r="T67" s="149">
        <f t="shared" si="10"/>
        <v>2532.14</v>
      </c>
    </row>
    <row r="68" spans="1:20">
      <c r="A68" s="146"/>
      <c r="B68" s="146"/>
      <c r="C68" s="146"/>
      <c r="D68" s="146"/>
      <c r="E68" s="146"/>
      <c r="F68" s="146" t="s">
        <v>641</v>
      </c>
      <c r="G68" s="146"/>
      <c r="H68" s="149"/>
      <c r="I68" s="149"/>
      <c r="J68" s="149"/>
      <c r="K68" s="149">
        <v>20548.8</v>
      </c>
      <c r="L68" s="149"/>
      <c r="M68" s="149"/>
      <c r="N68" s="149"/>
      <c r="O68" s="149"/>
      <c r="P68" s="149"/>
      <c r="Q68" s="149"/>
      <c r="R68" s="149"/>
      <c r="S68" s="149"/>
      <c r="T68" s="149">
        <f t="shared" si="10"/>
        <v>20548.8</v>
      </c>
    </row>
    <row r="69" spans="1:20">
      <c r="A69" s="146"/>
      <c r="B69" s="146"/>
      <c r="C69" s="146"/>
      <c r="D69" s="146"/>
      <c r="E69" s="146"/>
      <c r="F69" s="146" t="s">
        <v>642</v>
      </c>
      <c r="G69" s="146"/>
      <c r="H69" s="149"/>
      <c r="I69" s="149"/>
      <c r="J69" s="149"/>
      <c r="K69" s="149">
        <v>7792.15</v>
      </c>
      <c r="L69" s="149"/>
      <c r="M69" s="149"/>
      <c r="N69" s="149"/>
      <c r="O69" s="149"/>
      <c r="P69" s="149"/>
      <c r="Q69" s="149">
        <v>7792.15</v>
      </c>
      <c r="R69" s="149"/>
      <c r="S69" s="149"/>
      <c r="T69" s="149">
        <f t="shared" si="10"/>
        <v>15584.3</v>
      </c>
    </row>
    <row r="70" spans="1:20" ht="15.75" thickBot="1">
      <c r="A70" s="146"/>
      <c r="B70" s="146"/>
      <c r="C70" s="146"/>
      <c r="D70" s="146"/>
      <c r="E70" s="146"/>
      <c r="F70" s="146" t="s">
        <v>643</v>
      </c>
      <c r="G70" s="146"/>
      <c r="H70" s="151">
        <v>5127.83</v>
      </c>
      <c r="I70" s="151">
        <v>10393.99</v>
      </c>
      <c r="J70" s="151">
        <v>8155.9</v>
      </c>
      <c r="K70" s="151">
        <v>8554.08</v>
      </c>
      <c r="L70" s="151">
        <v>8360.02</v>
      </c>
      <c r="M70" s="151">
        <v>9374.02</v>
      </c>
      <c r="N70" s="151">
        <v>8759.83</v>
      </c>
      <c r="O70" s="151">
        <v>7562.23</v>
      </c>
      <c r="P70" s="151">
        <v>11477.81</v>
      </c>
      <c r="Q70" s="151">
        <v>9376.5400000000009</v>
      </c>
      <c r="R70" s="151">
        <v>7579.42</v>
      </c>
      <c r="S70" s="151">
        <v>10453.5</v>
      </c>
      <c r="T70" s="151">
        <f t="shared" si="10"/>
        <v>105175.17</v>
      </c>
    </row>
    <row r="71" spans="1:20">
      <c r="A71" s="146"/>
      <c r="B71" s="146"/>
      <c r="C71" s="146"/>
      <c r="D71" s="146"/>
      <c r="E71" s="146" t="s">
        <v>644</v>
      </c>
      <c r="F71" s="146"/>
      <c r="G71" s="146"/>
      <c r="H71" s="149">
        <f t="shared" ref="H71:S71" si="11">ROUND(SUM(H65:H70),5)</f>
        <v>5127.83</v>
      </c>
      <c r="I71" s="149">
        <f t="shared" si="11"/>
        <v>10393.99</v>
      </c>
      <c r="J71" s="149">
        <f t="shared" si="11"/>
        <v>8155.9</v>
      </c>
      <c r="K71" s="149">
        <f t="shared" si="11"/>
        <v>39287.17</v>
      </c>
      <c r="L71" s="149">
        <f t="shared" si="11"/>
        <v>8360.02</v>
      </c>
      <c r="M71" s="149">
        <f t="shared" si="11"/>
        <v>9374.02</v>
      </c>
      <c r="N71" s="149">
        <f t="shared" si="11"/>
        <v>12099.82</v>
      </c>
      <c r="O71" s="149">
        <f t="shared" si="11"/>
        <v>7562.23</v>
      </c>
      <c r="P71" s="149">
        <f t="shared" si="11"/>
        <v>11477.81</v>
      </c>
      <c r="Q71" s="149">
        <f t="shared" si="11"/>
        <v>17168.689999999999</v>
      </c>
      <c r="R71" s="149">
        <f t="shared" si="11"/>
        <v>7719.42</v>
      </c>
      <c r="S71" s="149">
        <f t="shared" si="11"/>
        <v>10453.5</v>
      </c>
      <c r="T71" s="149">
        <f t="shared" si="10"/>
        <v>147180.4</v>
      </c>
    </row>
    <row r="72" spans="1:20">
      <c r="A72" s="146"/>
      <c r="B72" s="146"/>
      <c r="C72" s="146"/>
      <c r="D72" s="146"/>
      <c r="E72" s="146" t="s">
        <v>241</v>
      </c>
      <c r="F72" s="146"/>
      <c r="G72" s="146"/>
      <c r="H72" s="149"/>
      <c r="I72" s="149"/>
      <c r="J72" s="149"/>
      <c r="K72" s="149"/>
      <c r="L72" s="149"/>
      <c r="M72" s="149">
        <v>550</v>
      </c>
      <c r="N72" s="149"/>
      <c r="O72" s="149"/>
      <c r="P72" s="149">
        <v>6187</v>
      </c>
      <c r="Q72" s="149"/>
      <c r="R72" s="149"/>
      <c r="S72" s="149"/>
      <c r="T72" s="149">
        <f t="shared" si="10"/>
        <v>6737</v>
      </c>
    </row>
    <row r="73" spans="1:20">
      <c r="A73" s="146"/>
      <c r="B73" s="146"/>
      <c r="C73" s="146"/>
      <c r="D73" s="146"/>
      <c r="E73" s="146" t="s">
        <v>645</v>
      </c>
      <c r="F73" s="146"/>
      <c r="G73" s="146"/>
      <c r="H73" s="149"/>
      <c r="I73" s="149"/>
      <c r="J73" s="149"/>
      <c r="K73" s="149"/>
      <c r="L73" s="149"/>
      <c r="M73" s="149"/>
      <c r="N73" s="149"/>
      <c r="O73" s="149">
        <v>907.56</v>
      </c>
      <c r="P73" s="149">
        <v>907.56</v>
      </c>
      <c r="Q73" s="149"/>
      <c r="R73" s="149"/>
      <c r="S73" s="149"/>
      <c r="T73" s="149">
        <f t="shared" si="10"/>
        <v>1815.12</v>
      </c>
    </row>
    <row r="74" spans="1:20">
      <c r="A74" s="146"/>
      <c r="B74" s="146"/>
      <c r="C74" s="146"/>
      <c r="D74" s="146"/>
      <c r="E74" s="146" t="s">
        <v>242</v>
      </c>
      <c r="F74" s="146"/>
      <c r="G74" s="146"/>
      <c r="H74" s="149">
        <v>21.75</v>
      </c>
      <c r="I74" s="149">
        <v>900</v>
      </c>
      <c r="J74" s="149"/>
      <c r="K74" s="149">
        <v>1530.65</v>
      </c>
      <c r="L74" s="149"/>
      <c r="M74" s="149">
        <v>1500</v>
      </c>
      <c r="N74" s="149">
        <v>600</v>
      </c>
      <c r="O74" s="149"/>
      <c r="P74" s="149">
        <v>971.4</v>
      </c>
      <c r="Q74" s="149">
        <v>1878.65</v>
      </c>
      <c r="R74" s="149">
        <v>6.5</v>
      </c>
      <c r="S74" s="149">
        <v>1267.55</v>
      </c>
      <c r="T74" s="149">
        <f t="shared" si="10"/>
        <v>8676.5</v>
      </c>
    </row>
    <row r="75" spans="1:20">
      <c r="A75" s="146"/>
      <c r="B75" s="146"/>
      <c r="C75" s="146"/>
      <c r="D75" s="146"/>
      <c r="E75" s="146" t="s">
        <v>243</v>
      </c>
      <c r="F75" s="146"/>
      <c r="G75" s="146"/>
      <c r="H75" s="149">
        <v>1727.92</v>
      </c>
      <c r="I75" s="149"/>
      <c r="J75" s="149">
        <v>1749.09</v>
      </c>
      <c r="K75" s="149">
        <v>715.3</v>
      </c>
      <c r="L75" s="149"/>
      <c r="M75" s="149">
        <v>1374.93</v>
      </c>
      <c r="N75" s="149">
        <v>559</v>
      </c>
      <c r="O75" s="149"/>
      <c r="P75" s="149">
        <v>711.93</v>
      </c>
      <c r="Q75" s="149">
        <v>1223.44</v>
      </c>
      <c r="R75" s="149"/>
      <c r="S75" s="149">
        <v>2110.9699999999998</v>
      </c>
      <c r="T75" s="149">
        <f t="shared" si="10"/>
        <v>10172.58</v>
      </c>
    </row>
    <row r="76" spans="1:20">
      <c r="A76" s="146"/>
      <c r="B76" s="146"/>
      <c r="C76" s="146"/>
      <c r="D76" s="146"/>
      <c r="E76" s="146" t="s">
        <v>244</v>
      </c>
      <c r="F76" s="146"/>
      <c r="G76" s="146"/>
      <c r="H76" s="149">
        <v>26045.18</v>
      </c>
      <c r="I76" s="149">
        <v>17774.3</v>
      </c>
      <c r="J76" s="149">
        <v>8569.93</v>
      </c>
      <c r="K76" s="149">
        <v>30281.86</v>
      </c>
      <c r="L76" s="149">
        <v>21531.65</v>
      </c>
      <c r="M76" s="149">
        <v>19373.41</v>
      </c>
      <c r="N76" s="149">
        <v>15467.38</v>
      </c>
      <c r="O76" s="149">
        <v>34217.67</v>
      </c>
      <c r="P76" s="149">
        <v>26974.28</v>
      </c>
      <c r="Q76" s="149">
        <v>23656.32</v>
      </c>
      <c r="R76" s="149">
        <v>15329.42</v>
      </c>
      <c r="S76" s="149">
        <v>56433.83</v>
      </c>
      <c r="T76" s="149">
        <f t="shared" si="10"/>
        <v>295655.23</v>
      </c>
    </row>
    <row r="77" spans="1:20">
      <c r="A77" s="146"/>
      <c r="B77" s="146"/>
      <c r="C77" s="146"/>
      <c r="D77" s="146"/>
      <c r="E77" s="146" t="s">
        <v>245</v>
      </c>
      <c r="F77" s="146"/>
      <c r="G77" s="146"/>
      <c r="H77" s="149"/>
      <c r="I77" s="149"/>
      <c r="J77" s="149"/>
      <c r="K77" s="149"/>
      <c r="L77" s="149"/>
      <c r="M77" s="149">
        <v>5722.5</v>
      </c>
      <c r="N77" s="149"/>
      <c r="O77" s="149"/>
      <c r="P77" s="149"/>
      <c r="Q77" s="149"/>
      <c r="R77" s="149"/>
      <c r="S77" s="149"/>
      <c r="T77" s="149">
        <f t="shared" si="10"/>
        <v>5722.5</v>
      </c>
    </row>
    <row r="78" spans="1:20">
      <c r="A78" s="146"/>
      <c r="B78" s="146"/>
      <c r="C78" s="146"/>
      <c r="D78" s="146"/>
      <c r="E78" s="146" t="s">
        <v>246</v>
      </c>
      <c r="F78" s="146"/>
      <c r="G78" s="146"/>
      <c r="H78" s="149"/>
      <c r="I78" s="149"/>
      <c r="J78" s="149"/>
      <c r="K78" s="149"/>
      <c r="L78" s="149"/>
      <c r="M78" s="149"/>
      <c r="N78" s="149"/>
      <c r="O78" s="149"/>
      <c r="P78" s="149"/>
      <c r="Q78" s="149"/>
      <c r="R78" s="149"/>
      <c r="S78" s="149"/>
      <c r="T78" s="149"/>
    </row>
    <row r="79" spans="1:20" ht="15.75" thickBot="1">
      <c r="A79" s="146"/>
      <c r="B79" s="146"/>
      <c r="C79" s="146"/>
      <c r="D79" s="146"/>
      <c r="E79" s="146"/>
      <c r="F79" s="146" t="s">
        <v>646</v>
      </c>
      <c r="G79" s="146"/>
      <c r="H79" s="151"/>
      <c r="I79" s="151"/>
      <c r="J79" s="151"/>
      <c r="K79" s="151"/>
      <c r="L79" s="151"/>
      <c r="M79" s="151"/>
      <c r="N79" s="151"/>
      <c r="O79" s="151"/>
      <c r="P79" s="151">
        <v>4058.4</v>
      </c>
      <c r="Q79" s="151"/>
      <c r="R79" s="151"/>
      <c r="S79" s="151"/>
      <c r="T79" s="151">
        <f t="shared" ref="T79:T91" si="12">ROUND(SUM(H79:S79),5)</f>
        <v>4058.4</v>
      </c>
    </row>
    <row r="80" spans="1:20">
      <c r="A80" s="146"/>
      <c r="B80" s="146"/>
      <c r="C80" s="146"/>
      <c r="D80" s="146"/>
      <c r="E80" s="146" t="s">
        <v>647</v>
      </c>
      <c r="F80" s="146"/>
      <c r="G80" s="146"/>
      <c r="H80" s="149"/>
      <c r="I80" s="149"/>
      <c r="J80" s="149"/>
      <c r="K80" s="149"/>
      <c r="L80" s="149"/>
      <c r="M80" s="149"/>
      <c r="N80" s="149"/>
      <c r="O80" s="149"/>
      <c r="P80" s="149">
        <f>ROUND(SUM(P78:P79),5)</f>
        <v>4058.4</v>
      </c>
      <c r="Q80" s="149"/>
      <c r="R80" s="149"/>
      <c r="S80" s="149"/>
      <c r="T80" s="149">
        <f t="shared" si="12"/>
        <v>4058.4</v>
      </c>
    </row>
    <row r="81" spans="1:20">
      <c r="A81" s="146"/>
      <c r="B81" s="146"/>
      <c r="C81" s="146"/>
      <c r="D81" s="146"/>
      <c r="E81" s="146" t="s">
        <v>648</v>
      </c>
      <c r="F81" s="146"/>
      <c r="G81" s="146"/>
      <c r="H81" s="149">
        <v>4004.73</v>
      </c>
      <c r="I81" s="149">
        <v>3708.31</v>
      </c>
      <c r="J81" s="149"/>
      <c r="K81" s="149">
        <v>6134.4</v>
      </c>
      <c r="L81" s="149">
        <v>6420.8</v>
      </c>
      <c r="M81" s="149">
        <v>1554.83</v>
      </c>
      <c r="N81" s="149">
        <v>1342.54</v>
      </c>
      <c r="O81" s="149">
        <v>3192.28</v>
      </c>
      <c r="P81" s="149">
        <v>1658.66</v>
      </c>
      <c r="Q81" s="149">
        <v>8658.65</v>
      </c>
      <c r="R81" s="149">
        <v>10538.6</v>
      </c>
      <c r="S81" s="149">
        <v>2335.0500000000002</v>
      </c>
      <c r="T81" s="149">
        <f t="shared" si="12"/>
        <v>49548.85</v>
      </c>
    </row>
    <row r="82" spans="1:20">
      <c r="A82" s="146"/>
      <c r="B82" s="146"/>
      <c r="C82" s="146"/>
      <c r="D82" s="146"/>
      <c r="E82" s="146" t="s">
        <v>247</v>
      </c>
      <c r="F82" s="146"/>
      <c r="G82" s="146"/>
      <c r="H82" s="149"/>
      <c r="I82" s="149"/>
      <c r="J82" s="149"/>
      <c r="K82" s="149"/>
      <c r="L82" s="149">
        <v>56.74</v>
      </c>
      <c r="M82" s="149"/>
      <c r="N82" s="149"/>
      <c r="O82" s="149"/>
      <c r="P82" s="149"/>
      <c r="Q82" s="149"/>
      <c r="R82" s="149"/>
      <c r="S82" s="149"/>
      <c r="T82" s="149">
        <f t="shared" si="12"/>
        <v>56.74</v>
      </c>
    </row>
    <row r="83" spans="1:20">
      <c r="A83" s="146"/>
      <c r="B83" s="146"/>
      <c r="C83" s="146"/>
      <c r="D83" s="146"/>
      <c r="E83" s="146" t="s">
        <v>248</v>
      </c>
      <c r="F83" s="146"/>
      <c r="G83" s="146"/>
      <c r="H83" s="149">
        <v>192770.85</v>
      </c>
      <c r="I83" s="149"/>
      <c r="J83" s="149">
        <v>-144578</v>
      </c>
      <c r="K83" s="149"/>
      <c r="L83" s="149"/>
      <c r="M83" s="149"/>
      <c r="N83" s="149"/>
      <c r="O83" s="149"/>
      <c r="P83" s="149">
        <v>96979.25</v>
      </c>
      <c r="Q83" s="149">
        <v>594.25</v>
      </c>
      <c r="R83" s="149">
        <v>4565</v>
      </c>
      <c r="S83" s="149">
        <v>48268</v>
      </c>
      <c r="T83" s="149">
        <f t="shared" si="12"/>
        <v>198599.35</v>
      </c>
    </row>
    <row r="84" spans="1:20">
      <c r="A84" s="146"/>
      <c r="B84" s="146"/>
      <c r="C84" s="146"/>
      <c r="D84" s="146"/>
      <c r="E84" s="146" t="s">
        <v>249</v>
      </c>
      <c r="F84" s="146"/>
      <c r="G84" s="146"/>
      <c r="H84" s="149">
        <v>4550.6400000000003</v>
      </c>
      <c r="I84" s="149">
        <v>1225.92</v>
      </c>
      <c r="J84" s="149"/>
      <c r="K84" s="149">
        <v>53.76</v>
      </c>
      <c r="L84" s="149"/>
      <c r="M84" s="149">
        <v>-157.47999999999999</v>
      </c>
      <c r="N84" s="149">
        <v>529.36</v>
      </c>
      <c r="O84" s="149"/>
      <c r="P84" s="149">
        <v>529.36</v>
      </c>
      <c r="Q84" s="149">
        <v>828.79</v>
      </c>
      <c r="R84" s="149">
        <v>1031.94</v>
      </c>
      <c r="S84" s="149">
        <v>804.73</v>
      </c>
      <c r="T84" s="149">
        <f t="shared" si="12"/>
        <v>9397.02</v>
      </c>
    </row>
    <row r="85" spans="1:20">
      <c r="A85" s="146"/>
      <c r="B85" s="146"/>
      <c r="C85" s="146"/>
      <c r="D85" s="146"/>
      <c r="E85" s="146" t="s">
        <v>649</v>
      </c>
      <c r="F85" s="146"/>
      <c r="G85" s="146"/>
      <c r="H85" s="149"/>
      <c r="I85" s="149">
        <v>103.65</v>
      </c>
      <c r="J85" s="149"/>
      <c r="K85" s="149"/>
      <c r="L85" s="149"/>
      <c r="M85" s="149"/>
      <c r="N85" s="149"/>
      <c r="O85" s="149"/>
      <c r="P85" s="149"/>
      <c r="Q85" s="149">
        <v>158.34</v>
      </c>
      <c r="R85" s="149">
        <v>81.900000000000006</v>
      </c>
      <c r="S85" s="149"/>
      <c r="T85" s="149">
        <f t="shared" si="12"/>
        <v>343.89</v>
      </c>
    </row>
    <row r="86" spans="1:20">
      <c r="A86" s="146"/>
      <c r="B86" s="146"/>
      <c r="C86" s="146"/>
      <c r="D86" s="146"/>
      <c r="E86" s="146" t="s">
        <v>250</v>
      </c>
      <c r="F86" s="146"/>
      <c r="G86" s="146"/>
      <c r="H86" s="149">
        <v>1194.1300000000001</v>
      </c>
      <c r="I86" s="149">
        <v>1127.8900000000001</v>
      </c>
      <c r="J86" s="149">
        <v>1175.49</v>
      </c>
      <c r="K86" s="149">
        <v>1193.6400000000001</v>
      </c>
      <c r="L86" s="149">
        <v>1134.1300000000001</v>
      </c>
      <c r="M86" s="149">
        <v>432</v>
      </c>
      <c r="N86" s="149">
        <v>2343.69</v>
      </c>
      <c r="O86" s="149">
        <v>1306.7</v>
      </c>
      <c r="P86" s="149"/>
      <c r="Q86" s="149">
        <v>1315.97</v>
      </c>
      <c r="R86" s="149">
        <v>2661.33</v>
      </c>
      <c r="S86" s="149">
        <v>1254.6600000000001</v>
      </c>
      <c r="T86" s="149">
        <f t="shared" si="12"/>
        <v>15139.63</v>
      </c>
    </row>
    <row r="87" spans="1:20">
      <c r="A87" s="146"/>
      <c r="B87" s="146"/>
      <c r="C87" s="146"/>
      <c r="D87" s="146"/>
      <c r="E87" s="146" t="s">
        <v>251</v>
      </c>
      <c r="F87" s="146"/>
      <c r="G87" s="146"/>
      <c r="H87" s="149">
        <v>1831.5</v>
      </c>
      <c r="I87" s="149">
        <v>10257.5</v>
      </c>
      <c r="J87" s="149">
        <v>103</v>
      </c>
      <c r="K87" s="149">
        <v>1675.48</v>
      </c>
      <c r="L87" s="149"/>
      <c r="M87" s="149"/>
      <c r="N87" s="149"/>
      <c r="O87" s="149"/>
      <c r="P87" s="149">
        <v>566.5</v>
      </c>
      <c r="Q87" s="149"/>
      <c r="R87" s="149"/>
      <c r="S87" s="149"/>
      <c r="T87" s="149">
        <f t="shared" si="12"/>
        <v>14433.98</v>
      </c>
    </row>
    <row r="88" spans="1:20">
      <c r="A88" s="146"/>
      <c r="B88" s="146"/>
      <c r="C88" s="146"/>
      <c r="D88" s="146"/>
      <c r="E88" s="146" t="s">
        <v>252</v>
      </c>
      <c r="F88" s="146"/>
      <c r="G88" s="146"/>
      <c r="H88" s="149">
        <v>1082</v>
      </c>
      <c r="I88" s="149">
        <v>832</v>
      </c>
      <c r="J88" s="149">
        <v>257.8</v>
      </c>
      <c r="K88" s="149">
        <v>832</v>
      </c>
      <c r="L88" s="149">
        <v>984</v>
      </c>
      <c r="M88" s="149">
        <v>3616.6</v>
      </c>
      <c r="N88" s="149">
        <v>792</v>
      </c>
      <c r="O88" s="149"/>
      <c r="P88" s="149">
        <v>862</v>
      </c>
      <c r="Q88" s="149">
        <v>3292</v>
      </c>
      <c r="R88" s="149">
        <v>3871.5</v>
      </c>
      <c r="S88" s="149">
        <v>1792</v>
      </c>
      <c r="T88" s="149">
        <f t="shared" si="12"/>
        <v>18213.900000000001</v>
      </c>
    </row>
    <row r="89" spans="1:20">
      <c r="A89" s="146"/>
      <c r="B89" s="146"/>
      <c r="C89" s="146"/>
      <c r="D89" s="146"/>
      <c r="E89" s="146" t="s">
        <v>253</v>
      </c>
      <c r="F89" s="146"/>
      <c r="G89" s="146"/>
      <c r="H89" s="149">
        <v>947.74</v>
      </c>
      <c r="I89" s="149">
        <v>1086.1500000000001</v>
      </c>
      <c r="J89" s="149">
        <v>377.15</v>
      </c>
      <c r="K89" s="149">
        <v>1464.06</v>
      </c>
      <c r="L89" s="149">
        <v>266.88</v>
      </c>
      <c r="M89" s="149">
        <v>1229.0899999999999</v>
      </c>
      <c r="N89" s="149">
        <v>721.28</v>
      </c>
      <c r="O89" s="149">
        <v>435.3</v>
      </c>
      <c r="P89" s="149">
        <v>1213.54</v>
      </c>
      <c r="Q89" s="149">
        <v>1164.48</v>
      </c>
      <c r="R89" s="149">
        <v>93.4</v>
      </c>
      <c r="S89" s="149">
        <v>1469.68</v>
      </c>
      <c r="T89" s="149">
        <f t="shared" si="12"/>
        <v>10468.75</v>
      </c>
    </row>
    <row r="90" spans="1:20">
      <c r="A90" s="146"/>
      <c r="B90" s="146"/>
      <c r="C90" s="146"/>
      <c r="D90" s="146"/>
      <c r="E90" s="146" t="s">
        <v>13</v>
      </c>
      <c r="F90" s="146"/>
      <c r="G90" s="146"/>
      <c r="H90" s="149">
        <v>2071.23</v>
      </c>
      <c r="I90" s="149">
        <v>1444.1</v>
      </c>
      <c r="J90" s="149">
        <v>1044.03</v>
      </c>
      <c r="K90" s="149">
        <v>1348.38</v>
      </c>
      <c r="L90" s="149">
        <v>596.72</v>
      </c>
      <c r="M90" s="149">
        <v>720.88</v>
      </c>
      <c r="N90" s="149">
        <v>684.81</v>
      </c>
      <c r="O90" s="149">
        <v>813.35</v>
      </c>
      <c r="P90" s="149">
        <v>214.63</v>
      </c>
      <c r="Q90" s="149">
        <v>1061.3800000000001</v>
      </c>
      <c r="R90" s="149">
        <v>788.81</v>
      </c>
      <c r="S90" s="149">
        <v>1474.09</v>
      </c>
      <c r="T90" s="149">
        <f t="shared" si="12"/>
        <v>12262.41</v>
      </c>
    </row>
    <row r="91" spans="1:20">
      <c r="A91" s="146"/>
      <c r="B91" s="146"/>
      <c r="C91" s="146"/>
      <c r="D91" s="146"/>
      <c r="E91" s="146" t="s">
        <v>650</v>
      </c>
      <c r="F91" s="146"/>
      <c r="G91" s="146"/>
      <c r="H91" s="149">
        <v>5673.5</v>
      </c>
      <c r="I91" s="149">
        <v>222.5</v>
      </c>
      <c r="J91" s="149"/>
      <c r="K91" s="149"/>
      <c r="L91" s="149">
        <v>3918.5</v>
      </c>
      <c r="M91" s="149">
        <v>1031</v>
      </c>
      <c r="N91" s="149">
        <v>6941.5</v>
      </c>
      <c r="O91" s="149"/>
      <c r="P91" s="149">
        <v>871</v>
      </c>
      <c r="Q91" s="149">
        <v>3360.15</v>
      </c>
      <c r="R91" s="149">
        <v>3371.5</v>
      </c>
      <c r="S91" s="149">
        <v>3073.6</v>
      </c>
      <c r="T91" s="149">
        <f t="shared" si="12"/>
        <v>28463.25</v>
      </c>
    </row>
    <row r="92" spans="1:20">
      <c r="A92" s="146"/>
      <c r="B92" s="146"/>
      <c r="C92" s="146"/>
      <c r="D92" s="146"/>
      <c r="E92" s="146" t="s">
        <v>255</v>
      </c>
      <c r="F92" s="146"/>
      <c r="G92" s="146"/>
      <c r="H92" s="149"/>
      <c r="I92" s="149"/>
      <c r="J92" s="149"/>
      <c r="K92" s="149"/>
      <c r="L92" s="149"/>
      <c r="M92" s="149"/>
      <c r="N92" s="149"/>
      <c r="O92" s="149"/>
      <c r="P92" s="149"/>
      <c r="Q92" s="149"/>
      <c r="R92" s="149"/>
      <c r="S92" s="149"/>
      <c r="T92" s="149"/>
    </row>
    <row r="93" spans="1:20">
      <c r="A93" s="146"/>
      <c r="B93" s="146"/>
      <c r="C93" s="146"/>
      <c r="D93" s="146"/>
      <c r="E93" s="146" t="s">
        <v>256</v>
      </c>
      <c r="F93" s="146"/>
      <c r="G93" s="146"/>
      <c r="H93" s="149">
        <v>5000</v>
      </c>
      <c r="I93" s="149">
        <v>5000</v>
      </c>
      <c r="J93" s="149">
        <v>5000</v>
      </c>
      <c r="K93" s="149">
        <v>5000</v>
      </c>
      <c r="L93" s="149">
        <v>5000</v>
      </c>
      <c r="M93" s="149">
        <v>5000</v>
      </c>
      <c r="N93" s="149">
        <v>5000</v>
      </c>
      <c r="O93" s="149">
        <v>5000</v>
      </c>
      <c r="P93" s="149">
        <v>5000</v>
      </c>
      <c r="Q93" s="149">
        <v>5000</v>
      </c>
      <c r="R93" s="149"/>
      <c r="S93" s="149">
        <v>10000</v>
      </c>
      <c r="T93" s="149">
        <f>ROUND(SUM(H93:S93),5)</f>
        <v>60000</v>
      </c>
    </row>
    <row r="94" spans="1:20">
      <c r="A94" s="146"/>
      <c r="B94" s="146"/>
      <c r="C94" s="146"/>
      <c r="D94" s="146"/>
      <c r="E94" s="146" t="s">
        <v>257</v>
      </c>
      <c r="F94" s="146"/>
      <c r="G94" s="146"/>
      <c r="H94" s="149">
        <v>204.83</v>
      </c>
      <c r="I94" s="149"/>
      <c r="J94" s="149"/>
      <c r="K94" s="149">
        <v>205.01</v>
      </c>
      <c r="L94" s="149"/>
      <c r="M94" s="149"/>
      <c r="N94" s="149">
        <v>205.01</v>
      </c>
      <c r="O94" s="149"/>
      <c r="P94" s="149"/>
      <c r="Q94" s="149">
        <v>205.01</v>
      </c>
      <c r="R94" s="149"/>
      <c r="S94" s="149"/>
      <c r="T94" s="149">
        <f>ROUND(SUM(H94:S94),5)</f>
        <v>819.86</v>
      </c>
    </row>
    <row r="95" spans="1:20" ht="15.75" thickBot="1">
      <c r="A95" s="146"/>
      <c r="B95" s="146"/>
      <c r="C95" s="146"/>
      <c r="D95" s="146"/>
      <c r="E95" s="146" t="s">
        <v>258</v>
      </c>
      <c r="F95" s="146"/>
      <c r="G95" s="146"/>
      <c r="H95" s="149">
        <v>1581.64</v>
      </c>
      <c r="I95" s="149">
        <v>1537.47</v>
      </c>
      <c r="J95" s="149">
        <v>1349.36</v>
      </c>
      <c r="K95" s="149">
        <v>1450.42</v>
      </c>
      <c r="L95" s="149">
        <v>1361.92</v>
      </c>
      <c r="M95" s="149">
        <v>1364.09</v>
      </c>
      <c r="N95" s="149">
        <v>1280.1199999999999</v>
      </c>
      <c r="O95" s="149">
        <v>1276.6600000000001</v>
      </c>
      <c r="P95" s="149">
        <v>1232.9100000000001</v>
      </c>
      <c r="Q95" s="149">
        <v>1151.79</v>
      </c>
      <c r="R95" s="149">
        <v>1145.28</v>
      </c>
      <c r="S95" s="149">
        <v>1068.55</v>
      </c>
      <c r="T95" s="149">
        <f>ROUND(SUM(H95:S95),5)</f>
        <v>15800.21</v>
      </c>
    </row>
    <row r="96" spans="1:20" ht="15.75" thickBot="1">
      <c r="A96" s="146"/>
      <c r="B96" s="146"/>
      <c r="C96" s="146"/>
      <c r="D96" s="146" t="s">
        <v>259</v>
      </c>
      <c r="E96" s="146"/>
      <c r="F96" s="146"/>
      <c r="G96" s="146"/>
      <c r="H96" s="152">
        <f t="shared" ref="H96:S96" si="13">ROUND(SUM(H23:H31)+SUM(H36:H38)+SUM(H54:H60)+H64+SUM(H71:H77)+SUM(H80:H95),5)</f>
        <v>549658.1</v>
      </c>
      <c r="I96" s="152">
        <f t="shared" si="13"/>
        <v>385646.81</v>
      </c>
      <c r="J96" s="152">
        <f t="shared" si="13"/>
        <v>253291.12</v>
      </c>
      <c r="K96" s="152">
        <f t="shared" si="13"/>
        <v>420634.94</v>
      </c>
      <c r="L96" s="152">
        <f t="shared" si="13"/>
        <v>383333</v>
      </c>
      <c r="M96" s="152">
        <f t="shared" si="13"/>
        <v>490270.42</v>
      </c>
      <c r="N96" s="152">
        <f t="shared" si="13"/>
        <v>451739.27</v>
      </c>
      <c r="O96" s="152">
        <f t="shared" si="13"/>
        <v>435644.93</v>
      </c>
      <c r="P96" s="152">
        <f t="shared" si="13"/>
        <v>672545.12</v>
      </c>
      <c r="Q96" s="152">
        <f t="shared" si="13"/>
        <v>485081.36</v>
      </c>
      <c r="R96" s="152">
        <f t="shared" si="13"/>
        <v>446501.84</v>
      </c>
      <c r="S96" s="152">
        <f t="shared" si="13"/>
        <v>796320.56</v>
      </c>
      <c r="T96" s="152">
        <f>ROUND(SUM(H96:S96),5)</f>
        <v>5770667.4699999997</v>
      </c>
    </row>
    <row r="97" spans="1:20">
      <c r="A97" s="146"/>
      <c r="B97" s="146" t="s">
        <v>260</v>
      </c>
      <c r="C97" s="146"/>
      <c r="D97" s="146"/>
      <c r="E97" s="146"/>
      <c r="F97" s="146"/>
      <c r="G97" s="146"/>
      <c r="H97" s="149">
        <f t="shared" ref="H97:S97" si="14">ROUND(H5+H22-H96,5)</f>
        <v>-255150</v>
      </c>
      <c r="I97" s="149">
        <f t="shared" si="14"/>
        <v>209307.19</v>
      </c>
      <c r="J97" s="149">
        <f t="shared" si="14"/>
        <v>214426.11</v>
      </c>
      <c r="K97" s="149">
        <f t="shared" si="14"/>
        <v>69908.789999999994</v>
      </c>
      <c r="L97" s="149">
        <f t="shared" si="14"/>
        <v>62658.54</v>
      </c>
      <c r="M97" s="149">
        <f t="shared" si="14"/>
        <v>48969.08</v>
      </c>
      <c r="N97" s="149">
        <f t="shared" si="14"/>
        <v>57656.3</v>
      </c>
      <c r="O97" s="149">
        <f t="shared" si="14"/>
        <v>-499.7</v>
      </c>
      <c r="P97" s="149">
        <f t="shared" si="14"/>
        <v>-13388.43</v>
      </c>
      <c r="Q97" s="149">
        <f t="shared" si="14"/>
        <v>52620.87</v>
      </c>
      <c r="R97" s="149">
        <f t="shared" si="14"/>
        <v>-11790.61</v>
      </c>
      <c r="S97" s="149">
        <f t="shared" si="14"/>
        <v>-197472.83</v>
      </c>
      <c r="T97" s="149">
        <f>ROUND(SUM(H97:S97),5)</f>
        <v>237245.31</v>
      </c>
    </row>
    <row r="98" spans="1:20">
      <c r="A98" s="146"/>
      <c r="B98" s="146" t="s">
        <v>261</v>
      </c>
      <c r="C98" s="146"/>
      <c r="D98" s="146"/>
      <c r="E98" s="146"/>
      <c r="F98" s="146"/>
      <c r="G98" s="146"/>
      <c r="H98" s="149"/>
      <c r="I98" s="149"/>
      <c r="J98" s="149"/>
      <c r="K98" s="149"/>
      <c r="L98" s="149"/>
      <c r="M98" s="149"/>
      <c r="N98" s="149"/>
      <c r="O98" s="149"/>
      <c r="P98" s="149"/>
      <c r="Q98" s="149"/>
      <c r="R98" s="149"/>
      <c r="S98" s="149"/>
      <c r="T98" s="149"/>
    </row>
    <row r="99" spans="1:20">
      <c r="A99" s="146"/>
      <c r="B99" s="146"/>
      <c r="C99" s="146" t="s">
        <v>651</v>
      </c>
      <c r="D99" s="146"/>
      <c r="E99" s="146"/>
      <c r="F99" s="146"/>
      <c r="G99" s="146"/>
      <c r="H99" s="149"/>
      <c r="I99" s="149"/>
      <c r="J99" s="149"/>
      <c r="K99" s="149"/>
      <c r="L99" s="149"/>
      <c r="M99" s="149"/>
      <c r="N99" s="149"/>
      <c r="O99" s="149"/>
      <c r="P99" s="149"/>
      <c r="Q99" s="149"/>
      <c r="R99" s="149"/>
      <c r="S99" s="149"/>
      <c r="T99" s="149"/>
    </row>
    <row r="100" spans="1:20">
      <c r="A100" s="146"/>
      <c r="B100" s="146"/>
      <c r="C100" s="146"/>
      <c r="D100" s="146" t="s">
        <v>652</v>
      </c>
      <c r="E100" s="146"/>
      <c r="F100" s="146"/>
      <c r="G100" s="146"/>
      <c r="H100" s="149"/>
      <c r="I100" s="149"/>
      <c r="J100" s="149"/>
      <c r="K100" s="149"/>
      <c r="L100" s="149"/>
      <c r="M100" s="149"/>
      <c r="N100" s="149">
        <v>24072.97</v>
      </c>
      <c r="O100" s="149"/>
      <c r="P100" s="149"/>
      <c r="Q100" s="149"/>
      <c r="R100" s="149"/>
      <c r="S100" s="149"/>
      <c r="T100" s="149">
        <f>ROUND(SUM(H100:S100),5)</f>
        <v>24072.97</v>
      </c>
    </row>
    <row r="101" spans="1:20">
      <c r="A101" s="146"/>
      <c r="B101" s="146"/>
      <c r="C101" s="146"/>
      <c r="D101" s="146" t="s">
        <v>217</v>
      </c>
      <c r="E101" s="146"/>
      <c r="F101" s="146"/>
      <c r="G101" s="146"/>
      <c r="H101" s="149">
        <v>2628</v>
      </c>
      <c r="I101" s="149"/>
      <c r="J101" s="149"/>
      <c r="K101" s="149"/>
      <c r="L101" s="149"/>
      <c r="M101" s="149"/>
      <c r="N101" s="149"/>
      <c r="O101" s="149"/>
      <c r="P101" s="149"/>
      <c r="Q101" s="149"/>
      <c r="R101" s="149"/>
      <c r="S101" s="149"/>
      <c r="T101" s="149">
        <f>ROUND(SUM(H101:S101),5)</f>
        <v>2628</v>
      </c>
    </row>
    <row r="102" spans="1:20">
      <c r="A102" s="146"/>
      <c r="B102" s="146"/>
      <c r="C102" s="146"/>
      <c r="D102" s="146" t="s">
        <v>653</v>
      </c>
      <c r="E102" s="146"/>
      <c r="F102" s="146"/>
      <c r="G102" s="146"/>
      <c r="H102" s="149">
        <v>26891</v>
      </c>
      <c r="I102" s="149">
        <v>28191</v>
      </c>
      <c r="J102" s="149">
        <v>27990</v>
      </c>
      <c r="K102" s="149">
        <v>27055</v>
      </c>
      <c r="L102" s="149">
        <v>28290</v>
      </c>
      <c r="M102" s="149">
        <v>28290</v>
      </c>
      <c r="N102" s="149">
        <v>27790</v>
      </c>
      <c r="O102" s="149">
        <v>28598</v>
      </c>
      <c r="P102" s="149">
        <v>28480</v>
      </c>
      <c r="Q102" s="149">
        <v>27100</v>
      </c>
      <c r="R102" s="149">
        <v>14700</v>
      </c>
      <c r="S102" s="149">
        <v>16600</v>
      </c>
      <c r="T102" s="149">
        <f>ROUND(SUM(H102:S102),5)</f>
        <v>309975</v>
      </c>
    </row>
    <row r="103" spans="1:20" ht="15.75" thickBot="1">
      <c r="A103" s="146"/>
      <c r="B103" s="146"/>
      <c r="C103" s="146"/>
      <c r="D103" s="146" t="s">
        <v>654</v>
      </c>
      <c r="E103" s="146"/>
      <c r="F103" s="146"/>
      <c r="G103" s="146"/>
      <c r="H103" s="151">
        <v>19228.72</v>
      </c>
      <c r="I103" s="151">
        <v>-19228.72</v>
      </c>
      <c r="J103" s="151"/>
      <c r="K103" s="151"/>
      <c r="L103" s="151">
        <v>66.39</v>
      </c>
      <c r="M103" s="151"/>
      <c r="N103" s="151">
        <v>3754.83</v>
      </c>
      <c r="O103" s="151"/>
      <c r="P103" s="151"/>
      <c r="Q103" s="151"/>
      <c r="R103" s="151"/>
      <c r="S103" s="151">
        <v>5412.62</v>
      </c>
      <c r="T103" s="151">
        <f>ROUND(SUM(H103:S103),5)</f>
        <v>9233.84</v>
      </c>
    </row>
    <row r="104" spans="1:20">
      <c r="A104" s="146"/>
      <c r="B104" s="146"/>
      <c r="C104" s="146" t="s">
        <v>655</v>
      </c>
      <c r="D104" s="146"/>
      <c r="E104" s="146"/>
      <c r="F104" s="146"/>
      <c r="G104" s="146"/>
      <c r="H104" s="149">
        <f t="shared" ref="H104:S104" si="15">ROUND(SUM(H99:H103),5)</f>
        <v>48747.72</v>
      </c>
      <c r="I104" s="149">
        <f t="shared" si="15"/>
        <v>8962.2800000000007</v>
      </c>
      <c r="J104" s="149">
        <f t="shared" si="15"/>
        <v>27990</v>
      </c>
      <c r="K104" s="149">
        <f t="shared" si="15"/>
        <v>27055</v>
      </c>
      <c r="L104" s="149">
        <f t="shared" si="15"/>
        <v>28356.39</v>
      </c>
      <c r="M104" s="149">
        <f t="shared" si="15"/>
        <v>28290</v>
      </c>
      <c r="N104" s="149">
        <f t="shared" si="15"/>
        <v>55617.8</v>
      </c>
      <c r="O104" s="149">
        <f t="shared" si="15"/>
        <v>28598</v>
      </c>
      <c r="P104" s="149">
        <f t="shared" si="15"/>
        <v>28480</v>
      </c>
      <c r="Q104" s="149">
        <f t="shared" si="15"/>
        <v>27100</v>
      </c>
      <c r="R104" s="149">
        <f t="shared" si="15"/>
        <v>14700</v>
      </c>
      <c r="S104" s="149">
        <f t="shared" si="15"/>
        <v>22012.62</v>
      </c>
      <c r="T104" s="149">
        <f>ROUND(SUM(H104:S104),5)</f>
        <v>345909.81</v>
      </c>
    </row>
    <row r="105" spans="1:20">
      <c r="A105" s="146"/>
      <c r="B105" s="146"/>
      <c r="C105" s="146" t="s">
        <v>262</v>
      </c>
      <c r="D105" s="146"/>
      <c r="E105" s="146"/>
      <c r="F105" s="146"/>
      <c r="G105" s="146"/>
      <c r="H105" s="149"/>
      <c r="I105" s="149"/>
      <c r="J105" s="149"/>
      <c r="K105" s="149"/>
      <c r="L105" s="149"/>
      <c r="M105" s="149"/>
      <c r="N105" s="149"/>
      <c r="O105" s="149"/>
      <c r="P105" s="149"/>
      <c r="Q105" s="149"/>
      <c r="R105" s="149"/>
      <c r="S105" s="149"/>
      <c r="T105" s="149"/>
    </row>
    <row r="106" spans="1:20">
      <c r="A106" s="146"/>
      <c r="B106" s="146"/>
      <c r="C106" s="146"/>
      <c r="D106" s="146" t="s">
        <v>263</v>
      </c>
      <c r="E106" s="146"/>
      <c r="F106" s="146"/>
      <c r="G106" s="146"/>
      <c r="H106" s="149"/>
      <c r="I106" s="149"/>
      <c r="J106" s="149">
        <v>1000</v>
      </c>
      <c r="K106" s="149">
        <v>3000</v>
      </c>
      <c r="L106" s="149">
        <v>1000</v>
      </c>
      <c r="M106" s="149">
        <v>1500</v>
      </c>
      <c r="N106" s="149"/>
      <c r="O106" s="149"/>
      <c r="P106" s="149"/>
      <c r="Q106" s="149">
        <v>500</v>
      </c>
      <c r="R106" s="149">
        <v>200</v>
      </c>
      <c r="S106" s="149"/>
      <c r="T106" s="149">
        <f t="shared" ref="T106:T111" si="16">ROUND(SUM(H106:S106),5)</f>
        <v>7200</v>
      </c>
    </row>
    <row r="107" spans="1:20">
      <c r="A107" s="146"/>
      <c r="B107" s="146"/>
      <c r="C107" s="146"/>
      <c r="D107" s="146" t="s">
        <v>265</v>
      </c>
      <c r="E107" s="146"/>
      <c r="F107" s="146"/>
      <c r="G107" s="146"/>
      <c r="H107" s="149"/>
      <c r="I107" s="149"/>
      <c r="J107" s="149"/>
      <c r="K107" s="149"/>
      <c r="L107" s="149"/>
      <c r="M107" s="149">
        <v>69.349999999999994</v>
      </c>
      <c r="N107" s="149"/>
      <c r="O107" s="149"/>
      <c r="P107" s="149"/>
      <c r="Q107" s="149"/>
      <c r="R107" s="149"/>
      <c r="S107" s="149">
        <v>230.63</v>
      </c>
      <c r="T107" s="149">
        <f t="shared" si="16"/>
        <v>299.98</v>
      </c>
    </row>
    <row r="108" spans="1:20" ht="15.75" thickBot="1">
      <c r="A108" s="146"/>
      <c r="B108" s="146"/>
      <c r="C108" s="146"/>
      <c r="D108" s="146" t="s">
        <v>656</v>
      </c>
      <c r="E108" s="146"/>
      <c r="F108" s="146"/>
      <c r="G108" s="146"/>
      <c r="H108" s="149">
        <v>31900</v>
      </c>
      <c r="I108" s="149">
        <v>31900</v>
      </c>
      <c r="J108" s="149">
        <v>31900</v>
      </c>
      <c r="K108" s="149">
        <v>31900</v>
      </c>
      <c r="L108" s="149">
        <v>31900</v>
      </c>
      <c r="M108" s="149">
        <v>31900</v>
      </c>
      <c r="N108" s="149">
        <v>31900</v>
      </c>
      <c r="O108" s="149">
        <v>31900</v>
      </c>
      <c r="P108" s="149">
        <v>31900</v>
      </c>
      <c r="Q108" s="149">
        <v>31900</v>
      </c>
      <c r="R108" s="149">
        <v>31900</v>
      </c>
      <c r="S108" s="149">
        <v>63309.07</v>
      </c>
      <c r="T108" s="149">
        <f t="shared" si="16"/>
        <v>414209.07</v>
      </c>
    </row>
    <row r="109" spans="1:20" ht="15.75" thickBot="1">
      <c r="A109" s="146"/>
      <c r="B109" s="146"/>
      <c r="C109" s="146" t="s">
        <v>267</v>
      </c>
      <c r="D109" s="146"/>
      <c r="E109" s="146"/>
      <c r="F109" s="146"/>
      <c r="G109" s="146"/>
      <c r="H109" s="153">
        <f t="shared" ref="H109:S109" si="17">ROUND(SUM(H105:H108),5)</f>
        <v>31900</v>
      </c>
      <c r="I109" s="153">
        <f t="shared" si="17"/>
        <v>31900</v>
      </c>
      <c r="J109" s="153">
        <f t="shared" si="17"/>
        <v>32900</v>
      </c>
      <c r="K109" s="153">
        <f t="shared" si="17"/>
        <v>34900</v>
      </c>
      <c r="L109" s="153">
        <f t="shared" si="17"/>
        <v>32900</v>
      </c>
      <c r="M109" s="153">
        <f t="shared" si="17"/>
        <v>33469.35</v>
      </c>
      <c r="N109" s="153">
        <f t="shared" si="17"/>
        <v>31900</v>
      </c>
      <c r="O109" s="153">
        <f t="shared" si="17"/>
        <v>31900</v>
      </c>
      <c r="P109" s="153">
        <f t="shared" si="17"/>
        <v>31900</v>
      </c>
      <c r="Q109" s="153">
        <f t="shared" si="17"/>
        <v>32400</v>
      </c>
      <c r="R109" s="153">
        <f t="shared" si="17"/>
        <v>32100</v>
      </c>
      <c r="S109" s="153">
        <f t="shared" si="17"/>
        <v>63539.7</v>
      </c>
      <c r="T109" s="153">
        <f t="shared" si="16"/>
        <v>421709.05</v>
      </c>
    </row>
    <row r="110" spans="1:20" ht="15.75" thickBot="1">
      <c r="A110" s="146"/>
      <c r="B110" s="146" t="s">
        <v>268</v>
      </c>
      <c r="C110" s="146"/>
      <c r="D110" s="146"/>
      <c r="E110" s="146"/>
      <c r="F110" s="146"/>
      <c r="G110" s="146"/>
      <c r="H110" s="153">
        <f t="shared" ref="H110:S110" si="18">ROUND(H98+H104-H109,5)</f>
        <v>16847.72</v>
      </c>
      <c r="I110" s="153">
        <f t="shared" si="18"/>
        <v>-22937.72</v>
      </c>
      <c r="J110" s="153">
        <f t="shared" si="18"/>
        <v>-4910</v>
      </c>
      <c r="K110" s="153">
        <f t="shared" si="18"/>
        <v>-7845</v>
      </c>
      <c r="L110" s="153">
        <f t="shared" si="18"/>
        <v>-4543.6099999999997</v>
      </c>
      <c r="M110" s="153">
        <f t="shared" si="18"/>
        <v>-5179.3500000000004</v>
      </c>
      <c r="N110" s="153">
        <f t="shared" si="18"/>
        <v>23717.8</v>
      </c>
      <c r="O110" s="153">
        <f t="shared" si="18"/>
        <v>-3302</v>
      </c>
      <c r="P110" s="153">
        <f t="shared" si="18"/>
        <v>-3420</v>
      </c>
      <c r="Q110" s="153">
        <f t="shared" si="18"/>
        <v>-5300</v>
      </c>
      <c r="R110" s="153">
        <f t="shared" si="18"/>
        <v>-17400</v>
      </c>
      <c r="S110" s="153">
        <f t="shared" si="18"/>
        <v>-41527.08</v>
      </c>
      <c r="T110" s="153">
        <f t="shared" si="16"/>
        <v>-75799.240000000005</v>
      </c>
    </row>
    <row r="111" spans="1:20" s="207" customFormat="1" ht="13.5" thickBot="1">
      <c r="A111" s="146" t="s">
        <v>94</v>
      </c>
      <c r="B111" s="146"/>
      <c r="C111" s="146"/>
      <c r="D111" s="146"/>
      <c r="E111" s="146"/>
      <c r="F111" s="146"/>
      <c r="G111" s="146"/>
      <c r="H111" s="150">
        <f t="shared" ref="H111:S111" si="19">ROUND(H97+H110,5)</f>
        <v>-238302.28</v>
      </c>
      <c r="I111" s="150">
        <f t="shared" si="19"/>
        <v>186369.47</v>
      </c>
      <c r="J111" s="150">
        <f t="shared" si="19"/>
        <v>209516.11</v>
      </c>
      <c r="K111" s="150">
        <f t="shared" si="19"/>
        <v>62063.79</v>
      </c>
      <c r="L111" s="150">
        <f t="shared" si="19"/>
        <v>58114.93</v>
      </c>
      <c r="M111" s="150">
        <f t="shared" si="19"/>
        <v>43789.73</v>
      </c>
      <c r="N111" s="150">
        <f t="shared" si="19"/>
        <v>81374.100000000006</v>
      </c>
      <c r="O111" s="150">
        <f t="shared" si="19"/>
        <v>-3801.7</v>
      </c>
      <c r="P111" s="150">
        <f t="shared" si="19"/>
        <v>-16808.43</v>
      </c>
      <c r="Q111" s="150">
        <f t="shared" si="19"/>
        <v>47320.87</v>
      </c>
      <c r="R111" s="150">
        <f t="shared" si="19"/>
        <v>-29190.61</v>
      </c>
      <c r="S111" s="150">
        <f t="shared" si="19"/>
        <v>-238999.91</v>
      </c>
      <c r="T111" s="150">
        <f t="shared" si="16"/>
        <v>161446.07</v>
      </c>
    </row>
    <row r="112" spans="1:20" ht="15.75" thickTop="1"/>
  </sheetData>
  <pageMargins left="0.7" right="0.7" top="0.75" bottom="0.75" header="0.3" footer="0.3"/>
  <pageSetup scale="4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83"/>
  <sheetViews>
    <sheetView zoomScaleNormal="100" workbookViewId="0">
      <selection activeCell="N10" sqref="N10"/>
    </sheetView>
  </sheetViews>
  <sheetFormatPr defaultRowHeight="15"/>
  <cols>
    <col min="1" max="5" width="2.44140625" style="208" customWidth="1"/>
    <col min="6" max="6" width="22.44140625" style="208" customWidth="1"/>
    <col min="7" max="7" width="11.21875" style="209" bestFit="1" customWidth="1"/>
    <col min="8" max="8" width="11" style="209" bestFit="1" customWidth="1"/>
  </cols>
  <sheetData>
    <row r="1" spans="1:8">
      <c r="A1" s="202" t="s">
        <v>390</v>
      </c>
      <c r="B1" s="203"/>
      <c r="C1" s="203"/>
      <c r="D1" s="203"/>
      <c r="E1" s="203"/>
      <c r="F1" s="203"/>
      <c r="G1" s="143"/>
      <c r="H1" s="144" t="s">
        <v>670</v>
      </c>
    </row>
    <row r="2" spans="1:8" ht="18">
      <c r="A2" s="204" t="s">
        <v>1301</v>
      </c>
      <c r="B2" s="203"/>
      <c r="C2" s="203"/>
      <c r="D2" s="203"/>
      <c r="E2" s="203"/>
      <c r="F2" s="203"/>
      <c r="G2" s="143"/>
      <c r="H2" s="145">
        <v>45063</v>
      </c>
    </row>
    <row r="3" spans="1:8">
      <c r="A3" s="202" t="s">
        <v>671</v>
      </c>
      <c r="B3" s="203"/>
      <c r="C3" s="203"/>
      <c r="D3" s="203"/>
      <c r="E3" s="203"/>
      <c r="F3" s="203"/>
      <c r="G3" s="143"/>
      <c r="H3" s="144" t="s">
        <v>394</v>
      </c>
    </row>
    <row r="4" spans="1:8" ht="15.75" thickBot="1">
      <c r="A4" s="146"/>
      <c r="B4" s="146"/>
      <c r="C4" s="146"/>
      <c r="D4" s="146"/>
      <c r="E4" s="146"/>
      <c r="F4" s="146"/>
      <c r="G4" s="210"/>
      <c r="H4" s="210"/>
    </row>
    <row r="5" spans="1:8" s="206" customFormat="1" ht="16.5" thickTop="1" thickBot="1">
      <c r="A5" s="147"/>
      <c r="B5" s="147"/>
      <c r="C5" s="147"/>
      <c r="D5" s="147"/>
      <c r="E5" s="147"/>
      <c r="F5" s="147"/>
      <c r="G5" s="148" t="s">
        <v>672</v>
      </c>
      <c r="H5" s="148" t="s">
        <v>673</v>
      </c>
    </row>
    <row r="6" spans="1:8" ht="15.75" thickTop="1">
      <c r="A6" s="146" t="s">
        <v>411</v>
      </c>
      <c r="B6" s="146"/>
      <c r="C6" s="146"/>
      <c r="D6" s="146"/>
      <c r="E6" s="146"/>
      <c r="F6" s="146"/>
      <c r="G6" s="149"/>
      <c r="H6" s="149"/>
    </row>
    <row r="7" spans="1:8">
      <c r="A7" s="146"/>
      <c r="B7" s="146" t="s">
        <v>412</v>
      </c>
      <c r="C7" s="146"/>
      <c r="D7" s="146"/>
      <c r="E7" s="146"/>
      <c r="F7" s="146"/>
      <c r="G7" s="149"/>
      <c r="H7" s="149"/>
    </row>
    <row r="8" spans="1:8">
      <c r="A8" s="146"/>
      <c r="B8" s="146"/>
      <c r="C8" s="146" t="s">
        <v>413</v>
      </c>
      <c r="D8" s="146"/>
      <c r="E8" s="146"/>
      <c r="F8" s="146"/>
      <c r="G8" s="149"/>
      <c r="H8" s="149"/>
    </row>
    <row r="9" spans="1:8" ht="15.75" thickBot="1">
      <c r="A9" s="146"/>
      <c r="B9" s="146"/>
      <c r="C9" s="146"/>
      <c r="D9" s="146" t="s">
        <v>395</v>
      </c>
      <c r="E9" s="146"/>
      <c r="F9" s="146"/>
      <c r="G9" s="151">
        <v>869664.36</v>
      </c>
      <c r="H9" s="151">
        <v>898758.41</v>
      </c>
    </row>
    <row r="10" spans="1:8">
      <c r="A10" s="146"/>
      <c r="B10" s="146"/>
      <c r="C10" s="146" t="s">
        <v>414</v>
      </c>
      <c r="D10" s="146"/>
      <c r="E10" s="146"/>
      <c r="F10" s="146"/>
      <c r="G10" s="149">
        <f>ROUND(SUM(G8:G9),5)</f>
        <v>869664.36</v>
      </c>
      <c r="H10" s="149">
        <f>ROUND(SUM(H8:H9),5)</f>
        <v>898758.41</v>
      </c>
    </row>
    <row r="11" spans="1:8">
      <c r="A11" s="146"/>
      <c r="B11" s="146"/>
      <c r="C11" s="146" t="s">
        <v>415</v>
      </c>
      <c r="D11" s="146"/>
      <c r="E11" s="146"/>
      <c r="F11" s="146"/>
      <c r="G11" s="149"/>
      <c r="H11" s="149"/>
    </row>
    <row r="12" spans="1:8">
      <c r="A12" s="146"/>
      <c r="B12" s="146"/>
      <c r="C12" s="146"/>
      <c r="D12" s="146" t="s">
        <v>674</v>
      </c>
      <c r="E12" s="146"/>
      <c r="F12" s="146"/>
      <c r="G12" s="149">
        <v>134290.99</v>
      </c>
      <c r="H12" s="149">
        <v>338306.81</v>
      </c>
    </row>
    <row r="13" spans="1:8">
      <c r="A13" s="146"/>
      <c r="B13" s="146"/>
      <c r="C13" s="146"/>
      <c r="D13" s="146" t="s">
        <v>396</v>
      </c>
      <c r="E13" s="146"/>
      <c r="F13" s="146"/>
      <c r="G13" s="149">
        <v>3450</v>
      </c>
      <c r="H13" s="149">
        <v>3450</v>
      </c>
    </row>
    <row r="14" spans="1:8">
      <c r="A14" s="146"/>
      <c r="B14" s="146"/>
      <c r="C14" s="146"/>
      <c r="D14" s="146" t="s">
        <v>675</v>
      </c>
      <c r="E14" s="146"/>
      <c r="F14" s="146"/>
      <c r="G14" s="149">
        <v>7881</v>
      </c>
      <c r="H14" s="149"/>
    </row>
    <row r="15" spans="1:8" ht="15.75" thickBot="1">
      <c r="A15" s="146"/>
      <c r="B15" s="146"/>
      <c r="C15" s="146"/>
      <c r="D15" s="146" t="s">
        <v>676</v>
      </c>
      <c r="E15" s="146"/>
      <c r="F15" s="146"/>
      <c r="G15" s="149">
        <v>62155.12</v>
      </c>
      <c r="H15" s="149">
        <v>62155.12</v>
      </c>
    </row>
    <row r="16" spans="1:8" ht="15.75" thickBot="1">
      <c r="A16" s="146"/>
      <c r="B16" s="146"/>
      <c r="C16" s="146" t="s">
        <v>416</v>
      </c>
      <c r="D16" s="146"/>
      <c r="E16" s="146"/>
      <c r="F16" s="146"/>
      <c r="G16" s="152">
        <f>ROUND(SUM(G11:G15),5)</f>
        <v>207777.11</v>
      </c>
      <c r="H16" s="152">
        <f>ROUND(SUM(H11:H15),5)</f>
        <v>403911.93</v>
      </c>
    </row>
    <row r="17" spans="1:8">
      <c r="A17" s="146"/>
      <c r="B17" s="146" t="s">
        <v>417</v>
      </c>
      <c r="C17" s="146"/>
      <c r="D17" s="146"/>
      <c r="E17" s="146"/>
      <c r="F17" s="146"/>
      <c r="G17" s="149">
        <f>ROUND(G7+G10+G16,5)</f>
        <v>1077441.47</v>
      </c>
      <c r="H17" s="149">
        <f>ROUND(H7+H10+H16,5)</f>
        <v>1302670.3400000001</v>
      </c>
    </row>
    <row r="18" spans="1:8">
      <c r="A18" s="146"/>
      <c r="B18" s="146" t="s">
        <v>418</v>
      </c>
      <c r="C18" s="146"/>
      <c r="D18" s="146"/>
      <c r="E18" s="146"/>
      <c r="F18" s="146"/>
      <c r="G18" s="149"/>
      <c r="H18" s="149"/>
    </row>
    <row r="19" spans="1:8">
      <c r="A19" s="146"/>
      <c r="B19" s="146"/>
      <c r="C19" s="146" t="s">
        <v>419</v>
      </c>
      <c r="D19" s="146"/>
      <c r="E19" s="146"/>
      <c r="F19" s="146"/>
      <c r="G19" s="149"/>
      <c r="H19" s="149"/>
    </row>
    <row r="20" spans="1:8" ht="15.75" thickBot="1">
      <c r="A20" s="146"/>
      <c r="B20" s="146"/>
      <c r="C20" s="146"/>
      <c r="D20" s="146" t="s">
        <v>420</v>
      </c>
      <c r="E20" s="146"/>
      <c r="F20" s="146"/>
      <c r="G20" s="151">
        <v>117145.93</v>
      </c>
      <c r="H20" s="151">
        <v>117145.93</v>
      </c>
    </row>
    <row r="21" spans="1:8">
      <c r="A21" s="146"/>
      <c r="B21" s="146"/>
      <c r="C21" s="146" t="s">
        <v>421</v>
      </c>
      <c r="D21" s="146"/>
      <c r="E21" s="146"/>
      <c r="F21" s="146"/>
      <c r="G21" s="149">
        <f>ROUND(SUM(G19:G20),5)</f>
        <v>117145.93</v>
      </c>
      <c r="H21" s="149">
        <f>ROUND(SUM(H19:H20),5)</f>
        <v>117145.93</v>
      </c>
    </row>
    <row r="22" spans="1:8">
      <c r="A22" s="146"/>
      <c r="B22" s="146"/>
      <c r="C22" s="146" t="s">
        <v>397</v>
      </c>
      <c r="D22" s="146"/>
      <c r="E22" s="146"/>
      <c r="F22" s="146"/>
      <c r="G22" s="149"/>
      <c r="H22" s="149"/>
    </row>
    <row r="23" spans="1:8">
      <c r="A23" s="146"/>
      <c r="B23" s="146"/>
      <c r="C23" s="146"/>
      <c r="D23" s="146" t="s">
        <v>422</v>
      </c>
      <c r="E23" s="146"/>
      <c r="F23" s="146"/>
      <c r="G23" s="149">
        <v>941660.58</v>
      </c>
      <c r="H23" s="149">
        <v>798584.18</v>
      </c>
    </row>
    <row r="24" spans="1:8">
      <c r="A24" s="146"/>
      <c r="B24" s="146"/>
      <c r="C24" s="146"/>
      <c r="D24" s="146" t="s">
        <v>423</v>
      </c>
      <c r="E24" s="146"/>
      <c r="F24" s="146"/>
      <c r="G24" s="149">
        <v>985417.8</v>
      </c>
      <c r="H24" s="149">
        <v>889165.84</v>
      </c>
    </row>
    <row r="25" spans="1:8">
      <c r="A25" s="146"/>
      <c r="B25" s="146"/>
      <c r="C25" s="146"/>
      <c r="D25" s="146" t="s">
        <v>424</v>
      </c>
      <c r="E25" s="146"/>
      <c r="F25" s="146"/>
      <c r="G25" s="149">
        <v>6751.36</v>
      </c>
      <c r="H25" s="149">
        <v>6751.36</v>
      </c>
    </row>
    <row r="26" spans="1:8" ht="15.75" thickBot="1">
      <c r="A26" s="146"/>
      <c r="B26" s="146"/>
      <c r="C26" s="146"/>
      <c r="D26" s="146" t="s">
        <v>425</v>
      </c>
      <c r="E26" s="146"/>
      <c r="F26" s="146"/>
      <c r="G26" s="151">
        <v>187031.38</v>
      </c>
      <c r="H26" s="151">
        <v>151264.17000000001</v>
      </c>
    </row>
    <row r="27" spans="1:8">
      <c r="A27" s="146"/>
      <c r="B27" s="146"/>
      <c r="C27" s="146" t="s">
        <v>426</v>
      </c>
      <c r="D27" s="146"/>
      <c r="E27" s="146"/>
      <c r="F27" s="146"/>
      <c r="G27" s="149">
        <f>ROUND(SUM(G22:G26),5)</f>
        <v>2120861.12</v>
      </c>
      <c r="H27" s="149">
        <f>ROUND(SUM(H22:H26),5)</f>
        <v>1845765.55</v>
      </c>
    </row>
    <row r="28" spans="1:8">
      <c r="A28" s="146"/>
      <c r="B28" s="146"/>
      <c r="C28" s="146" t="s">
        <v>398</v>
      </c>
      <c r="D28" s="146"/>
      <c r="E28" s="146"/>
      <c r="F28" s="146"/>
      <c r="G28" s="149">
        <v>75237.13</v>
      </c>
      <c r="H28" s="149">
        <v>75237.13</v>
      </c>
    </row>
    <row r="29" spans="1:8">
      <c r="A29" s="146"/>
      <c r="B29" s="146"/>
      <c r="C29" s="146" t="s">
        <v>399</v>
      </c>
      <c r="D29" s="146"/>
      <c r="E29" s="146"/>
      <c r="F29" s="146"/>
      <c r="G29" s="149"/>
      <c r="H29" s="149"/>
    </row>
    <row r="30" spans="1:8">
      <c r="A30" s="146"/>
      <c r="B30" s="146"/>
      <c r="C30" s="146"/>
      <c r="D30" s="146" t="s">
        <v>427</v>
      </c>
      <c r="E30" s="146"/>
      <c r="F30" s="146"/>
      <c r="G30" s="149">
        <v>98703.11</v>
      </c>
      <c r="H30" s="149">
        <v>98703.11</v>
      </c>
    </row>
    <row r="31" spans="1:8" ht="15.75" thickBot="1">
      <c r="A31" s="146"/>
      <c r="B31" s="146"/>
      <c r="C31" s="146"/>
      <c r="D31" s="146" t="s">
        <v>428</v>
      </c>
      <c r="E31" s="146"/>
      <c r="F31" s="146"/>
      <c r="G31" s="151">
        <v>5411.58</v>
      </c>
      <c r="H31" s="151">
        <v>4182.84</v>
      </c>
    </row>
    <row r="32" spans="1:8">
      <c r="A32" s="146"/>
      <c r="B32" s="146"/>
      <c r="C32" s="146" t="s">
        <v>429</v>
      </c>
      <c r="D32" s="146"/>
      <c r="E32" s="146"/>
      <c r="F32" s="146"/>
      <c r="G32" s="149">
        <f>ROUND(SUM(G29:G31),5)</f>
        <v>104114.69</v>
      </c>
      <c r="H32" s="149">
        <f>ROUND(SUM(H29:H31),5)</f>
        <v>102885.95</v>
      </c>
    </row>
    <row r="33" spans="1:8">
      <c r="A33" s="146"/>
      <c r="B33" s="146"/>
      <c r="C33" s="146" t="s">
        <v>400</v>
      </c>
      <c r="D33" s="146"/>
      <c r="E33" s="146"/>
      <c r="F33" s="146"/>
      <c r="G33" s="149">
        <v>2071233.4</v>
      </c>
      <c r="H33" s="149">
        <v>2036568.66</v>
      </c>
    </row>
    <row r="34" spans="1:8">
      <c r="A34" s="146"/>
      <c r="B34" s="146"/>
      <c r="C34" s="146" t="s">
        <v>401</v>
      </c>
      <c r="D34" s="146"/>
      <c r="E34" s="146"/>
      <c r="F34" s="146"/>
      <c r="G34" s="149">
        <v>1980671.06</v>
      </c>
      <c r="H34" s="149">
        <v>1963486.85</v>
      </c>
    </row>
    <row r="35" spans="1:8">
      <c r="A35" s="146"/>
      <c r="B35" s="146"/>
      <c r="C35" s="146" t="s">
        <v>430</v>
      </c>
      <c r="D35" s="146"/>
      <c r="E35" s="146"/>
      <c r="F35" s="146"/>
      <c r="G35" s="149"/>
      <c r="H35" s="149"/>
    </row>
    <row r="36" spans="1:8">
      <c r="A36" s="146"/>
      <c r="B36" s="146"/>
      <c r="C36" s="146"/>
      <c r="D36" s="146" t="s">
        <v>431</v>
      </c>
      <c r="E36" s="146"/>
      <c r="F36" s="146"/>
      <c r="G36" s="149">
        <v>-2191441.09</v>
      </c>
      <c r="H36" s="149">
        <v>-1971541.75</v>
      </c>
    </row>
    <row r="37" spans="1:8" ht="15.75" thickBot="1">
      <c r="A37" s="146"/>
      <c r="B37" s="146"/>
      <c r="C37" s="146"/>
      <c r="D37" s="146" t="s">
        <v>432</v>
      </c>
      <c r="E37" s="146"/>
      <c r="F37" s="146"/>
      <c r="G37" s="149">
        <v>-2170265.73</v>
      </c>
      <c r="H37" s="149">
        <v>-1975956</v>
      </c>
    </row>
    <row r="38" spans="1:8" ht="15.75" thickBot="1">
      <c r="A38" s="146"/>
      <c r="B38" s="146"/>
      <c r="C38" s="146" t="s">
        <v>433</v>
      </c>
      <c r="D38" s="146"/>
      <c r="E38" s="146"/>
      <c r="F38" s="146"/>
      <c r="G38" s="152">
        <f>ROUND(SUM(G35:G37),5)</f>
        <v>-4361706.82</v>
      </c>
      <c r="H38" s="152">
        <f>ROUND(SUM(H35:H37),5)</f>
        <v>-3947497.75</v>
      </c>
    </row>
    <row r="39" spans="1:8">
      <c r="A39" s="146"/>
      <c r="B39" s="146" t="s">
        <v>434</v>
      </c>
      <c r="C39" s="146"/>
      <c r="D39" s="146"/>
      <c r="E39" s="146"/>
      <c r="F39" s="146"/>
      <c r="G39" s="149">
        <f>ROUND(G18+G21+SUM(G27:G28)+SUM(G32:G34)+G38,5)</f>
        <v>2107556.5099999998</v>
      </c>
      <c r="H39" s="149">
        <f>ROUND(H18+H21+SUM(H27:H28)+SUM(H32:H34)+H38,5)</f>
        <v>2193592.3199999998</v>
      </c>
    </row>
    <row r="40" spans="1:8">
      <c r="A40" s="146"/>
      <c r="B40" s="146" t="s">
        <v>435</v>
      </c>
      <c r="C40" s="146"/>
      <c r="D40" s="146"/>
      <c r="E40" s="146"/>
      <c r="F40" s="146"/>
      <c r="G40" s="149"/>
      <c r="H40" s="149"/>
    </row>
    <row r="41" spans="1:8">
      <c r="A41" s="146"/>
      <c r="B41" s="146"/>
      <c r="C41" s="146" t="s">
        <v>677</v>
      </c>
      <c r="D41" s="146"/>
      <c r="E41" s="146"/>
      <c r="F41" s="146"/>
      <c r="G41" s="149">
        <v>119000.39</v>
      </c>
      <c r="H41" s="149">
        <v>14000</v>
      </c>
    </row>
    <row r="42" spans="1:8" ht="15.75" thickBot="1">
      <c r="A42" s="146"/>
      <c r="B42" s="146"/>
      <c r="C42" s="146" t="s">
        <v>402</v>
      </c>
      <c r="D42" s="146"/>
      <c r="E42" s="146"/>
      <c r="F42" s="146"/>
      <c r="G42" s="149">
        <v>60600</v>
      </c>
      <c r="H42" s="149">
        <v>60600</v>
      </c>
    </row>
    <row r="43" spans="1:8" ht="15.75" thickBot="1">
      <c r="A43" s="146"/>
      <c r="B43" s="146" t="s">
        <v>436</v>
      </c>
      <c r="C43" s="146"/>
      <c r="D43" s="146"/>
      <c r="E43" s="146"/>
      <c r="F43" s="146"/>
      <c r="G43" s="153">
        <f>ROUND(SUM(G40:G42),5)</f>
        <v>179600.39</v>
      </c>
      <c r="H43" s="153">
        <f>ROUND(SUM(H40:H42),5)</f>
        <v>74600</v>
      </c>
    </row>
    <row r="44" spans="1:8" s="207" customFormat="1" ht="13.5" thickBot="1">
      <c r="A44" s="146" t="s">
        <v>437</v>
      </c>
      <c r="B44" s="146"/>
      <c r="C44" s="146"/>
      <c r="D44" s="146"/>
      <c r="E44" s="146"/>
      <c r="F44" s="146"/>
      <c r="G44" s="150">
        <f>ROUND(G6+G17+G39+G43,5)</f>
        <v>3364598.37</v>
      </c>
      <c r="H44" s="150">
        <f>ROUND(H6+H17+H39+H43,5)</f>
        <v>3570862.66</v>
      </c>
    </row>
    <row r="45" spans="1:8" ht="15.75" thickTop="1">
      <c r="A45" s="146" t="s">
        <v>438</v>
      </c>
      <c r="B45" s="146"/>
      <c r="C45" s="146"/>
      <c r="D45" s="146"/>
      <c r="E45" s="146"/>
      <c r="F45" s="146"/>
      <c r="G45" s="149"/>
      <c r="H45" s="149"/>
    </row>
    <row r="46" spans="1:8">
      <c r="A46" s="146"/>
      <c r="B46" s="146" t="s">
        <v>439</v>
      </c>
      <c r="C46" s="146"/>
      <c r="D46" s="146"/>
      <c r="E46" s="146"/>
      <c r="F46" s="146"/>
      <c r="G46" s="149"/>
      <c r="H46" s="149"/>
    </row>
    <row r="47" spans="1:8">
      <c r="A47" s="146"/>
      <c r="B47" s="146"/>
      <c r="C47" s="146" t="s">
        <v>440</v>
      </c>
      <c r="D47" s="146"/>
      <c r="E47" s="146"/>
      <c r="F47" s="146"/>
      <c r="G47" s="149"/>
      <c r="H47" s="149"/>
    </row>
    <row r="48" spans="1:8">
      <c r="A48" s="146"/>
      <c r="B48" s="146"/>
      <c r="C48" s="146"/>
      <c r="D48" s="146" t="s">
        <v>441</v>
      </c>
      <c r="E48" s="146"/>
      <c r="F48" s="146"/>
      <c r="G48" s="149"/>
      <c r="H48" s="149"/>
    </row>
    <row r="49" spans="1:8">
      <c r="A49" s="146"/>
      <c r="B49" s="146"/>
      <c r="C49" s="146"/>
      <c r="D49" s="146"/>
      <c r="E49" s="146" t="s">
        <v>678</v>
      </c>
      <c r="F49" s="146"/>
      <c r="G49" s="149">
        <v>12028.69</v>
      </c>
      <c r="H49" s="149"/>
    </row>
    <row r="50" spans="1:8">
      <c r="A50" s="146"/>
      <c r="B50" s="146"/>
      <c r="C50" s="146"/>
      <c r="D50" s="146"/>
      <c r="E50" s="146" t="s">
        <v>679</v>
      </c>
      <c r="F50" s="146"/>
      <c r="G50" s="149"/>
      <c r="H50" s="149"/>
    </row>
    <row r="51" spans="1:8">
      <c r="A51" s="146"/>
      <c r="B51" s="146"/>
      <c r="C51" s="146"/>
      <c r="D51" s="146"/>
      <c r="E51" s="146"/>
      <c r="F51" s="146" t="s">
        <v>680</v>
      </c>
      <c r="G51" s="149">
        <v>6181.87</v>
      </c>
      <c r="H51" s="149">
        <v>4380.38</v>
      </c>
    </row>
    <row r="52" spans="1:8" ht="15.75" thickBot="1">
      <c r="A52" s="146"/>
      <c r="B52" s="146"/>
      <c r="C52" s="146"/>
      <c r="D52" s="146"/>
      <c r="E52" s="146"/>
      <c r="F52" s="146" t="s">
        <v>681</v>
      </c>
      <c r="G52" s="151">
        <v>452.16</v>
      </c>
      <c r="H52" s="151">
        <v>845.71</v>
      </c>
    </row>
    <row r="53" spans="1:8">
      <c r="A53" s="146"/>
      <c r="B53" s="146"/>
      <c r="C53" s="146"/>
      <c r="D53" s="146"/>
      <c r="E53" s="146" t="s">
        <v>682</v>
      </c>
      <c r="F53" s="146"/>
      <c r="G53" s="149">
        <f>ROUND(SUM(G50:G52),5)</f>
        <v>6634.03</v>
      </c>
      <c r="H53" s="149">
        <f>ROUND(SUM(H50:H52),5)</f>
        <v>5226.09</v>
      </c>
    </row>
    <row r="54" spans="1:8">
      <c r="A54" s="146"/>
      <c r="B54" s="146"/>
      <c r="C54" s="146"/>
      <c r="D54" s="146"/>
      <c r="E54" s="146" t="s">
        <v>683</v>
      </c>
      <c r="F54" s="146"/>
      <c r="G54" s="149">
        <v>5931.74</v>
      </c>
      <c r="H54" s="149"/>
    </row>
    <row r="55" spans="1:8">
      <c r="A55" s="146"/>
      <c r="B55" s="146"/>
      <c r="C55" s="146"/>
      <c r="D55" s="146"/>
      <c r="E55" s="146" t="s">
        <v>442</v>
      </c>
      <c r="F55" s="146"/>
      <c r="G55" s="149"/>
      <c r="H55" s="149"/>
    </row>
    <row r="56" spans="1:8">
      <c r="A56" s="146"/>
      <c r="B56" s="146"/>
      <c r="C56" s="146"/>
      <c r="D56" s="146"/>
      <c r="E56" s="146"/>
      <c r="F56" s="146" t="s">
        <v>684</v>
      </c>
      <c r="G56" s="149">
        <v>162.91999999999999</v>
      </c>
      <c r="H56" s="149">
        <v>162.91999999999999</v>
      </c>
    </row>
    <row r="57" spans="1:8">
      <c r="A57" s="146"/>
      <c r="B57" s="146"/>
      <c r="C57" s="146"/>
      <c r="D57" s="146"/>
      <c r="E57" s="146"/>
      <c r="F57" s="146" t="s">
        <v>443</v>
      </c>
      <c r="G57" s="149"/>
      <c r="H57" s="149">
        <v>348.81</v>
      </c>
    </row>
    <row r="58" spans="1:8">
      <c r="A58" s="146"/>
      <c r="B58" s="146"/>
      <c r="C58" s="146"/>
      <c r="D58" s="146"/>
      <c r="E58" s="146"/>
      <c r="F58" s="146" t="s">
        <v>444</v>
      </c>
      <c r="G58" s="149">
        <v>448.79</v>
      </c>
      <c r="H58" s="149">
        <v>448.79</v>
      </c>
    </row>
    <row r="59" spans="1:8">
      <c r="A59" s="146"/>
      <c r="B59" s="146"/>
      <c r="C59" s="146"/>
      <c r="D59" s="146"/>
      <c r="E59" s="146"/>
      <c r="F59" s="146" t="s">
        <v>445</v>
      </c>
      <c r="G59" s="149">
        <v>17311.41</v>
      </c>
      <c r="H59" s="149">
        <v>2566.84</v>
      </c>
    </row>
    <row r="60" spans="1:8" ht="15.75" thickBot="1">
      <c r="A60" s="146"/>
      <c r="B60" s="146"/>
      <c r="C60" s="146"/>
      <c r="D60" s="146"/>
      <c r="E60" s="146"/>
      <c r="F60" s="146" t="s">
        <v>446</v>
      </c>
      <c r="G60" s="151">
        <v>337.29</v>
      </c>
      <c r="H60" s="151">
        <v>337.29</v>
      </c>
    </row>
    <row r="61" spans="1:8">
      <c r="A61" s="146"/>
      <c r="B61" s="146"/>
      <c r="C61" s="146"/>
      <c r="D61" s="146"/>
      <c r="E61" s="146" t="s">
        <v>447</v>
      </c>
      <c r="F61" s="146"/>
      <c r="G61" s="149">
        <f>ROUND(SUM(G55:G60),5)</f>
        <v>18260.41</v>
      </c>
      <c r="H61" s="149">
        <f>ROUND(SUM(H55:H60),5)</f>
        <v>3864.65</v>
      </c>
    </row>
    <row r="62" spans="1:8">
      <c r="A62" s="146"/>
      <c r="B62" s="146"/>
      <c r="C62" s="146"/>
      <c r="D62" s="146"/>
      <c r="E62" s="146" t="s">
        <v>685</v>
      </c>
      <c r="F62" s="146"/>
      <c r="G62" s="149"/>
      <c r="H62" s="149">
        <v>3754.83</v>
      </c>
    </row>
    <row r="63" spans="1:8">
      <c r="A63" s="146"/>
      <c r="B63" s="146"/>
      <c r="C63" s="146"/>
      <c r="D63" s="146"/>
      <c r="E63" s="146" t="s">
        <v>403</v>
      </c>
      <c r="F63" s="146"/>
      <c r="G63" s="149">
        <v>19541.98</v>
      </c>
      <c r="H63" s="149">
        <v>14631.33</v>
      </c>
    </row>
    <row r="64" spans="1:8" ht="15.75" thickBot="1">
      <c r="A64" s="146"/>
      <c r="B64" s="146"/>
      <c r="C64" s="146"/>
      <c r="D64" s="146"/>
      <c r="E64" s="146" t="s">
        <v>404</v>
      </c>
      <c r="F64" s="146"/>
      <c r="G64" s="149">
        <v>39295.599999999999</v>
      </c>
      <c r="H64" s="149">
        <v>34756</v>
      </c>
    </row>
    <row r="65" spans="1:8" ht="15.75" thickBot="1">
      <c r="A65" s="146"/>
      <c r="B65" s="146"/>
      <c r="C65" s="146"/>
      <c r="D65" s="146" t="s">
        <v>448</v>
      </c>
      <c r="E65" s="146"/>
      <c r="F65" s="146"/>
      <c r="G65" s="152">
        <f>ROUND(SUM(G48:G49)+SUM(G53:G54)+SUM(G61:G64),5)</f>
        <v>101692.45</v>
      </c>
      <c r="H65" s="152">
        <f>ROUND(SUM(H48:H49)+SUM(H53:H54)+SUM(H61:H64),5)</f>
        <v>62232.9</v>
      </c>
    </row>
    <row r="66" spans="1:8">
      <c r="A66" s="146"/>
      <c r="B66" s="146"/>
      <c r="C66" s="146" t="s">
        <v>449</v>
      </c>
      <c r="D66" s="146"/>
      <c r="E66" s="146"/>
      <c r="F66" s="146"/>
      <c r="G66" s="149">
        <f>ROUND(G47+G65,5)</f>
        <v>101692.45</v>
      </c>
      <c r="H66" s="149">
        <f>ROUND(H47+H65,5)</f>
        <v>62232.9</v>
      </c>
    </row>
    <row r="67" spans="1:8">
      <c r="A67" s="146"/>
      <c r="B67" s="146"/>
      <c r="C67" s="146" t="s">
        <v>450</v>
      </c>
      <c r="D67" s="146"/>
      <c r="E67" s="146"/>
      <c r="F67" s="146"/>
      <c r="G67" s="149"/>
      <c r="H67" s="149"/>
    </row>
    <row r="68" spans="1:8">
      <c r="A68" s="146"/>
      <c r="B68" s="146"/>
      <c r="C68" s="146"/>
      <c r="D68" s="146" t="s">
        <v>686</v>
      </c>
      <c r="E68" s="146"/>
      <c r="F68" s="146"/>
      <c r="G68" s="149">
        <v>159810.87</v>
      </c>
      <c r="H68" s="149">
        <v>185466.69</v>
      </c>
    </row>
    <row r="69" spans="1:8">
      <c r="A69" s="146"/>
      <c r="B69" s="146"/>
      <c r="C69" s="146"/>
      <c r="D69" s="146" t="s">
        <v>687</v>
      </c>
      <c r="E69" s="146"/>
      <c r="F69" s="146"/>
      <c r="G69" s="149">
        <v>88275.16</v>
      </c>
      <c r="H69" s="149">
        <v>160447.60999999999</v>
      </c>
    </row>
    <row r="70" spans="1:8">
      <c r="A70" s="146"/>
      <c r="B70" s="146"/>
      <c r="C70" s="146"/>
      <c r="D70" s="146" t="s">
        <v>405</v>
      </c>
      <c r="E70" s="146"/>
      <c r="F70" s="146"/>
      <c r="G70" s="149">
        <v>2678.99</v>
      </c>
      <c r="H70" s="149">
        <v>2678.99</v>
      </c>
    </row>
    <row r="71" spans="1:8" ht="15.75" thickBot="1">
      <c r="A71" s="146"/>
      <c r="B71" s="146"/>
      <c r="C71" s="146"/>
      <c r="D71" s="146" t="s">
        <v>688</v>
      </c>
      <c r="E71" s="146"/>
      <c r="F71" s="146"/>
      <c r="G71" s="149">
        <v>39971.32</v>
      </c>
      <c r="H71" s="149">
        <v>86365.96</v>
      </c>
    </row>
    <row r="72" spans="1:8" ht="15.75" thickBot="1">
      <c r="A72" s="146"/>
      <c r="B72" s="146"/>
      <c r="C72" s="146" t="s">
        <v>451</v>
      </c>
      <c r="D72" s="146"/>
      <c r="E72" s="146"/>
      <c r="F72" s="146"/>
      <c r="G72" s="152">
        <f>ROUND(SUM(G67:G71),5)</f>
        <v>290736.34000000003</v>
      </c>
      <c r="H72" s="152">
        <f>ROUND(SUM(H67:H71),5)</f>
        <v>434959.25</v>
      </c>
    </row>
    <row r="73" spans="1:8">
      <c r="A73" s="146"/>
      <c r="B73" s="146" t="s">
        <v>452</v>
      </c>
      <c r="C73" s="146"/>
      <c r="D73" s="146"/>
      <c r="E73" s="146"/>
      <c r="F73" s="146"/>
      <c r="G73" s="149">
        <f>ROUND(G46+G66+G72,5)</f>
        <v>392428.79</v>
      </c>
      <c r="H73" s="149">
        <f>ROUND(H46+H66+H72,5)</f>
        <v>497192.15</v>
      </c>
    </row>
    <row r="74" spans="1:8">
      <c r="A74" s="146"/>
      <c r="B74" s="146" t="s">
        <v>87</v>
      </c>
      <c r="C74" s="146"/>
      <c r="D74" s="146"/>
      <c r="E74" s="146"/>
      <c r="F74" s="146"/>
      <c r="G74" s="149"/>
      <c r="H74" s="149"/>
    </row>
    <row r="75" spans="1:8">
      <c r="A75" s="146"/>
      <c r="B75" s="146"/>
      <c r="C75" s="146" t="s">
        <v>406</v>
      </c>
      <c r="D75" s="146"/>
      <c r="E75" s="146"/>
      <c r="F75" s="146"/>
      <c r="G75" s="149">
        <v>50000</v>
      </c>
      <c r="H75" s="149">
        <v>50000</v>
      </c>
    </row>
    <row r="76" spans="1:8">
      <c r="A76" s="146"/>
      <c r="B76" s="146"/>
      <c r="C76" s="146" t="s">
        <v>407</v>
      </c>
      <c r="D76" s="146"/>
      <c r="E76" s="146"/>
      <c r="F76" s="146"/>
      <c r="G76" s="149">
        <v>-14234</v>
      </c>
      <c r="H76" s="149">
        <v>-14234</v>
      </c>
    </row>
    <row r="77" spans="1:8">
      <c r="A77" s="146"/>
      <c r="B77" s="146"/>
      <c r="C77" s="146" t="s">
        <v>408</v>
      </c>
      <c r="D77" s="146"/>
      <c r="E77" s="146"/>
      <c r="F77" s="146"/>
      <c r="G77" s="149">
        <v>24240</v>
      </c>
      <c r="H77" s="149">
        <v>24240</v>
      </c>
    </row>
    <row r="78" spans="1:8">
      <c r="A78" s="146"/>
      <c r="B78" s="146"/>
      <c r="C78" s="146" t="s">
        <v>409</v>
      </c>
      <c r="D78" s="146"/>
      <c r="E78" s="146"/>
      <c r="F78" s="146"/>
      <c r="G78" s="149">
        <v>-584718.97</v>
      </c>
      <c r="H78" s="149">
        <v>-321771.96999999997</v>
      </c>
    </row>
    <row r="79" spans="1:8">
      <c r="A79" s="146"/>
      <c r="B79" s="146"/>
      <c r="C79" s="146" t="s">
        <v>410</v>
      </c>
      <c r="D79" s="146"/>
      <c r="E79" s="146"/>
      <c r="F79" s="146"/>
      <c r="G79" s="149">
        <v>3335436.48</v>
      </c>
      <c r="H79" s="149">
        <v>3153694.61</v>
      </c>
    </row>
    <row r="80" spans="1:8" ht="15.75" thickBot="1">
      <c r="A80" s="146"/>
      <c r="B80" s="146"/>
      <c r="C80" s="146" t="s">
        <v>94</v>
      </c>
      <c r="D80" s="146"/>
      <c r="E80" s="146"/>
      <c r="F80" s="146"/>
      <c r="G80" s="149">
        <v>161446.07</v>
      </c>
      <c r="H80" s="149">
        <v>181741.87</v>
      </c>
    </row>
    <row r="81" spans="1:8" ht="15.75" thickBot="1">
      <c r="A81" s="146"/>
      <c r="B81" s="146" t="s">
        <v>453</v>
      </c>
      <c r="C81" s="146"/>
      <c r="D81" s="146"/>
      <c r="E81" s="146"/>
      <c r="F81" s="146"/>
      <c r="G81" s="153">
        <f>ROUND(SUM(G74:G80),5)</f>
        <v>2972169.58</v>
      </c>
      <c r="H81" s="153">
        <f>ROUND(SUM(H74:H80),5)</f>
        <v>3073670.51</v>
      </c>
    </row>
    <row r="82" spans="1:8" s="207" customFormat="1" ht="13.5" thickBot="1">
      <c r="A82" s="146" t="s">
        <v>454</v>
      </c>
      <c r="B82" s="146"/>
      <c r="C82" s="146"/>
      <c r="D82" s="146"/>
      <c r="E82" s="146"/>
      <c r="F82" s="146"/>
      <c r="G82" s="150">
        <f>ROUND(G45+G73+G81,5)</f>
        <v>3364598.37</v>
      </c>
      <c r="H82" s="150">
        <f>ROUND(H45+H73+H81,5)</f>
        <v>3570862.66</v>
      </c>
    </row>
    <row r="83" spans="1:8" ht="15.75" thickTop="1"/>
  </sheetData>
  <pageMargins left="0.7" right="0.7" top="0.75" bottom="0.75" header="0.3" footer="0.3"/>
  <pageSetup orientation="portrait" r:id="rId1"/>
  <rowBreaks count="1" manualBreakCount="1">
    <brk id="4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B0805-0065-4D9A-B8CF-A32660CB114C}">
  <sheetPr codeName="Sheet1"/>
  <dimension ref="A1:AT113"/>
  <sheetViews>
    <sheetView showGridLines="0" showOutlineSymbols="0" topLeftCell="B1" zoomScale="120" zoomScaleNormal="120" workbookViewId="0">
      <selection activeCell="C7" sqref="C7"/>
    </sheetView>
  </sheetViews>
  <sheetFormatPr defaultColWidth="13" defaultRowHeight="15"/>
  <cols>
    <col min="1" max="1" width="3.88671875" style="425" customWidth="1"/>
    <col min="2" max="2" width="26.109375" style="428" bestFit="1" customWidth="1"/>
    <col min="3" max="3" width="16.5546875" style="428" customWidth="1"/>
    <col min="4" max="4" width="16.5546875" style="428" hidden="1" customWidth="1"/>
    <col min="5" max="5" width="5.6640625" style="428" customWidth="1"/>
    <col min="6" max="6" width="4.44140625" style="425" customWidth="1"/>
    <col min="7" max="7" width="6.6640625" style="425" customWidth="1"/>
    <col min="8" max="8" width="11.6640625" style="425" customWidth="1"/>
    <col min="9" max="9" width="13.88671875" style="425" customWidth="1"/>
    <col min="10" max="10" width="10.88671875" style="425" customWidth="1"/>
    <col min="11" max="11" width="11.88671875" style="425" bestFit="1" customWidth="1"/>
    <col min="12" max="13" width="14.33203125" style="425" customWidth="1"/>
    <col min="14" max="14" width="4.88671875" style="425" customWidth="1"/>
    <col min="15" max="15" width="4.88671875" style="428" customWidth="1"/>
    <col min="16" max="16" width="31.44140625" style="428" customWidth="1"/>
    <col min="17" max="17" width="13" style="427"/>
    <col min="18" max="18" width="10.88671875" style="426" customWidth="1"/>
    <col min="19" max="19" width="13" style="425"/>
    <col min="20" max="20" width="10.44140625" style="425" customWidth="1"/>
    <col min="21" max="21" width="12.109375" style="425" customWidth="1"/>
    <col min="22" max="22" width="13" style="425"/>
    <col min="23" max="24" width="13.88671875" style="425" customWidth="1"/>
    <col min="25" max="25" width="12.44140625" style="425" customWidth="1"/>
    <col min="26" max="26" width="13" style="425"/>
    <col min="27" max="27" width="12.33203125" style="425" customWidth="1"/>
    <col min="28" max="29" width="13" style="425"/>
    <col min="30" max="30" width="12.88671875" style="425" customWidth="1"/>
    <col min="31" max="31" width="13.44140625" style="425" customWidth="1"/>
    <col min="32" max="32" width="16.109375" style="425" customWidth="1"/>
    <col min="33" max="33" width="14.109375" style="425" customWidth="1"/>
    <col min="34" max="34" width="12.88671875" style="425" customWidth="1"/>
    <col min="35" max="35" width="13" style="425"/>
    <col min="36" max="36" width="10.88671875" style="425" customWidth="1"/>
    <col min="37" max="37" width="12.88671875" style="425" customWidth="1"/>
    <col min="38" max="49" width="11.88671875" style="425" customWidth="1"/>
    <col min="50" max="16384" width="13" style="425"/>
  </cols>
  <sheetData>
    <row r="1" spans="1:35" s="600" customFormat="1" ht="15.75" thickBot="1">
      <c r="A1" s="441"/>
      <c r="B1" s="603"/>
      <c r="C1" s="603"/>
      <c r="D1" s="603"/>
      <c r="E1" s="603"/>
      <c r="F1" s="603"/>
      <c r="G1" s="603"/>
      <c r="H1" s="603"/>
      <c r="I1" s="604"/>
      <c r="J1" s="604"/>
      <c r="K1" s="604"/>
      <c r="L1" s="604"/>
      <c r="M1" s="604"/>
      <c r="N1" s="604"/>
      <c r="O1" s="603"/>
      <c r="P1" s="603"/>
      <c r="Q1" s="602"/>
      <c r="R1" s="601"/>
    </row>
    <row r="2" spans="1:35" ht="19.5" thickBot="1">
      <c r="A2" s="441"/>
      <c r="B2" s="794" t="s">
        <v>1090</v>
      </c>
      <c r="C2" s="794"/>
      <c r="D2" s="441"/>
      <c r="E2" s="441"/>
      <c r="F2" s="413" t="s">
        <v>1091</v>
      </c>
      <c r="G2" s="414"/>
      <c r="H2" s="414"/>
      <c r="I2" s="415" t="s">
        <v>1092</v>
      </c>
      <c r="J2" s="414"/>
      <c r="K2" s="414"/>
      <c r="L2" s="414"/>
      <c r="M2" s="413" t="s">
        <v>1091</v>
      </c>
      <c r="O2" s="441"/>
      <c r="P2" s="441"/>
      <c r="R2" s="599" t="s">
        <v>1093</v>
      </c>
      <c r="S2" s="598"/>
      <c r="T2" s="597"/>
      <c r="AF2" s="791" t="s">
        <v>1094</v>
      </c>
      <c r="AG2" s="792"/>
      <c r="AH2" s="792"/>
      <c r="AI2" s="793"/>
    </row>
    <row r="3" spans="1:35" ht="15.75">
      <c r="A3" s="441"/>
      <c r="B3" s="441"/>
      <c r="C3" s="441"/>
      <c r="D3" s="441"/>
      <c r="E3" s="441"/>
      <c r="F3" s="596"/>
      <c r="G3" s="480"/>
      <c r="K3" s="595" t="s">
        <v>1095</v>
      </c>
      <c r="M3" s="595" t="s">
        <v>1096</v>
      </c>
      <c r="O3" s="441"/>
      <c r="P3" s="441"/>
      <c r="R3" s="425"/>
      <c r="T3" s="425" t="s">
        <v>1097</v>
      </c>
      <c r="V3" s="426" t="s">
        <v>1097</v>
      </c>
      <c r="W3" s="426" t="s">
        <v>1097</v>
      </c>
      <c r="X3" s="426" t="s">
        <v>1097</v>
      </c>
      <c r="Y3" s="426" t="s">
        <v>1098</v>
      </c>
      <c r="Z3" s="426" t="s">
        <v>1098</v>
      </c>
      <c r="AA3" s="426" t="s">
        <v>1098</v>
      </c>
      <c r="AB3" s="426" t="s">
        <v>1098</v>
      </c>
      <c r="AC3" s="426" t="s">
        <v>1098</v>
      </c>
      <c r="AD3" s="426" t="s">
        <v>1098</v>
      </c>
      <c r="AE3" s="426" t="s">
        <v>1099</v>
      </c>
      <c r="AF3" s="426" t="s">
        <v>164</v>
      </c>
      <c r="AG3" s="426" t="s">
        <v>1100</v>
      </c>
      <c r="AH3" s="426"/>
    </row>
    <row r="4" spans="1:35" ht="19.5" thickBot="1">
      <c r="A4" s="441"/>
      <c r="B4" s="416" t="s">
        <v>1101</v>
      </c>
      <c r="C4" s="594"/>
      <c r="D4" s="569"/>
      <c r="E4" s="441"/>
      <c r="F4" s="483"/>
      <c r="G4" s="480"/>
      <c r="H4" s="591" t="s">
        <v>1102</v>
      </c>
      <c r="I4" s="591" t="s">
        <v>1103</v>
      </c>
      <c r="J4" s="591" t="s">
        <v>1104</v>
      </c>
      <c r="K4" s="591" t="s">
        <v>1105</v>
      </c>
      <c r="L4" s="591" t="s">
        <v>1106</v>
      </c>
      <c r="M4" s="591" t="s">
        <v>1107</v>
      </c>
      <c r="O4" s="593"/>
      <c r="P4" s="441"/>
      <c r="R4" s="425"/>
      <c r="T4" s="426" t="s">
        <v>1108</v>
      </c>
      <c r="V4" s="426" t="s">
        <v>1109</v>
      </c>
      <c r="W4" s="426" t="s">
        <v>1110</v>
      </c>
      <c r="X4" s="426" t="s">
        <v>1111</v>
      </c>
      <c r="Y4" s="426" t="s">
        <v>1112</v>
      </c>
      <c r="Z4" s="426" t="s">
        <v>1112</v>
      </c>
      <c r="AA4" s="426" t="s">
        <v>1112</v>
      </c>
      <c r="AB4" s="426" t="s">
        <v>1110</v>
      </c>
      <c r="AC4" s="426" t="s">
        <v>1108</v>
      </c>
      <c r="AD4" s="426" t="s">
        <v>1108</v>
      </c>
      <c r="AE4" s="426" t="s">
        <v>1113</v>
      </c>
      <c r="AF4" s="426" t="s">
        <v>1114</v>
      </c>
      <c r="AG4" s="426" t="s">
        <v>1115</v>
      </c>
      <c r="AH4" s="426" t="s">
        <v>1116</v>
      </c>
      <c r="AI4" s="426" t="s">
        <v>1117</v>
      </c>
    </row>
    <row r="5" spans="1:35" ht="15.75">
      <c r="A5" s="441"/>
      <c r="B5" s="572" t="s">
        <v>1118</v>
      </c>
      <c r="C5" s="417">
        <f>+Operations!N45</f>
        <v>4719668.8394906633</v>
      </c>
      <c r="D5" s="569"/>
      <c r="E5" s="441"/>
      <c r="F5" s="592" t="s">
        <v>1119</v>
      </c>
      <c r="G5" s="482"/>
      <c r="H5" s="482"/>
      <c r="I5" s="591" t="s">
        <v>1120</v>
      </c>
      <c r="J5" s="591" t="s">
        <v>164</v>
      </c>
      <c r="K5" s="590" t="s">
        <v>25</v>
      </c>
      <c r="L5" s="590" t="s">
        <v>1121</v>
      </c>
      <c r="M5" s="590" t="s">
        <v>164</v>
      </c>
      <c r="O5" s="563"/>
      <c r="P5" s="441"/>
      <c r="R5" s="438"/>
      <c r="T5" s="426" t="s">
        <v>1122</v>
      </c>
      <c r="U5" s="426" t="s">
        <v>1123</v>
      </c>
      <c r="V5" s="426" t="s">
        <v>1124</v>
      </c>
      <c r="W5" s="426" t="s">
        <v>1125</v>
      </c>
      <c r="X5" s="426" t="s">
        <v>19</v>
      </c>
      <c r="Y5" s="426" t="s">
        <v>87</v>
      </c>
      <c r="Z5" s="426" t="s">
        <v>1126</v>
      </c>
      <c r="AA5" s="426" t="s">
        <v>1127</v>
      </c>
      <c r="AB5" s="426" t="s">
        <v>1128</v>
      </c>
      <c r="AC5" s="426" t="s">
        <v>1122</v>
      </c>
      <c r="AD5" s="426" t="s">
        <v>1129</v>
      </c>
      <c r="AE5" s="426" t="s">
        <v>602</v>
      </c>
      <c r="AF5" s="426" t="s">
        <v>1130</v>
      </c>
      <c r="AG5" s="426" t="s">
        <v>1130</v>
      </c>
      <c r="AH5" s="426" t="s">
        <v>602</v>
      </c>
      <c r="AI5" s="426" t="s">
        <v>1099</v>
      </c>
    </row>
    <row r="6" spans="1:35" ht="15.75">
      <c r="A6" s="441"/>
      <c r="B6" s="572" t="s">
        <v>1131</v>
      </c>
      <c r="C6" s="585">
        <f>+Operations!N121</f>
        <v>5649500.66351764</v>
      </c>
      <c r="D6" s="569"/>
      <c r="E6" s="441"/>
      <c r="F6" s="589" t="s">
        <v>1132</v>
      </c>
      <c r="G6" s="482"/>
      <c r="H6" s="482"/>
      <c r="I6" s="588"/>
      <c r="J6" s="586" t="s">
        <v>193</v>
      </c>
      <c r="K6" s="587"/>
      <c r="L6" s="586" t="s">
        <v>1133</v>
      </c>
      <c r="M6" s="586" t="s">
        <v>1134</v>
      </c>
      <c r="O6" s="563"/>
      <c r="P6" s="441"/>
      <c r="R6" s="579">
        <v>1</v>
      </c>
      <c r="S6" s="578">
        <f>Revenue/Investment*100</f>
        <v>302.95288794642647</v>
      </c>
      <c r="T6" s="577">
        <f>EXP(y_inter1-(slope*LN(+S6)))</f>
        <v>6.1496711065259442</v>
      </c>
      <c r="U6" s="576">
        <f>(+S6*T6/100)/100</f>
        <v>0.18630606216427309</v>
      </c>
      <c r="V6" s="576">
        <f>regDebt_weighted</f>
        <v>3.5860000000000003E-2</v>
      </c>
      <c r="W6" s="576">
        <f>+U6-V6</f>
        <v>0.15044606216427309</v>
      </c>
      <c r="X6" s="576">
        <f>+((W6*(1-0.34))-Pfd_weighted)/Equity_percent</f>
        <v>0.27065232857098903</v>
      </c>
      <c r="Y6" s="576">
        <f>X6*equityP</f>
        <v>0.24673884211331831</v>
      </c>
      <c r="Z6" s="576">
        <f>+Y6/(1-taxrate)</f>
        <v>0.31232764824470671</v>
      </c>
      <c r="AA6" s="576">
        <f>debtP*Debt_Rate</f>
        <v>3.8760368283719962E-3</v>
      </c>
      <c r="AB6" s="576">
        <f>AA6+Z6</f>
        <v>0.31620368507307872</v>
      </c>
      <c r="AC6" s="576">
        <f>AB6/(S6/100)</f>
        <v>0.10437388044605653</v>
      </c>
      <c r="AD6" s="576">
        <f>1-AC6</f>
        <v>0.89562611955394344</v>
      </c>
      <c r="AE6" s="573">
        <f>expenses/(AD6)</f>
        <v>6307878.4106154814</v>
      </c>
      <c r="AF6" s="575">
        <f>+AE6-Revenue</f>
        <v>1588209.5711248182</v>
      </c>
      <c r="AG6" s="574">
        <f ca="1">+AF6/$J$49</f>
        <v>1780600.1853045409</v>
      </c>
      <c r="AH6" s="574">
        <f ca="1">+AG6*$J$47</f>
        <v>40241.564187882628</v>
      </c>
      <c r="AI6" s="573">
        <f ca="1">ROUND(+AH6+AE6,5)</f>
        <v>6348119.9748</v>
      </c>
    </row>
    <row r="7" spans="1:35" ht="15.75">
      <c r="A7" s="441"/>
      <c r="B7" s="572" t="s">
        <v>114</v>
      </c>
      <c r="C7" s="585">
        <f>+'WP-2 - Summary Depr'!Q25</f>
        <v>1557888.7105130614</v>
      </c>
      <c r="D7" s="569"/>
      <c r="E7" s="441"/>
      <c r="F7" s="584">
        <v>1</v>
      </c>
      <c r="G7" s="482"/>
      <c r="H7" s="534" t="s">
        <v>1118</v>
      </c>
      <c r="I7" s="487">
        <f>IF(A65=TRUE,C5,0)</f>
        <v>4719668.8394906633</v>
      </c>
      <c r="J7" s="487">
        <f ca="1">(+$I8/($R51))-I7</f>
        <v>1461133.6018878762</v>
      </c>
      <c r="K7" s="487">
        <f ca="1">+I7+J7</f>
        <v>6180802.4413785394</v>
      </c>
      <c r="L7" s="487">
        <f ca="1">((+J7/J49*K35)-J7)</f>
        <v>37021.75247930293</v>
      </c>
      <c r="M7" s="487">
        <f ca="1">IFERROR(+K7+L7,0.00001)</f>
        <v>6217824.1938578421</v>
      </c>
      <c r="O7" s="563"/>
      <c r="P7" s="441"/>
      <c r="R7" s="517">
        <v>2</v>
      </c>
      <c r="S7" s="514">
        <f>Revenue/Investment*100</f>
        <v>302.95288794642647</v>
      </c>
      <c r="T7" s="429">
        <f>EXP(y_inter1-(slope*LN(+S7)))</f>
        <v>6.1496711065259442</v>
      </c>
      <c r="U7" s="512">
        <f>(+S7*T7/100)/100</f>
        <v>0.18630606216427309</v>
      </c>
      <c r="V7" s="512">
        <f>regDebt_weighted</f>
        <v>3.5860000000000003E-2</v>
      </c>
      <c r="W7" s="512">
        <f>+U7-V7</f>
        <v>0.15044606216427309</v>
      </c>
      <c r="X7" s="512">
        <f>+((W7*(1-0.34))-Pfd_weighted)/Equity_percent</f>
        <v>0.27065232857098903</v>
      </c>
      <c r="Y7" s="512">
        <f>X7*equityP</f>
        <v>0.24673884211331831</v>
      </c>
      <c r="Z7" s="512">
        <f>+Y7/(1-taxrate)</f>
        <v>0.31232764824470671</v>
      </c>
      <c r="AA7" s="512">
        <f>debtP*Debt_Rate</f>
        <v>3.8760368283719962E-3</v>
      </c>
      <c r="AB7" s="512">
        <f>AA7+Z7</f>
        <v>0.31620368507307872</v>
      </c>
      <c r="AC7" s="512">
        <f>AB7/(S7/100)</f>
        <v>0.10437388044605653</v>
      </c>
      <c r="AD7" s="512">
        <f>1-AC7</f>
        <v>0.89562611955394344</v>
      </c>
      <c r="AE7" s="510">
        <f>expenses/(AD7)</f>
        <v>6307878.4106154814</v>
      </c>
      <c r="AF7" s="511">
        <f>+AE7-Revenue</f>
        <v>1588209.5711248182</v>
      </c>
      <c r="AG7" s="498">
        <f ca="1">+AF7/$J$49</f>
        <v>1780600.1853045409</v>
      </c>
      <c r="AH7" s="498">
        <f ca="1">+AG7*$J$47</f>
        <v>40241.564187882628</v>
      </c>
      <c r="AI7" s="510">
        <f ca="1">ROUND(+AH7+AE7,5)</f>
        <v>6348119.9748</v>
      </c>
    </row>
    <row r="8" spans="1:35" ht="15.75">
      <c r="A8" s="441"/>
      <c r="B8" s="572" t="s">
        <v>1135</v>
      </c>
      <c r="C8" s="580">
        <f>+'WP-6 - Capital Structure'!H9</f>
        <v>8.8354999877263155E-2</v>
      </c>
      <c r="D8" s="569"/>
      <c r="E8" s="441"/>
      <c r="F8" s="484">
        <f t="shared" ref="F8:F49" si="0">+F7+1</f>
        <v>2</v>
      </c>
      <c r="G8" s="482"/>
      <c r="H8" s="534" t="s">
        <v>1131</v>
      </c>
      <c r="I8" s="487">
        <f>IF(A65=TRUE,C6,0)</f>
        <v>5649500.66351764</v>
      </c>
      <c r="J8" s="480"/>
      <c r="K8" s="487">
        <f>+I8</f>
        <v>5649500.66351764</v>
      </c>
      <c r="L8" s="487">
        <f ca="1">+L7</f>
        <v>37021.75247930293</v>
      </c>
      <c r="M8" s="487">
        <f ca="1">IFERROR(+K8+L8,0.00001)</f>
        <v>5686522.4159969427</v>
      </c>
      <c r="O8" s="563"/>
      <c r="P8" s="441"/>
      <c r="R8" s="478">
        <v>3</v>
      </c>
      <c r="S8" s="514">
        <f>Revenue/Investment*100</f>
        <v>302.95288794642647</v>
      </c>
      <c r="T8" s="429">
        <f>EXP(y_inter1-(slope*LN(+S8)))</f>
        <v>6.1496711065259442</v>
      </c>
      <c r="U8" s="512">
        <f>(+S8*T8/100)/100</f>
        <v>0.18630606216427309</v>
      </c>
      <c r="V8" s="512">
        <f>regDebt_weighted</f>
        <v>3.5860000000000003E-2</v>
      </c>
      <c r="W8" s="512">
        <f>+U8-V8</f>
        <v>0.15044606216427309</v>
      </c>
      <c r="X8" s="512">
        <f>+((W8*(1-0.34))-Pfd_weighted)/Equity_percent</f>
        <v>0.27065232857098903</v>
      </c>
      <c r="Y8" s="512">
        <f>X8*equityP</f>
        <v>0.24673884211331831</v>
      </c>
      <c r="Z8" s="512">
        <f>+Y8/(1-taxrate)</f>
        <v>0.31232764824470671</v>
      </c>
      <c r="AA8" s="512">
        <f>debtP*Debt_Rate</f>
        <v>3.8760368283719962E-3</v>
      </c>
      <c r="AB8" s="512">
        <f>AA8+Z8</f>
        <v>0.31620368507307872</v>
      </c>
      <c r="AC8" s="512">
        <f>AB8/(S8/100)</f>
        <v>0.10437388044605653</v>
      </c>
      <c r="AD8" s="512">
        <f>1-AC8</f>
        <v>0.89562611955394344</v>
      </c>
      <c r="AE8" s="510">
        <f>expenses/(AD8)</f>
        <v>6307878.4106154814</v>
      </c>
      <c r="AF8" s="511">
        <f>+AE8-Revenue</f>
        <v>1588209.5711248182</v>
      </c>
      <c r="AG8" s="498">
        <f ca="1">+AF8/$J$49</f>
        <v>1780600.1853045409</v>
      </c>
      <c r="AH8" s="498">
        <f ca="1">+AG8*$J$47</f>
        <v>40241.564187882628</v>
      </c>
      <c r="AI8" s="510">
        <f ca="1">ROUND(+AH8+AE8,5)</f>
        <v>6348119.9748</v>
      </c>
    </row>
    <row r="9" spans="1:35" ht="15.75">
      <c r="A9" s="441"/>
      <c r="B9" s="572" t="s">
        <v>1136</v>
      </c>
      <c r="C9" s="580">
        <f>+'WP-6 - Capital Structure'!F12</f>
        <v>4.3868901972229382E-2</v>
      </c>
      <c r="D9" s="569"/>
      <c r="E9" s="441"/>
      <c r="F9" s="484">
        <f t="shared" si="0"/>
        <v>3</v>
      </c>
      <c r="G9" s="482"/>
      <c r="H9" s="534" t="s">
        <v>1137</v>
      </c>
      <c r="I9" s="583">
        <f>+I7-I8</f>
        <v>-929831.82402697671</v>
      </c>
      <c r="J9" s="480"/>
      <c r="K9" s="583">
        <f ca="1">+K7-K8</f>
        <v>531301.77786089946</v>
      </c>
      <c r="L9" s="482"/>
      <c r="M9" s="582">
        <f ca="1">+M7-M8</f>
        <v>531301.77786089946</v>
      </c>
      <c r="O9" s="563"/>
      <c r="P9" s="441"/>
      <c r="R9" s="494">
        <v>4</v>
      </c>
      <c r="S9" s="514">
        <f>Revenue/Investment*100</f>
        <v>302.95288794642647</v>
      </c>
      <c r="T9" s="429">
        <f>EXP(y_inter1-(slope*LN(+S9)))</f>
        <v>6.1496711065259442</v>
      </c>
      <c r="U9" s="512">
        <f>(+S9*T9/100)/100</f>
        <v>0.18630606216427309</v>
      </c>
      <c r="V9" s="512">
        <f>regDebt_weighted</f>
        <v>3.5860000000000003E-2</v>
      </c>
      <c r="W9" s="512">
        <f>+U9-V9</f>
        <v>0.15044606216427309</v>
      </c>
      <c r="X9" s="512">
        <f>+((W9*(1-0.34))-Pfd_weighted)/Equity_percent</f>
        <v>0.27065232857098903</v>
      </c>
      <c r="Y9" s="512">
        <f>X9*equityP</f>
        <v>0.24673884211331831</v>
      </c>
      <c r="Z9" s="512">
        <f>+Y9/(1-taxrate)</f>
        <v>0.31232764824470671</v>
      </c>
      <c r="AA9" s="512">
        <f>debtP*Debt_Rate</f>
        <v>3.8760368283719962E-3</v>
      </c>
      <c r="AB9" s="512">
        <f>AA9+Z9</f>
        <v>0.31620368507307872</v>
      </c>
      <c r="AC9" s="512">
        <f>AB9/(S9/100)</f>
        <v>0.10437388044605653</v>
      </c>
      <c r="AD9" s="512">
        <f>1-AC9</f>
        <v>0.89562611955394344</v>
      </c>
      <c r="AE9" s="510">
        <f>expenses/(AD9)</f>
        <v>6307878.4106154814</v>
      </c>
      <c r="AF9" s="511">
        <f>+AE9-Revenue</f>
        <v>1588209.5711248182</v>
      </c>
      <c r="AG9" s="498">
        <f ca="1">+AF9/$J$49</f>
        <v>1780600.1853045409</v>
      </c>
      <c r="AH9" s="498">
        <f ca="1">+AG9*$J$47</f>
        <v>40241.564187882628</v>
      </c>
      <c r="AI9" s="510">
        <f ca="1">ROUND(+AH9+AE9,5)</f>
        <v>6348119.9748</v>
      </c>
    </row>
    <row r="10" spans="1:35" ht="15.75">
      <c r="A10" s="441"/>
      <c r="B10" s="581" t="s">
        <v>1138</v>
      </c>
      <c r="C10" s="580">
        <v>0.21</v>
      </c>
      <c r="D10" s="569"/>
      <c r="E10" s="441"/>
      <c r="F10" s="484">
        <f t="shared" si="0"/>
        <v>4</v>
      </c>
      <c r="G10" s="482"/>
      <c r="H10" s="482"/>
      <c r="I10" s="480"/>
      <c r="J10" s="480"/>
      <c r="K10" s="487"/>
      <c r="L10" s="482"/>
      <c r="M10" s="482"/>
      <c r="N10" s="482"/>
      <c r="O10" s="563"/>
      <c r="P10" s="441"/>
      <c r="R10" s="426" t="s">
        <v>1139</v>
      </c>
    </row>
    <row r="11" spans="1:35" ht="15.75">
      <c r="A11" s="441"/>
      <c r="B11" s="572" t="s">
        <v>1140</v>
      </c>
      <c r="C11" s="570">
        <v>1.7500000000000002E-2</v>
      </c>
      <c r="D11" s="569"/>
      <c r="E11" s="441"/>
      <c r="F11" s="484">
        <f t="shared" si="0"/>
        <v>5</v>
      </c>
      <c r="G11" s="482"/>
      <c r="H11" s="534" t="s">
        <v>88</v>
      </c>
      <c r="I11" s="487">
        <f>+K11</f>
        <v>6038.4340164535852</v>
      </c>
      <c r="J11" s="480"/>
      <c r="K11" s="487">
        <f>+M27</f>
        <v>6038.4340164535852</v>
      </c>
      <c r="L11" s="482"/>
      <c r="M11" s="487">
        <f>+K11</f>
        <v>6038.4340164535852</v>
      </c>
      <c r="O11" s="563"/>
      <c r="P11" s="441"/>
      <c r="R11" s="579">
        <v>1</v>
      </c>
      <c r="S11" s="578">
        <f ca="1">IF((AI6/Investment*100)&gt;0,(AI6/Investment*100),0)</f>
        <v>407.48225030203639</v>
      </c>
      <c r="T11" s="577">
        <f ca="1">EXP(y_inter1-(slope*LN(S11)))</f>
        <v>5.0215823599811866</v>
      </c>
      <c r="U11" s="576">
        <f ca="1">(+S11*T11/100)/100</f>
        <v>0.20462056801221443</v>
      </c>
      <c r="V11" s="576">
        <f>regDebt_weighted</f>
        <v>3.5860000000000003E-2</v>
      </c>
      <c r="W11" s="576">
        <f ca="1">+U11-V11</f>
        <v>0.16876056801221442</v>
      </c>
      <c r="X11" s="576">
        <f ca="1">+((W11*(1-0.34))-Pfd_weighted)/Equity_percent</f>
        <v>0.30579062467459744</v>
      </c>
      <c r="Y11" s="576">
        <f ca="1">+X11*equityP</f>
        <v>0.27877249406900517</v>
      </c>
      <c r="Z11" s="576">
        <f ca="1">+Y11/(1-taxrate)</f>
        <v>0.35287657477089263</v>
      </c>
      <c r="AA11" s="576">
        <f>debtP*Debt_Rate</f>
        <v>3.8760368283719962E-3</v>
      </c>
      <c r="AB11" s="576">
        <f ca="1">+AA11+Z11</f>
        <v>0.35675261159926464</v>
      </c>
      <c r="AC11" s="576">
        <f ca="1">+AB11/(S11/100)</f>
        <v>8.7550466636235155E-2</v>
      </c>
      <c r="AD11" s="576">
        <f ca="1">1-AC11</f>
        <v>0.91244953336376489</v>
      </c>
      <c r="AE11" s="573">
        <f ca="1">expenses/(AD11)</f>
        <v>6191576.0345568201</v>
      </c>
      <c r="AF11" s="575">
        <f ca="1">+AE11-Revenue</f>
        <v>1471907.1950661568</v>
      </c>
      <c r="AG11" s="574">
        <f ca="1">+AF11/$J$49</f>
        <v>1650209.3123829372</v>
      </c>
      <c r="AH11" s="574">
        <f ca="1">+AG11*$J$47</f>
        <v>37294.730459854385</v>
      </c>
      <c r="AI11" s="573">
        <f ca="1">ROUND(+AH11+AE11,5)</f>
        <v>6228870.7650199998</v>
      </c>
    </row>
    <row r="12" spans="1:35" ht="15.75">
      <c r="A12" s="441"/>
      <c r="B12" s="572" t="s">
        <v>1141</v>
      </c>
      <c r="C12" s="570">
        <v>5.1000000000000004E-3</v>
      </c>
      <c r="D12" s="569"/>
      <c r="E12" s="441"/>
      <c r="F12" s="484">
        <f t="shared" si="0"/>
        <v>6</v>
      </c>
      <c r="G12" s="482"/>
      <c r="H12" s="534" t="s">
        <v>1142</v>
      </c>
      <c r="I12" s="487">
        <f ca="1">IF(I14&lt;0,0,+J38*I14)</f>
        <v>0</v>
      </c>
      <c r="J12" s="487">
        <f ca="1">+K12-I12</f>
        <v>110305.30220733363</v>
      </c>
      <c r="K12" s="487">
        <f ca="1">+(K9-K11)*taxrate</f>
        <v>110305.30220733363</v>
      </c>
      <c r="L12" s="482"/>
      <c r="M12" s="487">
        <f ca="1">+K12</f>
        <v>110305.30220733363</v>
      </c>
      <c r="O12" s="563"/>
      <c r="P12" s="441"/>
      <c r="R12" s="517">
        <v>2</v>
      </c>
      <c r="S12" s="514">
        <f ca="1">IF((AI7/Investment*100)&gt;0,(AI7/Investment*100),0)</f>
        <v>407.48225030203639</v>
      </c>
      <c r="T12" s="516">
        <f ca="1">EXP(y_inter2-(slope*LN(+S12)))</f>
        <v>4.9501362189743245</v>
      </c>
      <c r="U12" s="512">
        <f ca="1">(+S12*T12/100)/100</f>
        <v>0.20170926458092719</v>
      </c>
      <c r="V12" s="512">
        <f>regDebt_weighted</f>
        <v>3.5860000000000003E-2</v>
      </c>
      <c r="W12" s="512">
        <f ca="1">+U12-V12</f>
        <v>0.16584926458092719</v>
      </c>
      <c r="X12" s="512">
        <f ca="1">+((W12*(1-0.34))-Pfd_weighted)/Equity_percent</f>
        <v>0.30020498437038351</v>
      </c>
      <c r="Y12" s="512">
        <f ca="1">+X12*equityP</f>
        <v>0.27368037301318449</v>
      </c>
      <c r="Z12" s="512">
        <f ca="1">+Y12/(1-taxrate)</f>
        <v>0.34643085191542339</v>
      </c>
      <c r="AA12" s="512">
        <f>debtP*Debt_Rate</f>
        <v>3.8760368283719962E-3</v>
      </c>
      <c r="AB12" s="512">
        <f ca="1">+AA12+Z12</f>
        <v>0.3503068887437954</v>
      </c>
      <c r="AC12" s="512">
        <f ca="1">+AB12/(S12/100)</f>
        <v>8.5968625255244582E-2</v>
      </c>
      <c r="AD12" s="512">
        <f ca="1">1-AC12</f>
        <v>0.91403137474475538</v>
      </c>
      <c r="AE12" s="510">
        <f ca="1">expenses/(AD12)</f>
        <v>6180860.7665084489</v>
      </c>
      <c r="AF12" s="511">
        <f ca="1">+AE12-Revenue</f>
        <v>1461191.9270177856</v>
      </c>
      <c r="AG12" s="498">
        <f ca="1">+AF12/$J$49</f>
        <v>1638196.0311262296</v>
      </c>
      <c r="AH12" s="498">
        <f ca="1">+AG12*$J$47</f>
        <v>37023.230303452794</v>
      </c>
      <c r="AI12" s="510">
        <f ca="1">ROUND(+AH12+AE12,5)</f>
        <v>6217883.9968100004</v>
      </c>
    </row>
    <row r="13" spans="1:35" ht="15.75">
      <c r="A13" s="441"/>
      <c r="B13" s="572" t="s">
        <v>1143</v>
      </c>
      <c r="C13" s="570">
        <v>0</v>
      </c>
      <c r="D13" s="569"/>
      <c r="E13" s="441"/>
      <c r="F13" s="484">
        <f t="shared" si="0"/>
        <v>7</v>
      </c>
      <c r="G13" s="482"/>
      <c r="H13" s="482"/>
      <c r="I13" s="480"/>
      <c r="J13" s="480"/>
      <c r="K13" s="487"/>
      <c r="L13" s="482"/>
      <c r="M13" s="482"/>
      <c r="O13" s="563"/>
      <c r="P13" s="441"/>
      <c r="R13" s="478">
        <v>3</v>
      </c>
      <c r="S13" s="514">
        <f ca="1">IF((AI8/Investment*100)&gt;0,(AI8/Investment*100),0)</f>
        <v>407.48225030203639</v>
      </c>
      <c r="T13" s="429">
        <f ca="1">EXP(y_inter3-(slope*LN(S13)))</f>
        <v>4.9020088730238678</v>
      </c>
      <c r="U13" s="512">
        <f ca="1">(+S13*T13/100)/100</f>
        <v>0.1997481606580315</v>
      </c>
      <c r="V13" s="512">
        <f>regDebt_weighted</f>
        <v>3.5860000000000003E-2</v>
      </c>
      <c r="W13" s="512">
        <f ca="1">+U13-V13</f>
        <v>0.1638881606580315</v>
      </c>
      <c r="X13" s="512">
        <f ca="1">+((W13*(1-0.34))-Pfd_weighted)/Equity_percent</f>
        <v>0.29644240126250226</v>
      </c>
      <c r="Y13" s="512">
        <f ca="1">+X13*equityP</f>
        <v>0.27025023293533829</v>
      </c>
      <c r="Z13" s="512">
        <f ca="1">+Y13/(1-taxrate)</f>
        <v>0.34208890244979528</v>
      </c>
      <c r="AA13" s="512">
        <f>debtP*Debt_Rate</f>
        <v>3.8760368283719962E-3</v>
      </c>
      <c r="AB13" s="512">
        <f ca="1">+AA13+Z13</f>
        <v>0.34596493927816729</v>
      </c>
      <c r="AC13" s="512">
        <f ca="1">+AB13/(S13/100)</f>
        <v>8.4903069770948081E-2</v>
      </c>
      <c r="AD13" s="512">
        <f ca="1">1-AC13</f>
        <v>0.91509693022905192</v>
      </c>
      <c r="AE13" s="510">
        <f ca="1">expenses/(AD13)</f>
        <v>6173663.659983594</v>
      </c>
      <c r="AF13" s="511">
        <f ca="1">+AE13-Revenue</f>
        <v>1453994.8204929307</v>
      </c>
      <c r="AG13" s="498">
        <f ca="1">+AF13/$J$49</f>
        <v>1630127.0901975224</v>
      </c>
      <c r="AH13" s="498">
        <f ca="1">+AG13*$J$47</f>
        <v>36840.872238464013</v>
      </c>
      <c r="AI13" s="510">
        <f ca="1">ROUND(+AH13+AE13,5)</f>
        <v>6210504.5322200004</v>
      </c>
    </row>
    <row r="14" spans="1:35" ht="16.5" thickBot="1">
      <c r="A14" s="441"/>
      <c r="B14" s="571" t="s">
        <v>15</v>
      </c>
      <c r="C14" s="570">
        <v>0</v>
      </c>
      <c r="D14" s="569"/>
      <c r="E14" s="441"/>
      <c r="F14" s="484">
        <f t="shared" si="0"/>
        <v>8</v>
      </c>
      <c r="G14" s="482"/>
      <c r="H14" s="482" t="s">
        <v>94</v>
      </c>
      <c r="I14" s="568">
        <f ca="1">+I9-SUM(I11:I13)</f>
        <v>-935870.25804343028</v>
      </c>
      <c r="J14" s="480"/>
      <c r="K14" s="568">
        <f ca="1">+K9-SUM(K11:K13)</f>
        <v>414958.04163711227</v>
      </c>
      <c r="L14" s="482"/>
      <c r="M14" s="568">
        <f ca="1">+M9-SUM(M11:M13)</f>
        <v>414958.04163711227</v>
      </c>
      <c r="O14" s="563"/>
      <c r="P14" s="441"/>
      <c r="R14" s="494">
        <v>4</v>
      </c>
      <c r="S14" s="514">
        <f ca="1">IF((AI9/Investment*100)&gt;0,(AI9/Investment*100),0)</f>
        <v>407.48225030203639</v>
      </c>
      <c r="T14" s="513">
        <f ca="1">EXP(y_inter4-(slope*LN(S14)))</f>
        <v>4.8712232935224815</v>
      </c>
      <c r="U14" s="512">
        <f ca="1">(+S14*T14/100)/100</f>
        <v>0.19849370293682381</v>
      </c>
      <c r="V14" s="512">
        <f>regDebt_weighted</f>
        <v>3.5860000000000003E-2</v>
      </c>
      <c r="W14" s="512">
        <f ca="1">+U14-V14</f>
        <v>0.1626337029368238</v>
      </c>
      <c r="X14" s="512">
        <f ca="1">+((W14*(1-0.34))-Pfd_weighted)/Equity_percent</f>
        <v>0.29403559284390612</v>
      </c>
      <c r="Y14" s="512">
        <f ca="1">+X14*equityP</f>
        <v>0.26805607807427179</v>
      </c>
      <c r="Z14" s="512">
        <f ca="1">+Y14/(1-taxrate)</f>
        <v>0.33931149123325544</v>
      </c>
      <c r="AA14" s="512">
        <f>debtP*Debt_Rate</f>
        <v>3.8760368283719962E-3</v>
      </c>
      <c r="AB14" s="512">
        <f ca="1">+AA14+Z14</f>
        <v>0.34318752806162744</v>
      </c>
      <c r="AC14" s="512">
        <f ca="1">+AB14/(S14/100)</f>
        <v>8.4221466777325379E-2</v>
      </c>
      <c r="AD14" s="512">
        <f ca="1">1-AC14</f>
        <v>0.91577853322267466</v>
      </c>
      <c r="AE14" s="510">
        <f ca="1">expenses/(AD14)</f>
        <v>6169068.6760659683</v>
      </c>
      <c r="AF14" s="511">
        <f ca="1">+AE14-Revenue</f>
        <v>1449399.8365753051</v>
      </c>
      <c r="AG14" s="498">
        <f ca="1">+AF14/$J$49</f>
        <v>1624975.4846638769</v>
      </c>
      <c r="AH14" s="498">
        <f ca="1">+AG14*$J$47</f>
        <v>36724.445953403621</v>
      </c>
      <c r="AI14" s="510">
        <f ca="1">ROUND(+AH14+AE14,5)</f>
        <v>6205793.1220199997</v>
      </c>
    </row>
    <row r="15" spans="1:35" ht="16.5" thickTop="1">
      <c r="A15" s="441"/>
      <c r="B15" s="796"/>
      <c r="C15" s="796"/>
      <c r="D15" s="441"/>
      <c r="E15" s="441"/>
      <c r="F15" s="484">
        <f t="shared" si="0"/>
        <v>9</v>
      </c>
      <c r="G15" s="480"/>
      <c r="H15" s="480"/>
      <c r="I15" s="480"/>
      <c r="J15" s="480"/>
      <c r="K15" s="567"/>
      <c r="L15" s="480"/>
      <c r="M15" s="480"/>
      <c r="O15" s="563"/>
      <c r="P15" s="441"/>
      <c r="R15" s="426" t="s">
        <v>1144</v>
      </c>
    </row>
    <row r="16" spans="1:35" ht="15.75">
      <c r="A16" s="441"/>
      <c r="B16" s="566" t="s">
        <v>1145</v>
      </c>
      <c r="C16" s="796"/>
      <c r="D16" s="796"/>
      <c r="E16" s="441"/>
      <c r="F16" s="484">
        <f t="shared" si="0"/>
        <v>10</v>
      </c>
      <c r="G16" s="480"/>
      <c r="H16" s="556" t="s">
        <v>1146</v>
      </c>
      <c r="I16" s="564">
        <f>+I8/I7</f>
        <v>1.1970120903921984</v>
      </c>
      <c r="J16" s="418"/>
      <c r="K16" s="564">
        <f ca="1">+K8/K7</f>
        <v>0.91403999999999996</v>
      </c>
      <c r="L16" s="565"/>
      <c r="M16" s="564">
        <f ca="1">+M8/M7</f>
        <v>0.91455181727625301</v>
      </c>
      <c r="O16" s="563"/>
      <c r="P16" s="441"/>
      <c r="R16" s="525">
        <v>1</v>
      </c>
      <c r="S16" s="524">
        <f ca="1">AI11/Investment*100</f>
        <v>399.82771060512005</v>
      </c>
      <c r="T16" s="523">
        <f ca="1">EXP(y_inter1-(slope*LN(+S16)))</f>
        <v>5.0871104063986108</v>
      </c>
      <c r="U16" s="522">
        <f ca="1">(+S16*T16/100)/100</f>
        <v>0.20339677073858384</v>
      </c>
      <c r="V16" s="522">
        <f>regDebt_weighted</f>
        <v>3.5860000000000003E-2</v>
      </c>
      <c r="W16" s="522">
        <f ca="1">+U16-V16</f>
        <v>0.16753677073858383</v>
      </c>
      <c r="X16" s="522">
        <f ca="1">+((W16*(1-0.34))-Pfd_weighted)/Equity_percent</f>
        <v>0.30344264153332945</v>
      </c>
      <c r="Y16" s="522">
        <f ca="1">+X16*equityP</f>
        <v>0.27663196697789572</v>
      </c>
      <c r="Z16" s="522">
        <f ca="1">+Y16/(1-taxrate)</f>
        <v>0.35016704680746291</v>
      </c>
      <c r="AA16" s="522">
        <f>debtP*Debt_Rate</f>
        <v>3.8760368283719962E-3</v>
      </c>
      <c r="AB16" s="522">
        <f ca="1">+AA16+Z16</f>
        <v>0.35404308363583492</v>
      </c>
      <c r="AC16" s="522">
        <f ca="1">+AB16/(S16/100)</f>
        <v>8.8548911004694419E-2</v>
      </c>
      <c r="AD16" s="522">
        <f ca="1">1-AC16</f>
        <v>0.91145108899530558</v>
      </c>
      <c r="AE16" s="519">
        <f ca="1">expenses/(AD16)</f>
        <v>6198358.5644130353</v>
      </c>
      <c r="AF16" s="521">
        <f ca="1">+AE16-Revenue</f>
        <v>1478689.724922372</v>
      </c>
      <c r="AG16" s="520">
        <f ca="1">+AF16/$J$49</f>
        <v>1657813.456154881</v>
      </c>
      <c r="AH16" s="520">
        <f ca="1">+AG16*$J$47</f>
        <v>37466.584109100317</v>
      </c>
      <c r="AI16" s="519">
        <f ca="1">ROUND(+AH16+AE16,5)</f>
        <v>6235825.1485200003</v>
      </c>
    </row>
    <row r="17" spans="1:35" ht="15.75">
      <c r="A17" s="441"/>
      <c r="B17" s="795"/>
      <c r="C17" s="796"/>
      <c r="D17" s="441" t="s">
        <v>1147</v>
      </c>
      <c r="E17" s="441"/>
      <c r="F17" s="484">
        <f t="shared" si="0"/>
        <v>11</v>
      </c>
      <c r="G17" s="480"/>
      <c r="H17" s="562"/>
      <c r="I17" s="562"/>
      <c r="J17" s="551"/>
      <c r="K17" s="562"/>
      <c r="L17" s="556"/>
      <c r="M17" s="556"/>
      <c r="N17" s="536"/>
      <c r="O17" s="441"/>
      <c r="P17" s="441"/>
      <c r="R17" s="517">
        <v>2</v>
      </c>
      <c r="S17" s="514">
        <f ca="1">AI12/Investment*100</f>
        <v>399.12247613388615</v>
      </c>
      <c r="T17" s="516">
        <f ca="1">EXP(y_inter2-(slope*LN(+S17)))</f>
        <v>5.0207881457538939</v>
      </c>
      <c r="U17" s="512">
        <f ca="1">(+S17*T17/100)/100</f>
        <v>0.2003909396876957</v>
      </c>
      <c r="V17" s="512">
        <f>regDebt_weighted</f>
        <v>3.5860000000000003E-2</v>
      </c>
      <c r="W17" s="512">
        <f ca="1">+U17-V17</f>
        <v>0.16453093968769569</v>
      </c>
      <c r="X17" s="512">
        <f ca="1">+((W17*(1-0.34))-Pfd_weighted)/Equity_percent</f>
        <v>0.29767564009848591</v>
      </c>
      <c r="Y17" s="512">
        <f ca="1">+X17*equityP</f>
        <v>0.27137450895411996</v>
      </c>
      <c r="Z17" s="512">
        <f ca="1">+Y17/(1-taxrate)</f>
        <v>0.34351203665078472</v>
      </c>
      <c r="AA17" s="512">
        <f>debtP*Debt_Rate</f>
        <v>3.8760368283719962E-3</v>
      </c>
      <c r="AB17" s="512">
        <f ca="1">+AA17+Z17</f>
        <v>0.34738807347915673</v>
      </c>
      <c r="AC17" s="512">
        <f ca="1">+AB17/(S17/100)</f>
        <v>8.7037963094472523E-2</v>
      </c>
      <c r="AD17" s="512">
        <f ca="1">1-AC17</f>
        <v>0.91296203690552746</v>
      </c>
      <c r="AE17" s="510">
        <f ca="1">expenses/(AD17)</f>
        <v>6188100.3099170988</v>
      </c>
      <c r="AF17" s="511">
        <f ca="1">+AE17-Revenue</f>
        <v>1468431.4704264356</v>
      </c>
      <c r="AG17" s="498">
        <f ca="1">+AF17/$J$49</f>
        <v>1646312.5496067426</v>
      </c>
      <c r="AH17" s="498">
        <f ca="1">+AG17*$J$47</f>
        <v>37206.663621112384</v>
      </c>
      <c r="AI17" s="510">
        <f ca="1">ROUND(+AH17+AE17,5)</f>
        <v>6225306.9735399997</v>
      </c>
    </row>
    <row r="18" spans="1:35" ht="15.75">
      <c r="A18" s="441"/>
      <c r="B18" s="797" t="s">
        <v>1148</v>
      </c>
      <c r="C18" s="797"/>
      <c r="D18" s="441"/>
      <c r="E18" s="441"/>
      <c r="F18" s="484">
        <f t="shared" si="0"/>
        <v>12</v>
      </c>
      <c r="G18" s="480"/>
      <c r="H18" s="561" t="s">
        <v>175</v>
      </c>
      <c r="I18" s="560"/>
      <c r="J18" s="560"/>
      <c r="K18" s="560"/>
      <c r="L18" s="560"/>
      <c r="M18" s="559"/>
      <c r="N18" s="551"/>
      <c r="O18" s="441"/>
      <c r="P18" s="441"/>
      <c r="R18" s="478">
        <v>3</v>
      </c>
      <c r="S18" s="514">
        <f ca="1">AI13/Investment*100</f>
        <v>398.64879245287602</v>
      </c>
      <c r="T18" s="429">
        <f ca="1">EXP(y_inter3-(slope*LN(S18)))</f>
        <v>4.976012127974661</v>
      </c>
      <c r="U18" s="512">
        <f ca="1">(+S18*T18/100)/100</f>
        <v>0.19836812260479647</v>
      </c>
      <c r="V18" s="512">
        <f>regDebt_weighted</f>
        <v>3.5860000000000003E-2</v>
      </c>
      <c r="W18" s="512">
        <f ca="1">+U18-V18</f>
        <v>0.16250812260479647</v>
      </c>
      <c r="X18" s="512">
        <f ca="1">+((W18*(1-0.34))-Pfd_weighted)/Equity_percent</f>
        <v>0.29379465383478393</v>
      </c>
      <c r="Y18" s="512">
        <f ca="1">+X18*equityP</f>
        <v>0.26783642723127105</v>
      </c>
      <c r="Z18" s="512">
        <f ca="1">+Y18/(1-taxrate)</f>
        <v>0.33903345219148234</v>
      </c>
      <c r="AA18" s="512">
        <f>debtP*Debt_Rate</f>
        <v>3.8760368283719962E-3</v>
      </c>
      <c r="AB18" s="512">
        <f ca="1">+AA18+Z18</f>
        <v>0.34290948901985435</v>
      </c>
      <c r="AC18" s="512">
        <f ca="1">+AB18/(S18/100)</f>
        <v>8.6017942487657081E-2</v>
      </c>
      <c r="AD18" s="512">
        <f ca="1">1-AC18</f>
        <v>0.91398205751234296</v>
      </c>
      <c r="AE18" s="510">
        <f ca="1">expenses/(AD18)</f>
        <v>6181194.2773738159</v>
      </c>
      <c r="AF18" s="511">
        <f ca="1">+AE18-Revenue</f>
        <v>1461525.4378831526</v>
      </c>
      <c r="AG18" s="498">
        <f ca="1">+AF18/$J$49</f>
        <v>1638569.9424282834</v>
      </c>
      <c r="AH18" s="498">
        <f ca="1">+AG18*$J$47</f>
        <v>37031.680698879209</v>
      </c>
      <c r="AI18" s="510">
        <f ca="1">ROUND(+AH18+AE18,5)</f>
        <v>6218225.9580699997</v>
      </c>
    </row>
    <row r="19" spans="1:35" ht="15.75">
      <c r="A19" s="441"/>
      <c r="B19" s="441"/>
      <c r="C19" s="441"/>
      <c r="D19" s="441"/>
      <c r="E19" s="441"/>
      <c r="F19" s="484">
        <f t="shared" si="0"/>
        <v>13</v>
      </c>
      <c r="G19" s="480"/>
      <c r="H19" s="553"/>
      <c r="I19" s="556" t="s">
        <v>1149</v>
      </c>
      <c r="J19" s="558">
        <f>+Revenue</f>
        <v>4719668.8394906633</v>
      </c>
      <c r="K19" s="557"/>
      <c r="L19" s="556" t="s">
        <v>1150</v>
      </c>
      <c r="M19" s="555">
        <f ca="1">+J7</f>
        <v>1461133.6018878762</v>
      </c>
      <c r="O19" s="441"/>
      <c r="P19" s="441"/>
      <c r="R19" s="494">
        <v>4</v>
      </c>
      <c r="S19" s="514">
        <f ca="1">AI14/Investment*100</f>
        <v>398.34636968235287</v>
      </c>
      <c r="T19" s="513">
        <f ca="1">EXP(y_inter4-(slope*LN(S19)))</f>
        <v>4.9473280105384587</v>
      </c>
      <c r="U19" s="512">
        <f ca="1">(+S19*T19/100)/100</f>
        <v>0.19707501526258123</v>
      </c>
      <c r="V19" s="512">
        <f>regDebt_weighted</f>
        <v>3.5860000000000003E-2</v>
      </c>
      <c r="W19" s="512">
        <f ca="1">+U19-V19</f>
        <v>0.16121501526258122</v>
      </c>
      <c r="X19" s="512">
        <f ca="1">+((W19*(1-0.34))-Pfd_weighted)/Equity_percent</f>
        <v>0.29131369207355701</v>
      </c>
      <c r="Y19" s="512">
        <f ca="1">+X19*equityP</f>
        <v>0.26557467084615283</v>
      </c>
      <c r="Z19" s="512">
        <f ca="1">+Y19/(1-taxrate)</f>
        <v>0.33617046942550988</v>
      </c>
      <c r="AA19" s="512">
        <f>debtP*Debt_Rate</f>
        <v>3.8760368283719962E-3</v>
      </c>
      <c r="AB19" s="512">
        <f ca="1">+AA19+Z19</f>
        <v>0.34004650625388189</v>
      </c>
      <c r="AC19" s="512">
        <f ca="1">+AB19/(S19/100)</f>
        <v>8.5364530000622288E-2</v>
      </c>
      <c r="AD19" s="512">
        <f ca="1">1-AC19</f>
        <v>0.91463546999937773</v>
      </c>
      <c r="AE19" s="510">
        <f ca="1">expenses/(AD19)</f>
        <v>6176778.4530830448</v>
      </c>
      <c r="AF19" s="511">
        <f ca="1">+AE19-Revenue</f>
        <v>1457109.6135923816</v>
      </c>
      <c r="AG19" s="498">
        <f ca="1">+AF19/$J$49</f>
        <v>1633619.1993441381</v>
      </c>
      <c r="AH19" s="498">
        <f ca="1">+AG19*$J$47</f>
        <v>36919.793905177525</v>
      </c>
      <c r="AI19" s="510">
        <f ca="1">ROUND(+AH19+AE19,5)</f>
        <v>6213698.2469899999</v>
      </c>
    </row>
    <row r="20" spans="1:35" ht="15.75">
      <c r="A20" s="441"/>
      <c r="B20" s="554"/>
      <c r="C20" s="441"/>
      <c r="D20" s="441"/>
      <c r="E20" s="441"/>
      <c r="F20" s="484">
        <f t="shared" si="0"/>
        <v>14</v>
      </c>
      <c r="G20" s="480"/>
      <c r="H20" s="553"/>
      <c r="I20" s="556" t="s">
        <v>1151</v>
      </c>
      <c r="J20" s="558">
        <f ca="1">+J21-J19</f>
        <v>1498155.3543671789</v>
      </c>
      <c r="K20" s="557"/>
      <c r="L20" s="556" t="s">
        <v>1152</v>
      </c>
      <c r="M20" s="555">
        <f ca="1">+L8</f>
        <v>37021.75247930293</v>
      </c>
      <c r="O20" s="441"/>
      <c r="P20" s="441"/>
      <c r="R20" s="426" t="s">
        <v>1153</v>
      </c>
    </row>
    <row r="21" spans="1:35" ht="16.5" thickBot="1">
      <c r="A21" s="441"/>
      <c r="B21" s="554" t="s">
        <v>1154</v>
      </c>
      <c r="C21" s="441"/>
      <c r="D21" s="441"/>
      <c r="E21" s="441"/>
      <c r="F21" s="484">
        <f t="shared" si="0"/>
        <v>15</v>
      </c>
      <c r="G21" s="480"/>
      <c r="H21" s="553"/>
      <c r="I21" s="550" t="s">
        <v>175</v>
      </c>
      <c r="J21" s="552">
        <f ca="1">+M7</f>
        <v>6217824.1938578421</v>
      </c>
      <c r="K21" s="551"/>
      <c r="L21" s="550" t="s">
        <v>1151</v>
      </c>
      <c r="M21" s="549">
        <f ca="1">+M19+M20</f>
        <v>1498155.3543671791</v>
      </c>
      <c r="O21" s="441"/>
      <c r="P21" s="441"/>
      <c r="R21" s="525">
        <v>1</v>
      </c>
      <c r="S21" s="524">
        <f ca="1">AI16/Investment*100</f>
        <v>400.27410857007555</v>
      </c>
      <c r="T21" s="523">
        <f ca="1">EXP(y_inter1-(slope*LN(+S21)))</f>
        <v>5.0832310558121412</v>
      </c>
      <c r="U21" s="522">
        <f ca="1">(+S21*T21/100)/100</f>
        <v>0.20346857795209289</v>
      </c>
      <c r="V21" s="522">
        <f>regDebt_weighted</f>
        <v>3.5860000000000003E-2</v>
      </c>
      <c r="W21" s="522">
        <f ca="1">+U21-V21</f>
        <v>0.16760857795209289</v>
      </c>
      <c r="X21" s="522">
        <f ca="1">+((W21*(1-0.34))-Pfd_weighted)/Equity_percent</f>
        <v>0.3035804111871549</v>
      </c>
      <c r="Y21" s="522">
        <f ca="1">+X21*equityP</f>
        <v>0.27675756399397433</v>
      </c>
      <c r="Z21" s="522">
        <f ca="1">+Y21/(1-taxrate)</f>
        <v>0.3503260303721194</v>
      </c>
      <c r="AA21" s="522">
        <f>debtP*Debt_Rate</f>
        <v>3.8760368283719962E-3</v>
      </c>
      <c r="AB21" s="522">
        <f ca="1">+AA21+Z21</f>
        <v>0.35420206720049141</v>
      </c>
      <c r="AC21" s="522">
        <f ca="1">+AB21/(S21/100)</f>
        <v>8.8489877215848362E-2</v>
      </c>
      <c r="AD21" s="522">
        <f ca="1">1-AC21</f>
        <v>0.91151012278415167</v>
      </c>
      <c r="AE21" s="519">
        <f ca="1">expenses/(AD21)</f>
        <v>6197957.1288375687</v>
      </c>
      <c r="AF21" s="521">
        <f ca="1">+AE21-Revenue</f>
        <v>1478288.2893469054</v>
      </c>
      <c r="AG21" s="520">
        <f ca="1">+AF21/$J$49</f>
        <v>1657363.3919611755</v>
      </c>
      <c r="AH21" s="520">
        <f ca="1">+AG21*$J$47</f>
        <v>37456.412658322566</v>
      </c>
      <c r="AI21" s="519">
        <f ca="1">ROUND(+AH21+AE21,5)</f>
        <v>6235413.5415000003</v>
      </c>
    </row>
    <row r="22" spans="1:35" ht="16.5" thickTop="1">
      <c r="A22" s="441"/>
      <c r="B22" s="441" t="s">
        <v>1155</v>
      </c>
      <c r="C22" s="441"/>
      <c r="D22" s="441"/>
      <c r="E22" s="441"/>
      <c r="F22" s="484">
        <f t="shared" si="0"/>
        <v>16</v>
      </c>
      <c r="G22" s="480"/>
      <c r="H22" s="548"/>
      <c r="I22" s="545"/>
      <c r="J22" s="547" t="s">
        <v>1190</v>
      </c>
      <c r="K22" s="546">
        <f ca="1">+(J21/J19)-1</f>
        <v>0.31742806652698463</v>
      </c>
      <c r="L22" s="545"/>
      <c r="M22" s="544"/>
      <c r="O22" s="441"/>
      <c r="P22" s="441"/>
      <c r="R22" s="517">
        <v>2</v>
      </c>
      <c r="S22" s="514">
        <f ca="1">AI17/Investment*100</f>
        <v>399.59895283468688</v>
      </c>
      <c r="T22" s="516">
        <f ca="1">EXP(y_inter2-(slope*LN(+S22)))</f>
        <v>5.016694429968485</v>
      </c>
      <c r="U22" s="512">
        <f ca="1">(+S22*T22/100)/100</f>
        <v>0.20046658409070128</v>
      </c>
      <c r="V22" s="512">
        <f>regDebt_weighted</f>
        <v>3.5860000000000003E-2</v>
      </c>
      <c r="W22" s="512">
        <f ca="1">+U22-V22</f>
        <v>0.16460658409070128</v>
      </c>
      <c r="X22" s="512">
        <f ca="1">+((W22*(1-0.34))-Pfd_weighted)/Equity_percent</f>
        <v>0.29782077180192684</v>
      </c>
      <c r="Y22" s="512">
        <f ca="1">+X22*equityP</f>
        <v>0.27150681754592121</v>
      </c>
      <c r="Z22" s="512">
        <f ca="1">+Y22/(1-taxrate)</f>
        <v>0.34367951588091289</v>
      </c>
      <c r="AA22" s="512">
        <f>debtP*Debt_Rate</f>
        <v>3.8760368283719962E-3</v>
      </c>
      <c r="AB22" s="512">
        <f ca="1">+AA22+Z22</f>
        <v>0.3475555527092849</v>
      </c>
      <c r="AC22" s="512">
        <f ca="1">+AB22/(S22/100)</f>
        <v>8.6976091965152824E-2</v>
      </c>
      <c r="AD22" s="512">
        <f ca="1">1-AC22</f>
        <v>0.91302390803484723</v>
      </c>
      <c r="AE22" s="510">
        <f ca="1">expenses/(AD22)</f>
        <v>6187680.972864531</v>
      </c>
      <c r="AF22" s="511">
        <f ca="1">+AE22-Revenue</f>
        <v>1468012.1333738677</v>
      </c>
      <c r="AG22" s="498">
        <f ca="1">+AF22/$J$49</f>
        <v>1645842.4154084085</v>
      </c>
      <c r="AH22" s="498">
        <f ca="1">+AG22*$J$47</f>
        <v>37196.038588230032</v>
      </c>
      <c r="AI22" s="510">
        <f ca="1">ROUND(+AH22+AE22,5)</f>
        <v>6224877.0114500001</v>
      </c>
    </row>
    <row r="23" spans="1:35" ht="15.75">
      <c r="A23" s="441"/>
      <c r="B23" s="441" t="s">
        <v>1156</v>
      </c>
      <c r="C23" s="441"/>
      <c r="D23" s="441"/>
      <c r="E23" s="441"/>
      <c r="F23" s="484">
        <f t="shared" si="0"/>
        <v>17</v>
      </c>
      <c r="H23" s="480"/>
      <c r="I23" s="480"/>
      <c r="J23" s="480"/>
      <c r="K23" s="480"/>
      <c r="L23" s="480"/>
      <c r="M23" s="480"/>
      <c r="N23" s="480"/>
      <c r="O23" s="441"/>
      <c r="P23" s="441"/>
      <c r="R23" s="478">
        <v>3</v>
      </c>
      <c r="S23" s="514">
        <f ca="1">AI18/Investment*100</f>
        <v>399.14442643480891</v>
      </c>
      <c r="T23" s="429">
        <f ca="1">EXP(y_inter3-(slope*LN(S23)))</f>
        <v>4.9717869569516893</v>
      </c>
      <c r="U23" s="512">
        <f ca="1">(+S23*T23/100)/100</f>
        <v>0.19844610532885462</v>
      </c>
      <c r="V23" s="512">
        <f>regDebt_weighted</f>
        <v>3.5860000000000003E-2</v>
      </c>
      <c r="W23" s="512">
        <f ca="1">+U23-V23</f>
        <v>0.16258610532885462</v>
      </c>
      <c r="X23" s="512">
        <f ca="1">+((W23*(1-0.34))-Pfd_weighted)/Equity_percent</f>
        <v>0.29394427185187222</v>
      </c>
      <c r="Y23" s="512">
        <f ca="1">+X23*equityP</f>
        <v>0.26797282574847786</v>
      </c>
      <c r="Z23" s="512">
        <f ca="1">+Y23/(1-taxrate)</f>
        <v>0.33920610854237704</v>
      </c>
      <c r="AA23" s="512">
        <f>debtP*Debt_Rate</f>
        <v>3.8760368283719962E-3</v>
      </c>
      <c r="AB23" s="512">
        <f ca="1">+AA23+Z23</f>
        <v>0.34308214537074905</v>
      </c>
      <c r="AC23" s="512">
        <f ca="1">+AB23/(S23/100)</f>
        <v>8.595438709621657E-2</v>
      </c>
      <c r="AD23" s="512">
        <f ca="1">1-AC23</f>
        <v>0.91404561290378339</v>
      </c>
      <c r="AE23" s="510">
        <f ca="1">expenses/(AD23)</f>
        <v>6180764.486763455</v>
      </c>
      <c r="AF23" s="511">
        <f ca="1">+AE23-Revenue</f>
        <v>1461095.6472727917</v>
      </c>
      <c r="AG23" s="498">
        <f ca="1">+AF23/$J$49</f>
        <v>1638088.0883616889</v>
      </c>
      <c r="AH23" s="498">
        <f ca="1">+AG23*$J$47</f>
        <v>37020.790796974172</v>
      </c>
      <c r="AI23" s="510">
        <f ca="1">ROUND(+AH23+AE23,5)</f>
        <v>6217785.2775600003</v>
      </c>
    </row>
    <row r="24" spans="1:35" ht="15.75">
      <c r="A24" s="441"/>
      <c r="B24" s="441" t="s">
        <v>1157</v>
      </c>
      <c r="C24" s="441"/>
      <c r="D24" s="441"/>
      <c r="E24" s="441"/>
      <c r="F24" s="484">
        <f t="shared" si="0"/>
        <v>18</v>
      </c>
      <c r="H24" s="480"/>
      <c r="J24" s="543" t="s">
        <v>1158</v>
      </c>
      <c r="K24" s="542" t="s">
        <v>1159</v>
      </c>
      <c r="L24" s="542"/>
      <c r="M24" s="542"/>
      <c r="N24" s="542"/>
      <c r="O24" s="441"/>
      <c r="P24" s="441"/>
      <c r="R24" s="494">
        <v>4</v>
      </c>
      <c r="S24" s="514">
        <f ca="1">AI19/Investment*100</f>
        <v>398.85379520746608</v>
      </c>
      <c r="T24" s="513">
        <f ca="1">EXP(y_inter4-(slope*LN(S24)))</f>
        <v>4.9430240999778503</v>
      </c>
      <c r="U24" s="512">
        <f ca="1">(+S24*T24/100)/100</f>
        <v>0.1971543922078135</v>
      </c>
      <c r="V24" s="512">
        <f>regDebt_weighted</f>
        <v>3.5860000000000003E-2</v>
      </c>
      <c r="W24" s="512">
        <f ca="1">+U24-V24</f>
        <v>0.1612943922078135</v>
      </c>
      <c r="X24" s="512">
        <f ca="1">+((W24*(1-0.34))-Pfd_weighted)/Equity_percent</f>
        <v>0.2914659850498747</v>
      </c>
      <c r="Y24" s="512">
        <f ca="1">+X24*equityP</f>
        <v>0.26571350797656662</v>
      </c>
      <c r="Z24" s="512">
        <f ca="1">+Y24/(1-taxrate)</f>
        <v>0.33634621262856534</v>
      </c>
      <c r="AA24" s="512">
        <f>debtP*Debt_Rate</f>
        <v>3.8760368283719962E-3</v>
      </c>
      <c r="AB24" s="512">
        <f ca="1">+AA24+Z24</f>
        <v>0.34022224945693735</v>
      </c>
      <c r="AC24" s="512">
        <f ca="1">+AB24/(S24/100)</f>
        <v>8.5299990509045756E-2</v>
      </c>
      <c r="AD24" s="512">
        <f ca="1">1-AC24</f>
        <v>0.9147000094909542</v>
      </c>
      <c r="AE24" s="510">
        <f ca="1">expenses/(AD24)</f>
        <v>6176342.6313526351</v>
      </c>
      <c r="AF24" s="511">
        <f ca="1">+AE24-Revenue</f>
        <v>1456673.7918619718</v>
      </c>
      <c r="AG24" s="498">
        <f ca="1">+AF24/$J$49</f>
        <v>1633130.5835669534</v>
      </c>
      <c r="AH24" s="498">
        <f ca="1">+AG24*$J$47</f>
        <v>36908.751188613154</v>
      </c>
      <c r="AI24" s="510">
        <f ca="1">ROUND(+AH24+AE24,5)</f>
        <v>6213251.3825399997</v>
      </c>
    </row>
    <row r="25" spans="1:35" ht="15.75">
      <c r="A25" s="441"/>
      <c r="B25" s="441" t="s">
        <v>1160</v>
      </c>
      <c r="C25" s="441"/>
      <c r="D25" s="441"/>
      <c r="E25" s="441"/>
      <c r="F25" s="484">
        <f t="shared" si="0"/>
        <v>19</v>
      </c>
      <c r="H25" s="540" t="s">
        <v>1161</v>
      </c>
      <c r="I25" s="541" t="s">
        <v>189</v>
      </c>
      <c r="J25" s="539" t="s">
        <v>2</v>
      </c>
      <c r="K25" s="540" t="s">
        <v>1162</v>
      </c>
      <c r="L25" s="539" t="s">
        <v>1163</v>
      </c>
      <c r="M25" s="539" t="s">
        <v>2</v>
      </c>
      <c r="O25" s="441"/>
      <c r="P25" s="441"/>
      <c r="R25" s="426" t="s">
        <v>1164</v>
      </c>
      <c r="W25" s="432"/>
      <c r="X25" s="430"/>
      <c r="Y25" s="429"/>
      <c r="Z25" s="429"/>
      <c r="AA25" s="430"/>
      <c r="AC25" s="430"/>
      <c r="AD25" s="430"/>
      <c r="AE25" s="429"/>
      <c r="AF25" s="432"/>
    </row>
    <row r="26" spans="1:35" ht="15.75">
      <c r="A26" s="441"/>
      <c r="B26" s="441"/>
      <c r="C26" s="441"/>
      <c r="D26" s="441"/>
      <c r="E26" s="441"/>
      <c r="F26" s="484">
        <f t="shared" si="0"/>
        <v>20</v>
      </c>
      <c r="H26" s="534" t="s">
        <v>87</v>
      </c>
      <c r="I26" s="535">
        <f>1-I27</f>
        <v>0.91164500012273686</v>
      </c>
      <c r="J26" s="538">
        <f>+I26*J28</f>
        <v>1420241.4536868902</v>
      </c>
      <c r="K26" s="536">
        <f ca="1">+K34</f>
        <v>0.2921742923077606</v>
      </c>
      <c r="L26" s="535">
        <f ca="1">+K26*I26</f>
        <v>0.26635923274676898</v>
      </c>
      <c r="M26" s="487">
        <f ca="1">+J26*K26</f>
        <v>414958.04163711227</v>
      </c>
      <c r="O26" s="441"/>
      <c r="P26" s="441"/>
      <c r="R26" s="525">
        <v>1</v>
      </c>
      <c r="S26" s="524">
        <f ca="1">AI21/Investment*100</f>
        <v>400.2476877469947</v>
      </c>
      <c r="T26" s="523">
        <f ca="1">EXP(y_inter1-(slope*LN(+S26)))</f>
        <v>5.0834604589483936</v>
      </c>
      <c r="U26" s="522">
        <f ca="1">(+S26*T26/100)/100</f>
        <v>0.20346432944473711</v>
      </c>
      <c r="V26" s="522">
        <f>regDebt_weighted</f>
        <v>3.5860000000000003E-2</v>
      </c>
      <c r="W26" s="522">
        <f ca="1">+U26-V26</f>
        <v>0.1676043294447371</v>
      </c>
      <c r="X26" s="522">
        <f ca="1">+((W26*(1-0.34))-Pfd_weighted)/Equity_percent</f>
        <v>0.30357225998118165</v>
      </c>
      <c r="Y26" s="522">
        <f ca="1">+X26*equityP</f>
        <v>0.27675013298780382</v>
      </c>
      <c r="Z26" s="522">
        <f ca="1">+Y26/(1-taxrate)</f>
        <v>0.3503166240351947</v>
      </c>
      <c r="AA26" s="522">
        <f>debtP*Debt_Rate</f>
        <v>3.8760368283719962E-3</v>
      </c>
      <c r="AB26" s="522">
        <f ca="1">+AA26+Z26</f>
        <v>0.35419266086356671</v>
      </c>
      <c r="AC26" s="522">
        <f ca="1">+AB26/(S26/100)</f>
        <v>8.8493368408279136E-2</v>
      </c>
      <c r="AD26" s="522">
        <f ca="1">1-AC26</f>
        <v>0.91150663159172085</v>
      </c>
      <c r="AE26" s="519">
        <f ca="1">expenses/(AD26)</f>
        <v>6197980.8678431492</v>
      </c>
      <c r="AF26" s="521">
        <f ca="1">+AE26-Revenue</f>
        <v>1478312.028352486</v>
      </c>
      <c r="AG26" s="520">
        <f ca="1">+AF26/$J$49</f>
        <v>1657390.006633763</v>
      </c>
      <c r="AH26" s="520">
        <f ca="1">+AG26*$J$47</f>
        <v>37457.014149923045</v>
      </c>
      <c r="AI26" s="519">
        <f ca="1">ROUND(+AH26+AE26,5)</f>
        <v>6235437.8819899997</v>
      </c>
    </row>
    <row r="27" spans="1:35" ht="15.75">
      <c r="A27" s="441"/>
      <c r="B27" s="441"/>
      <c r="C27" s="441"/>
      <c r="D27" s="441"/>
      <c r="E27" s="441"/>
      <c r="F27" s="484">
        <f t="shared" si="0"/>
        <v>21</v>
      </c>
      <c r="H27" s="534" t="s">
        <v>1127</v>
      </c>
      <c r="I27" s="535">
        <f>IF(A65=TRUE,C8,0)</f>
        <v>8.8354999877263155E-2</v>
      </c>
      <c r="J27" s="537">
        <f>+I27*J28</f>
        <v>137647.25682617119</v>
      </c>
      <c r="K27" s="536">
        <f>IF(A65=TRUE,C9,0)</f>
        <v>4.3868901972229382E-2</v>
      </c>
      <c r="L27" s="535">
        <f>+K27*I27</f>
        <v>3.8760368283719962E-3</v>
      </c>
      <c r="M27" s="487">
        <f>+K27*J27</f>
        <v>6038.4340164535852</v>
      </c>
      <c r="O27" s="441"/>
      <c r="P27" s="441"/>
      <c r="R27" s="517">
        <v>2</v>
      </c>
      <c r="S27" s="514">
        <f ca="1">AI22/Investment*100</f>
        <v>399.57135380998773</v>
      </c>
      <c r="T27" s="516">
        <f ca="1">EXP(y_inter2-(slope*LN(+S27)))</f>
        <v>5.0169313265628945</v>
      </c>
      <c r="U27" s="512">
        <f ca="1">(+S27*T27/100)/100</f>
        <v>0.20046220421264735</v>
      </c>
      <c r="V27" s="512">
        <f>regDebt_weighted</f>
        <v>3.5860000000000003E-2</v>
      </c>
      <c r="W27" s="512">
        <f ca="1">+U27-V27</f>
        <v>0.16460220421264735</v>
      </c>
      <c r="X27" s="512">
        <f ca="1">+((W27*(1-0.34))-Pfd_weighted)/Equity_percent</f>
        <v>0.29781236854752108</v>
      </c>
      <c r="Y27" s="512">
        <f ca="1">+X27*equityP</f>
        <v>0.2714991567610574</v>
      </c>
      <c r="Z27" s="512">
        <f ca="1">+Y27/(1-taxrate)</f>
        <v>0.34366981868488278</v>
      </c>
      <c r="AA27" s="512">
        <f>debtP*Debt_Rate</f>
        <v>3.8760368283719962E-3</v>
      </c>
      <c r="AB27" s="512">
        <f ca="1">+AA27+Z27</f>
        <v>0.34754585551325479</v>
      </c>
      <c r="AC27" s="512">
        <f ca="1">+AB27/(S27/100)</f>
        <v>8.6979672641529462E-2</v>
      </c>
      <c r="AD27" s="512">
        <f ca="1">1-AC27</f>
        <v>0.9130203273584705</v>
      </c>
      <c r="AE27" s="510">
        <f ca="1">expenses/(AD27)</f>
        <v>6187705.2396660717</v>
      </c>
      <c r="AF27" s="511">
        <f ca="1">+AE27-Revenue</f>
        <v>1468036.4001754085</v>
      </c>
      <c r="AG27" s="498">
        <f ca="1">+AF27/$J$49</f>
        <v>1645869.6218124661</v>
      </c>
      <c r="AH27" s="498">
        <f ca="1">+AG27*$J$47</f>
        <v>37196.653452961735</v>
      </c>
      <c r="AI27" s="510">
        <f ca="1">ROUND(+AH27+AE27,5)</f>
        <v>6224901.8931200001</v>
      </c>
    </row>
    <row r="28" spans="1:35" ht="16.5" thickBot="1">
      <c r="A28" s="441"/>
      <c r="B28" s="441"/>
      <c r="C28" s="441"/>
      <c r="D28" s="441"/>
      <c r="E28" s="441"/>
      <c r="F28" s="484">
        <f t="shared" si="0"/>
        <v>22</v>
      </c>
      <c r="H28" s="534" t="s">
        <v>0</v>
      </c>
      <c r="I28" s="533">
        <f>SUM(I26:I27)</f>
        <v>1</v>
      </c>
      <c r="J28" s="490">
        <f>IF(A65=TRUE,C7,0)</f>
        <v>1557888.7105130614</v>
      </c>
      <c r="K28" s="532"/>
      <c r="L28" s="531">
        <f ca="1">SUM(L26:L27)</f>
        <v>0.27023526957514099</v>
      </c>
      <c r="M28" s="490">
        <f ca="1">SUM(M26:M27)</f>
        <v>420996.47565356584</v>
      </c>
      <c r="O28" s="441"/>
      <c r="P28" s="441"/>
      <c r="R28" s="478">
        <v>3</v>
      </c>
      <c r="S28" s="514">
        <f ca="1">AI23/Investment*100</f>
        <v>399.11613940075921</v>
      </c>
      <c r="T28" s="429">
        <f ca="1">EXP(y_inter3-(slope*LN(S28)))</f>
        <v>4.9720278599962553</v>
      </c>
      <c r="U28" s="512">
        <f ca="1">(+S28*T28/100)/100</f>
        <v>0.19844165644747239</v>
      </c>
      <c r="V28" s="512">
        <f>regDebt_weighted</f>
        <v>3.5860000000000003E-2</v>
      </c>
      <c r="W28" s="512">
        <f ca="1">+U28-V28</f>
        <v>0.16258165644747238</v>
      </c>
      <c r="X28" s="512">
        <f ca="1">+((W28*(1-0.34))-Pfd_weighted)/Equity_percent</f>
        <v>0.2939357362073598</v>
      </c>
      <c r="Y28" s="512">
        <f ca="1">+X28*equityP</f>
        <v>0.26796504427083528</v>
      </c>
      <c r="Z28" s="512">
        <f ca="1">+Y28/(1-taxrate)</f>
        <v>0.33919625857067753</v>
      </c>
      <c r="AA28" s="512">
        <f>debtP*Debt_Rate</f>
        <v>3.8760368283719962E-3</v>
      </c>
      <c r="AB28" s="512">
        <f ca="1">+AA28+Z28</f>
        <v>0.34307229539904954</v>
      </c>
      <c r="AC28" s="512">
        <f ca="1">+AB28/(S28/100)</f>
        <v>8.5958011097758413E-2</v>
      </c>
      <c r="AD28" s="512">
        <f ca="1">1-AC28</f>
        <v>0.91404198890224153</v>
      </c>
      <c r="AE28" s="510">
        <f ca="1">expenses/(AD28)</f>
        <v>6180788.9923116695</v>
      </c>
      <c r="AF28" s="511">
        <f ca="1">+AE28-Revenue</f>
        <v>1461120.1528210063</v>
      </c>
      <c r="AG28" s="498">
        <f ca="1">+AF28/$J$49</f>
        <v>1638115.5624334267</v>
      </c>
      <c r="AH28" s="498">
        <f ca="1">+AG28*$J$47</f>
        <v>37021.411710995446</v>
      </c>
      <c r="AI28" s="510">
        <f ca="1">ROUND(+AH28+AE28,5)</f>
        <v>6217810.4040200002</v>
      </c>
    </row>
    <row r="29" spans="1:35" ht="16.5" thickTop="1">
      <c r="A29" s="441"/>
      <c r="B29" s="441"/>
      <c r="C29" s="441"/>
      <c r="D29" s="441"/>
      <c r="E29" s="441"/>
      <c r="F29" s="484">
        <f t="shared" si="0"/>
        <v>23</v>
      </c>
      <c r="G29" s="480"/>
      <c r="H29" s="480"/>
      <c r="I29" s="480"/>
      <c r="J29" s="480"/>
      <c r="K29" s="480"/>
      <c r="L29" s="480"/>
      <c r="M29" s="480"/>
      <c r="N29" s="480"/>
      <c r="O29" s="441"/>
      <c r="P29" s="441"/>
      <c r="R29" s="494">
        <v>4</v>
      </c>
      <c r="S29" s="514">
        <f ca="1">AI24/Investment*100</f>
        <v>398.82511122978627</v>
      </c>
      <c r="T29" s="513">
        <f ca="1">EXP(y_inter4-(slope*LN(S29)))</f>
        <v>4.9432671474965995</v>
      </c>
      <c r="U29" s="512">
        <f ca="1">(+S29*T29/100)/100</f>
        <v>0.19714990699388796</v>
      </c>
      <c r="V29" s="512">
        <f>regDebt_weighted</f>
        <v>3.5860000000000003E-2</v>
      </c>
      <c r="W29" s="512">
        <f ca="1">+U29-V29</f>
        <v>0.16128990699388795</v>
      </c>
      <c r="X29" s="512">
        <f ca="1">+((W29*(1-0.34))-Pfd_weighted)/Equity_percent</f>
        <v>0.29145737969757568</v>
      </c>
      <c r="Y29" s="512">
        <f ca="1">+X29*equityP</f>
        <v>0.26570566295016895</v>
      </c>
      <c r="Z29" s="512">
        <f ca="1">+Y29/(1-taxrate)</f>
        <v>0.33633628221540374</v>
      </c>
      <c r="AA29" s="512">
        <f>debtP*Debt_Rate</f>
        <v>3.8760368283719962E-3</v>
      </c>
      <c r="AB29" s="512">
        <f ca="1">+AA29+Z29</f>
        <v>0.34021231904377575</v>
      </c>
      <c r="AC29" s="512">
        <f ca="1">+AB29/(S29/100)</f>
        <v>8.5303635469372363E-2</v>
      </c>
      <c r="AD29" s="512">
        <f ca="1">1-AC29</f>
        <v>0.91469636453062764</v>
      </c>
      <c r="AE29" s="510">
        <f ca="1">expenses/(AD29)</f>
        <v>6176367.2433711439</v>
      </c>
      <c r="AF29" s="511">
        <f ca="1">+AE29-Revenue</f>
        <v>1456698.4038804807</v>
      </c>
      <c r="AG29" s="498">
        <f ca="1">+AF29/$J$49</f>
        <v>1633158.1770064556</v>
      </c>
      <c r="AH29" s="498">
        <f ca="1">+AG29*$J$47</f>
        <v>36909.374800345897</v>
      </c>
      <c r="AI29" s="510">
        <f ca="1">ROUND(+AH29+AE29,5)</f>
        <v>6213276.6181699997</v>
      </c>
    </row>
    <row r="30" spans="1:35" ht="15.75">
      <c r="A30" s="441"/>
      <c r="B30" s="441"/>
      <c r="C30" s="441"/>
      <c r="D30" s="441"/>
      <c r="E30" s="441"/>
      <c r="F30" s="484">
        <f t="shared" si="0"/>
        <v>24</v>
      </c>
      <c r="G30" s="480"/>
      <c r="H30" s="480"/>
      <c r="I30" s="480"/>
      <c r="J30" s="530" t="s">
        <v>1165</v>
      </c>
      <c r="K30" s="530" t="s">
        <v>1166</v>
      </c>
      <c r="L30" s="480"/>
      <c r="M30" s="480"/>
      <c r="N30" s="480"/>
      <c r="O30" s="441"/>
      <c r="P30" s="441"/>
      <c r="R30" s="426" t="s">
        <v>1167</v>
      </c>
      <c r="W30" s="432"/>
      <c r="X30" s="430"/>
      <c r="Y30" s="429"/>
      <c r="Z30" s="429"/>
      <c r="AA30" s="430"/>
      <c r="AC30" s="430"/>
      <c r="AD30" s="430"/>
      <c r="AE30" s="429"/>
      <c r="AF30" s="432"/>
      <c r="AH30" s="429"/>
    </row>
    <row r="31" spans="1:35" ht="15.75">
      <c r="A31" s="441"/>
      <c r="B31" s="441"/>
      <c r="C31" s="441"/>
      <c r="D31" s="441"/>
      <c r="E31" s="441"/>
      <c r="F31" s="484">
        <f t="shared" si="0"/>
        <v>25</v>
      </c>
      <c r="G31" s="480"/>
      <c r="H31" s="509" t="s">
        <v>1168</v>
      </c>
      <c r="I31" s="529"/>
      <c r="J31" s="528" t="s">
        <v>1169</v>
      </c>
      <c r="K31" s="528" t="s">
        <v>1169</v>
      </c>
      <c r="L31" s="480"/>
      <c r="M31" s="480"/>
      <c r="N31" s="480"/>
      <c r="O31" s="441"/>
      <c r="P31" s="441"/>
      <c r="R31" s="525">
        <v>1</v>
      </c>
      <c r="S31" s="524">
        <f ca="1">AI26/Investment*100</f>
        <v>400.24925014935599</v>
      </c>
      <c r="T31" s="523">
        <f ca="1">EXP(y_inter1-(slope*LN(+S31)))</f>
        <v>5.0834468924239804</v>
      </c>
      <c r="U31" s="522">
        <f ca="1">(+S31*T31/100)/100</f>
        <v>0.20346458068667722</v>
      </c>
      <c r="V31" s="522">
        <f>regDebt_weighted</f>
        <v>3.5860000000000003E-2</v>
      </c>
      <c r="W31" s="522">
        <f ca="1">+U31-V31</f>
        <v>0.16760458068667722</v>
      </c>
      <c r="X31" s="522">
        <f ca="1">+((W31*(1-0.34))-Pfd_weighted)/Equity_percent</f>
        <v>0.30357274201513651</v>
      </c>
      <c r="Y31" s="522">
        <f ca="1">+X31*equityP</f>
        <v>0.27675057243164869</v>
      </c>
      <c r="Z31" s="522">
        <f ca="1">+Y31/(1-taxrate)</f>
        <v>0.35031718029322617</v>
      </c>
      <c r="AA31" s="522">
        <f>debtP*Debt_Rate</f>
        <v>3.8760368283719962E-3</v>
      </c>
      <c r="AB31" s="522">
        <f ca="1">+AA31+Z31</f>
        <v>0.35419321712159818</v>
      </c>
      <c r="AC31" s="522">
        <f ca="1">+AB31/(S31/100)</f>
        <v>8.8493161945819604E-2</v>
      </c>
      <c r="AD31" s="522">
        <f ca="1">1-AC31</f>
        <v>0.91150683805418042</v>
      </c>
      <c r="AE31" s="519">
        <f ca="1">expenses/(AD31)</f>
        <v>6197979.4639585912</v>
      </c>
      <c r="AF31" s="521">
        <f ca="1">+AE31-Revenue</f>
        <v>1478310.624467928</v>
      </c>
      <c r="AG31" s="520">
        <f ca="1">+AF31/$J$49</f>
        <v>1657388.4326871317</v>
      </c>
      <c r="AH31" s="520">
        <f ca="1">+AG31*$J$47</f>
        <v>37456.978578729177</v>
      </c>
      <c r="AI31" s="519">
        <f ca="1">ROUND(+AH31+AE31,5)</f>
        <v>6235436.4425400002</v>
      </c>
    </row>
    <row r="32" spans="1:35" ht="15.75">
      <c r="A32" s="441"/>
      <c r="B32" s="441"/>
      <c r="C32" s="441"/>
      <c r="D32" s="441"/>
      <c r="E32" s="441"/>
      <c r="F32" s="484">
        <f t="shared" si="0"/>
        <v>26</v>
      </c>
      <c r="G32" s="480"/>
      <c r="H32" s="482"/>
      <c r="I32" s="482"/>
      <c r="J32" s="482"/>
      <c r="K32" s="482"/>
      <c r="L32" s="480"/>
      <c r="M32" s="480"/>
      <c r="N32" s="480"/>
      <c r="O32" s="441"/>
      <c r="P32" s="441"/>
      <c r="R32" s="517">
        <v>2</v>
      </c>
      <c r="S32" s="514">
        <f ca="1">AI27/Investment*100</f>
        <v>399.57295095038887</v>
      </c>
      <c r="T32" s="516">
        <f ca="1">EXP(y_inter2-(slope*LN(+S32)))</f>
        <v>5.0169176167360829</v>
      </c>
      <c r="U32" s="512">
        <f ca="1">(+S32*T32/100)/100</f>
        <v>0.20046245767942289</v>
      </c>
      <c r="V32" s="512">
        <f>regDebt_weighted</f>
        <v>3.5860000000000003E-2</v>
      </c>
      <c r="W32" s="512">
        <f ca="1">+U32-V32</f>
        <v>0.16460245767942289</v>
      </c>
      <c r="X32" s="512">
        <f ca="1">+((W32*(1-0.34))-Pfd_weighted)/Equity_percent</f>
        <v>0.29781285485005554</v>
      </c>
      <c r="Y32" s="512">
        <f ca="1">+X32*equityP</f>
        <v>0.27149960009633151</v>
      </c>
      <c r="Z32" s="512">
        <f ca="1">+Y32/(1-taxrate)</f>
        <v>0.34367037986877402</v>
      </c>
      <c r="AA32" s="512">
        <f>debtP*Debt_Rate</f>
        <v>3.8760368283719962E-3</v>
      </c>
      <c r="AB32" s="512">
        <f ca="1">+AA32+Z32</f>
        <v>0.34754641669714603</v>
      </c>
      <c r="AC32" s="512">
        <f ca="1">+AB32/(S32/100)</f>
        <v>8.6979465419394095E-2</v>
      </c>
      <c r="AD32" s="512">
        <f ca="1">1-AC32</f>
        <v>0.91302053458060595</v>
      </c>
      <c r="AE32" s="510">
        <f ca="1">expenses/(AD32)</f>
        <v>6187703.835284193</v>
      </c>
      <c r="AF32" s="511">
        <f ca="1">+AE32-Revenue</f>
        <v>1468034.9957935298</v>
      </c>
      <c r="AG32" s="498">
        <f ca="1">+AF32/$J$49</f>
        <v>1645868.0473082704</v>
      </c>
      <c r="AH32" s="498">
        <f ca="1">+AG32*$J$47</f>
        <v>37196.617869166912</v>
      </c>
      <c r="AI32" s="510">
        <f ca="1">ROUND(+AH32+AE32,5)</f>
        <v>6224900.4531500004</v>
      </c>
    </row>
    <row r="33" spans="1:46" ht="15.75">
      <c r="A33" s="441"/>
      <c r="B33" s="441"/>
      <c r="C33" s="441"/>
      <c r="D33" s="441"/>
      <c r="E33" s="441"/>
      <c r="F33" s="484">
        <f t="shared" si="0"/>
        <v>27</v>
      </c>
      <c r="G33" s="480"/>
      <c r="H33" s="482" t="s">
        <v>1170</v>
      </c>
      <c r="I33" s="482"/>
      <c r="J33" s="481">
        <f ca="1">+K9/J28</f>
        <v>0.34103962258377568</v>
      </c>
      <c r="K33" s="481">
        <f ca="1">+(M14+M11)/J28</f>
        <v>0.27023526957514094</v>
      </c>
      <c r="L33" s="480"/>
      <c r="M33" s="480"/>
      <c r="N33" s="480"/>
      <c r="O33" s="441"/>
      <c r="P33" s="441"/>
      <c r="R33" s="478">
        <v>3</v>
      </c>
      <c r="S33" s="514">
        <f ca="1">AI28/Investment*100</f>
        <v>399.11775225409275</v>
      </c>
      <c r="T33" s="429">
        <f ca="1">EXP(y_inter3-(slope*LN(S33)))</f>
        <v>4.972014123556515</v>
      </c>
      <c r="U33" s="512">
        <f ca="1">(+S33*T33/100)/100</f>
        <v>0.19844191011694792</v>
      </c>
      <c r="V33" s="512">
        <f>regDebt_weighted</f>
        <v>3.5860000000000003E-2</v>
      </c>
      <c r="W33" s="512">
        <f ca="1">+U33-V33</f>
        <v>0.16258191011694792</v>
      </c>
      <c r="X33" s="512">
        <f ca="1">+((W33*(1-0.34))-Pfd_weighted)/Equity_percent</f>
        <v>0.29393622289879545</v>
      </c>
      <c r="Y33" s="512">
        <f ca="1">+X33*equityP</f>
        <v>0.26796548796064917</v>
      </c>
      <c r="Z33" s="512">
        <f ca="1">+Y33/(1-taxrate)</f>
        <v>0.33919682020335334</v>
      </c>
      <c r="AA33" s="512">
        <f>debtP*Debt_Rate</f>
        <v>3.8760368283719962E-3</v>
      </c>
      <c r="AB33" s="512">
        <f ca="1">+AA33+Z33</f>
        <v>0.34307285703172535</v>
      </c>
      <c r="AC33" s="512">
        <f ca="1">+AB33/(S33/100)</f>
        <v>8.5957804455992423E-2</v>
      </c>
      <c r="AD33" s="512">
        <f ca="1">1-AC33</f>
        <v>0.91404219554400756</v>
      </c>
      <c r="AE33" s="510">
        <f ca="1">expenses/(AD33)</f>
        <v>6180787.5949919848</v>
      </c>
      <c r="AF33" s="511">
        <f ca="1">+AE33-Revenue</f>
        <v>1461118.7555013215</v>
      </c>
      <c r="AG33" s="498">
        <f ca="1">+AF33/$J$49</f>
        <v>1638113.9958469165</v>
      </c>
      <c r="AH33" s="498">
        <f ca="1">+AG33*$J$47</f>
        <v>37021.376306140315</v>
      </c>
      <c r="AI33" s="510">
        <f ca="1">ROUND(+AH33+AE33,5)</f>
        <v>6217808.9713000003</v>
      </c>
    </row>
    <row r="34" spans="1:46" ht="15.75">
      <c r="A34" s="441"/>
      <c r="B34" s="441"/>
      <c r="C34" s="441"/>
      <c r="D34" s="441"/>
      <c r="E34" s="441"/>
      <c r="F34" s="484">
        <f t="shared" si="0"/>
        <v>28</v>
      </c>
      <c r="G34" s="480"/>
      <c r="H34" s="482" t="s">
        <v>1171</v>
      </c>
      <c r="I34" s="482"/>
      <c r="J34" s="481">
        <f ca="1">+(M9-M11)/J26</f>
        <v>0.36984087633893742</v>
      </c>
      <c r="K34" s="481">
        <f ca="1">+M14/J26</f>
        <v>0.2921742923077606</v>
      </c>
      <c r="L34" s="480"/>
      <c r="M34" s="480"/>
      <c r="N34" s="480"/>
      <c r="O34" s="527"/>
      <c r="P34" s="441"/>
      <c r="R34" s="494">
        <v>4</v>
      </c>
      <c r="S34" s="514">
        <f ca="1">AI29/Investment*100</f>
        <v>398.82673109068065</v>
      </c>
      <c r="T34" s="513">
        <f ca="1">EXP(y_inter4-(slope*LN(S34)))</f>
        <v>4.9432534211694419</v>
      </c>
      <c r="U34" s="512">
        <f ca="1">(+S34*T34/100)/100</f>
        <v>0.19715016029178323</v>
      </c>
      <c r="V34" s="512">
        <f>regDebt_weighted</f>
        <v>3.5860000000000003E-2</v>
      </c>
      <c r="W34" s="512">
        <f ca="1">+U34-V34</f>
        <v>0.16129016029178322</v>
      </c>
      <c r="X34" s="512">
        <f ca="1">+((W34*(1-0.34))-Pfd_weighted)/Equity_percent</f>
        <v>0.29145786567609566</v>
      </c>
      <c r="Y34" s="512">
        <f ca="1">+X34*equityP</f>
        <v>0.26570610599005684</v>
      </c>
      <c r="Z34" s="512">
        <f ca="1">+Y34/(1-taxrate)</f>
        <v>0.33633684302538841</v>
      </c>
      <c r="AA34" s="512">
        <f>debtP*Debt_Rate</f>
        <v>3.8760368283719962E-3</v>
      </c>
      <c r="AB34" s="512">
        <f ca="1">+AA34+Z34</f>
        <v>0.34021287985376042</v>
      </c>
      <c r="AC34" s="512">
        <f ca="1">+AB34/(S34/100)</f>
        <v>8.5303429618012919E-2</v>
      </c>
      <c r="AD34" s="512">
        <f ca="1">1-AC34</f>
        <v>0.91469657038198704</v>
      </c>
      <c r="AE34" s="510">
        <f ca="1">expenses/(AD34)</f>
        <v>6176365.8533871491</v>
      </c>
      <c r="AF34" s="511">
        <f ca="1">+AE34-Revenue</f>
        <v>1456697.0138964858</v>
      </c>
      <c r="AG34" s="498">
        <f ca="1">+AF34/$J$49</f>
        <v>1633156.6186442573</v>
      </c>
      <c r="AH34" s="498">
        <f ca="1">+AG34*$J$47</f>
        <v>36909.339581360218</v>
      </c>
      <c r="AI34" s="510">
        <f ca="1">ROUND(+AH34+AE34,5)</f>
        <v>6213275.1929700002</v>
      </c>
    </row>
    <row r="35" spans="1:46" ht="15.75">
      <c r="A35" s="441"/>
      <c r="B35" s="441"/>
      <c r="C35" s="441"/>
      <c r="D35" s="441"/>
      <c r="E35" s="441"/>
      <c r="F35" s="484">
        <f t="shared" si="0"/>
        <v>29</v>
      </c>
      <c r="G35" s="480"/>
      <c r="H35" s="526" t="s">
        <v>1129</v>
      </c>
      <c r="I35" s="482"/>
      <c r="J35" s="481">
        <f ca="1">+K8/K7</f>
        <v>0.91403999999999996</v>
      </c>
      <c r="K35" s="481">
        <f ca="1">+M8/M7</f>
        <v>0.91455181727625301</v>
      </c>
      <c r="L35" s="480"/>
      <c r="M35" s="480"/>
      <c r="N35" s="480"/>
      <c r="O35" s="441"/>
      <c r="P35" s="441"/>
      <c r="R35" s="426" t="s">
        <v>1172</v>
      </c>
      <c r="X35" s="430"/>
      <c r="Y35" s="431"/>
      <c r="Z35" s="429"/>
      <c r="AA35" s="430"/>
      <c r="AC35" s="430"/>
      <c r="AD35" s="430"/>
      <c r="AE35" s="429"/>
      <c r="AF35" s="432"/>
      <c r="AH35" s="429"/>
    </row>
    <row r="36" spans="1:46" ht="15.75">
      <c r="A36" s="441"/>
      <c r="B36" s="441"/>
      <c r="C36" s="441"/>
      <c r="D36" s="441"/>
      <c r="E36" s="441"/>
      <c r="F36" s="484">
        <f t="shared" si="0"/>
        <v>30</v>
      </c>
      <c r="G36" s="480"/>
      <c r="H36" s="482" t="s">
        <v>1173</v>
      </c>
      <c r="I36" s="482"/>
      <c r="J36" s="481">
        <f ca="1">+K9/K7</f>
        <v>8.5960000000000036E-2</v>
      </c>
      <c r="K36" s="481">
        <f ca="1">+J36</f>
        <v>8.5960000000000036E-2</v>
      </c>
      <c r="L36" s="480"/>
      <c r="M36" s="480"/>
      <c r="N36" s="480"/>
      <c r="O36" s="441"/>
      <c r="P36" s="441"/>
      <c r="R36" s="525">
        <v>1</v>
      </c>
      <c r="S36" s="524">
        <f ca="1">AI31/Investment*100</f>
        <v>400.2491577518702</v>
      </c>
      <c r="T36" s="523">
        <f ca="1">EXP(y_inter1-(slope*LN(+S36)))</f>
        <v>5.0834476947197915</v>
      </c>
      <c r="U36" s="522">
        <f ca="1">(+S36*T36/100)/100</f>
        <v>0.20346456582872827</v>
      </c>
      <c r="V36" s="522">
        <f>regDebt_weighted</f>
        <v>3.5860000000000003E-2</v>
      </c>
      <c r="W36" s="522">
        <f ca="1">+U36-V36</f>
        <v>0.16760456582872826</v>
      </c>
      <c r="X36" s="522">
        <f ca="1">+((W36*(1-0.34))-Pfd_weighted)/Equity_percent</f>
        <v>0.30357271350860654</v>
      </c>
      <c r="Y36" s="522">
        <f ca="1">+X36*equityP</f>
        <v>0.27675054644381319</v>
      </c>
      <c r="Z36" s="522">
        <f ca="1">+Y36/(1-taxrate)</f>
        <v>0.35031714739723185</v>
      </c>
      <c r="AA36" s="522">
        <f>debtP*Debt_Rate</f>
        <v>3.8760368283719962E-3</v>
      </c>
      <c r="AB36" s="522">
        <f ca="1">+AA36+Z36</f>
        <v>0.35419318422560386</v>
      </c>
      <c r="AC36" s="522">
        <f ca="1">+AB36/(S36/100)</f>
        <v>8.8493174155579807E-2</v>
      </c>
      <c r="AD36" s="522">
        <f ca="1">1-AC36</f>
        <v>0.91150682584442022</v>
      </c>
      <c r="AE36" s="519">
        <f ca="1">expenses/(AD36)</f>
        <v>6197979.546981385</v>
      </c>
      <c r="AF36" s="521">
        <f ca="1">+AE36-Revenue</f>
        <v>1478310.7074907217</v>
      </c>
      <c r="AG36" s="520">
        <f ca="1">+AF36/$J$49</f>
        <v>1657388.5257670404</v>
      </c>
      <c r="AH36" s="520">
        <f ca="1">+AG36*$J$47</f>
        <v>37456.980682335117</v>
      </c>
      <c r="AI36" s="519">
        <f ca="1">ROUND(+AH36+AE36,5)</f>
        <v>6235436.5276600001</v>
      </c>
    </row>
    <row r="37" spans="1:46" ht="15.75">
      <c r="A37" s="441"/>
      <c r="B37" s="441"/>
      <c r="C37" s="441"/>
      <c r="D37" s="441"/>
      <c r="E37" s="441"/>
      <c r="F37" s="484">
        <f t="shared" si="0"/>
        <v>31</v>
      </c>
      <c r="G37" s="480"/>
      <c r="H37" s="482" t="s">
        <v>1174</v>
      </c>
      <c r="I37" s="489"/>
      <c r="J37" s="518">
        <f ca="1">+S39/100</f>
        <v>3.9882663960789437</v>
      </c>
      <c r="K37" s="518">
        <f ca="1">+J37</f>
        <v>3.9882663960789437</v>
      </c>
      <c r="L37" s="480"/>
      <c r="M37" s="480"/>
      <c r="N37" s="480"/>
      <c r="O37" s="441"/>
      <c r="P37" s="441"/>
      <c r="R37" s="517">
        <v>2</v>
      </c>
      <c r="S37" s="514">
        <f ca="1">AI32/Investment*100</f>
        <v>399.57285851952457</v>
      </c>
      <c r="T37" s="516">
        <f ca="1">EXP(y_inter2-(slope*LN(+S37)))</f>
        <v>5.0169184101585822</v>
      </c>
      <c r="U37" s="512">
        <f ca="1">(+S37*T37/100)/100</f>
        <v>0.20046244301062935</v>
      </c>
      <c r="V37" s="512">
        <f>regDebt_weighted</f>
        <v>3.5860000000000003E-2</v>
      </c>
      <c r="W37" s="512">
        <f ca="1">+U37-V37</f>
        <v>0.16460244301062935</v>
      </c>
      <c r="X37" s="512">
        <f ca="1">+((W37*(1-0.34))-Pfd_weighted)/Equity_percent</f>
        <v>0.29781282670643999</v>
      </c>
      <c r="Y37" s="512">
        <f ca="1">+X37*equityP</f>
        <v>0.27149957443934508</v>
      </c>
      <c r="Z37" s="512">
        <f ca="1">+Y37/(1-taxrate)</f>
        <v>0.34367034739157604</v>
      </c>
      <c r="AA37" s="512">
        <f>debtP*Debt_Rate</f>
        <v>3.8760368283719962E-3</v>
      </c>
      <c r="AB37" s="512">
        <f ca="1">+AA37+Z37</f>
        <v>0.34754638421994805</v>
      </c>
      <c r="AC37" s="512">
        <f ca="1">+AB37/(S37/100)</f>
        <v>8.6979477411868719E-2</v>
      </c>
      <c r="AD37" s="512">
        <f ca="1">1-AC37</f>
        <v>0.91302052258813127</v>
      </c>
      <c r="AE37" s="510">
        <f ca="1">expenses/(AD37)</f>
        <v>6187703.9165593451</v>
      </c>
      <c r="AF37" s="511">
        <f ca="1">+AE37-Revenue</f>
        <v>1468035.0770686818</v>
      </c>
      <c r="AG37" s="498">
        <f ca="1">+AF37/$J$49</f>
        <v>1645868.1384288336</v>
      </c>
      <c r="AH37" s="498">
        <f ca="1">+AG37*$J$47</f>
        <v>37196.619928491644</v>
      </c>
      <c r="AI37" s="510">
        <f ca="1">ROUND(+AH37+AE37,5)</f>
        <v>6224900.5364899999</v>
      </c>
    </row>
    <row r="38" spans="1:46" ht="15.75">
      <c r="A38" s="441"/>
      <c r="B38" s="441"/>
      <c r="C38" s="441"/>
      <c r="D38" s="441"/>
      <c r="E38" s="441"/>
      <c r="F38" s="484">
        <f t="shared" si="0"/>
        <v>32</v>
      </c>
      <c r="G38" s="480"/>
      <c r="H38" s="482" t="s">
        <v>84</v>
      </c>
      <c r="I38" s="480"/>
      <c r="J38" s="481">
        <f>+C10</f>
        <v>0.21</v>
      </c>
      <c r="K38" s="481">
        <f>+J38</f>
        <v>0.21</v>
      </c>
      <c r="L38" s="480"/>
      <c r="M38" s="480"/>
      <c r="N38" s="480"/>
      <c r="O38" s="441"/>
      <c r="P38" s="441"/>
      <c r="Q38" s="515"/>
      <c r="R38" s="478">
        <v>3</v>
      </c>
      <c r="S38" s="514">
        <f ca="1">AI33/Investment*100</f>
        <v>399.11766028860188</v>
      </c>
      <c r="T38" s="429">
        <f ca="1">EXP(y_inter3-(slope*LN(S38)))</f>
        <v>4.9720149068108546</v>
      </c>
      <c r="U38" s="512">
        <f ca="1">(+S38*T38/100)/100</f>
        <v>0.19844189565263992</v>
      </c>
      <c r="V38" s="512">
        <f>regDebt_weighted</f>
        <v>3.5860000000000003E-2</v>
      </c>
      <c r="W38" s="512">
        <f ca="1">+U38-V38</f>
        <v>0.16258189565263992</v>
      </c>
      <c r="X38" s="512">
        <f ca="1">+((W38*(1-0.34))-Pfd_weighted)/Equity_percent</f>
        <v>0.2939361951475068</v>
      </c>
      <c r="Y38" s="512">
        <f ca="1">+X38*equityP</f>
        <v>0.26796546266132565</v>
      </c>
      <c r="Z38" s="512">
        <f ca="1">+Y38/(1-taxrate)</f>
        <v>0.3391967881788932</v>
      </c>
      <c r="AA38" s="512">
        <f>debtP*Debt_Rate</f>
        <v>3.8760368283719962E-3</v>
      </c>
      <c r="AB38" s="512">
        <f ca="1">+AA38+Z38</f>
        <v>0.34307282500726521</v>
      </c>
      <c r="AC38" s="512">
        <f ca="1">+AB38/(S38/100)</f>
        <v>8.5957816238747584E-2</v>
      </c>
      <c r="AD38" s="512">
        <f ca="1">1-AC38</f>
        <v>0.91404218376125246</v>
      </c>
      <c r="AE38" s="510">
        <f ca="1">expenses/(AD38)</f>
        <v>6180787.674667418</v>
      </c>
      <c r="AF38" s="511">
        <f ca="1">+AE38-Revenue</f>
        <v>1461118.8351767547</v>
      </c>
      <c r="AG38" s="498">
        <f ca="1">+AF38/$J$49</f>
        <v>1638114.0851739761</v>
      </c>
      <c r="AH38" s="498">
        <f ca="1">+AG38*$J$47</f>
        <v>37021.378324931866</v>
      </c>
      <c r="AI38" s="510">
        <f ca="1">ROUND(+AH38+AE38,5)</f>
        <v>6217809.0529899998</v>
      </c>
    </row>
    <row r="39" spans="1:46" ht="15.75">
      <c r="A39" s="441"/>
      <c r="B39" s="441"/>
      <c r="C39" s="441"/>
      <c r="D39" s="441"/>
      <c r="E39" s="441"/>
      <c r="F39" s="484">
        <f t="shared" si="0"/>
        <v>33</v>
      </c>
      <c r="G39" s="480"/>
      <c r="H39" s="480"/>
      <c r="I39" s="480"/>
      <c r="J39" s="480"/>
      <c r="K39" s="480"/>
      <c r="L39" s="480"/>
      <c r="M39" s="480"/>
      <c r="N39" s="480"/>
      <c r="O39" s="441"/>
      <c r="P39" s="441"/>
      <c r="R39" s="494">
        <v>4</v>
      </c>
      <c r="S39" s="514">
        <f ca="1">AI34/Investment*100</f>
        <v>398.82663960789438</v>
      </c>
      <c r="T39" s="513">
        <f ca="1">EXP(y_inter4-(slope*LN(S39)))</f>
        <v>4.9432541963709467</v>
      </c>
      <c r="U39" s="512">
        <f ca="1">(+S39*T39/100)/100</f>
        <v>0.1971501459866247</v>
      </c>
      <c r="V39" s="512">
        <f>regDebt_weighted</f>
        <v>3.5860000000000003E-2</v>
      </c>
      <c r="W39" s="512">
        <f ca="1">+U39-V39</f>
        <v>0.16129014598662469</v>
      </c>
      <c r="X39" s="512">
        <f ca="1">+((W39*(1-0.34))-Pfd_weighted)/Equity_percent</f>
        <v>0.29145783823015203</v>
      </c>
      <c r="Y39" s="512">
        <f ca="1">+X39*equityP</f>
        <v>0.26570608096909959</v>
      </c>
      <c r="Z39" s="512">
        <f ca="1">+Y39/(1-taxrate)</f>
        <v>0.33633681135329058</v>
      </c>
      <c r="AA39" s="512">
        <f>debtP*Debt_Rate</f>
        <v>3.8760368283719962E-3</v>
      </c>
      <c r="AB39" s="512">
        <f ca="1">+AA39+Z39</f>
        <v>0.34021284818166259</v>
      </c>
      <c r="AC39" s="512">
        <f ca="1">+AB39/(S39/100)</f>
        <v>8.5303441243579456E-2</v>
      </c>
      <c r="AD39" s="512">
        <f ca="1">1-AC39</f>
        <v>0.91469655875642053</v>
      </c>
      <c r="AE39" s="510">
        <f ca="1">expenses/(AD39)</f>
        <v>6176365.931887228</v>
      </c>
      <c r="AF39" s="511">
        <f ca="1">+AE39-Revenue</f>
        <v>1456697.0923965648</v>
      </c>
      <c r="AG39" s="498">
        <f ca="1">+AF39/$J$49</f>
        <v>1633156.706653584</v>
      </c>
      <c r="AH39" s="498">
        <f ca="1">+AG39*$J$47</f>
        <v>36909.341570371005</v>
      </c>
      <c r="AI39" s="510">
        <f ca="1">ROUND(+AH39+AE39,5)</f>
        <v>6213275.2734599998</v>
      </c>
    </row>
    <row r="40" spans="1:46" ht="15.75">
      <c r="A40" s="441"/>
      <c r="B40" s="441"/>
      <c r="C40" s="441"/>
      <c r="D40" s="441"/>
      <c r="E40" s="441"/>
      <c r="F40" s="484">
        <f t="shared" si="0"/>
        <v>34</v>
      </c>
      <c r="G40" s="489"/>
      <c r="H40" s="480"/>
      <c r="I40" s="480"/>
      <c r="J40" s="480"/>
      <c r="K40" s="480"/>
      <c r="L40" s="480"/>
      <c r="M40" s="480"/>
      <c r="N40" s="480"/>
      <c r="O40" s="441"/>
      <c r="P40" s="441"/>
      <c r="X40" s="430"/>
      <c r="Y40" s="431"/>
      <c r="Z40" s="429"/>
      <c r="AA40" s="430"/>
      <c r="AC40" s="430"/>
      <c r="AD40" s="430"/>
      <c r="AE40" s="429"/>
      <c r="AF40" s="432"/>
      <c r="AH40" s="429"/>
    </row>
    <row r="41" spans="1:46" ht="15.75">
      <c r="A41" s="441"/>
      <c r="B41" s="441"/>
      <c r="C41" s="441"/>
      <c r="D41" s="441"/>
      <c r="E41" s="441"/>
      <c r="F41" s="484">
        <f t="shared" si="0"/>
        <v>35</v>
      </c>
      <c r="G41" s="480"/>
      <c r="H41" s="509" t="s">
        <v>1175</v>
      </c>
      <c r="I41" s="508"/>
      <c r="J41" s="480"/>
      <c r="K41" s="480"/>
      <c r="L41" s="480"/>
      <c r="M41" s="480"/>
      <c r="N41" s="480"/>
      <c r="O41" s="441"/>
      <c r="P41" s="441"/>
      <c r="R41" s="507" t="s">
        <v>1176</v>
      </c>
      <c r="S41" s="506"/>
      <c r="T41" s="446"/>
      <c r="U41" s="446"/>
      <c r="V41" s="445"/>
      <c r="X41" s="419"/>
      <c r="Y41" s="431"/>
      <c r="Z41" s="429"/>
      <c r="AA41" s="430"/>
      <c r="AC41" s="430"/>
      <c r="AD41" s="430"/>
      <c r="AE41" s="429"/>
      <c r="AF41" s="432"/>
      <c r="AH41" s="429"/>
    </row>
    <row r="42" spans="1:46" ht="15.75">
      <c r="A42" s="441"/>
      <c r="B42" s="441"/>
      <c r="C42" s="441"/>
      <c r="D42" s="441"/>
      <c r="E42" s="441"/>
      <c r="F42" s="484">
        <f t="shared" si="0"/>
        <v>36</v>
      </c>
      <c r="G42" s="480"/>
      <c r="H42" s="480"/>
      <c r="I42" s="480"/>
      <c r="J42" s="505" t="s">
        <v>928</v>
      </c>
      <c r="K42" s="504" t="s">
        <v>602</v>
      </c>
      <c r="L42" s="480"/>
      <c r="M42" s="480"/>
      <c r="N42" s="480"/>
      <c r="O42" s="441"/>
      <c r="P42" s="441"/>
      <c r="R42" s="503" t="s">
        <v>1177</v>
      </c>
      <c r="S42" s="502"/>
      <c r="V42" s="477"/>
      <c r="X42" s="430"/>
      <c r="Y42" s="431"/>
      <c r="Z42" s="429"/>
      <c r="AA42" s="430"/>
      <c r="AC42" s="430"/>
      <c r="AD42" s="430"/>
      <c r="AE42" s="429"/>
      <c r="AH42" s="429"/>
    </row>
    <row r="43" spans="1:46" ht="15.75">
      <c r="A43" s="441"/>
      <c r="B43" s="441"/>
      <c r="C43" s="441"/>
      <c r="D43" s="441"/>
      <c r="E43" s="441"/>
      <c r="F43" s="484">
        <f t="shared" si="0"/>
        <v>37</v>
      </c>
      <c r="G43" s="480"/>
      <c r="H43" s="482" t="s">
        <v>170</v>
      </c>
      <c r="I43" s="496"/>
      <c r="J43" s="488">
        <f>IF($A$65=TRUE,C11,0)</f>
        <v>1.7500000000000002E-2</v>
      </c>
      <c r="K43" s="495">
        <f ca="1">+J43*($J$7/$J$49)</f>
        <v>28667.286211849725</v>
      </c>
      <c r="L43" s="480"/>
      <c r="M43" s="480"/>
      <c r="N43" s="480"/>
      <c r="O43" s="441"/>
      <c r="P43" s="441"/>
      <c r="R43" s="478">
        <v>0</v>
      </c>
      <c r="S43" s="500">
        <v>1</v>
      </c>
      <c r="U43" s="501" t="s">
        <v>1173</v>
      </c>
      <c r="V43" s="437">
        <f ca="1">VLOOKUP(R49,R36:AE39,12)</f>
        <v>8.5957816238747584E-2</v>
      </c>
      <c r="AA43" s="430"/>
      <c r="AC43" s="430"/>
      <c r="AH43" s="429"/>
      <c r="AL43" s="430"/>
      <c r="AM43" s="430"/>
      <c r="AN43" s="430"/>
      <c r="AO43" s="430"/>
      <c r="AP43" s="430"/>
      <c r="AQ43" s="430"/>
      <c r="AR43" s="430"/>
      <c r="AS43" s="430"/>
      <c r="AT43" s="430"/>
    </row>
    <row r="44" spans="1:46" ht="15.75">
      <c r="A44" s="441"/>
      <c r="B44" s="441"/>
      <c r="C44" s="441"/>
      <c r="D44" s="441"/>
      <c r="E44" s="441"/>
      <c r="F44" s="484">
        <f t="shared" si="0"/>
        <v>38</v>
      </c>
      <c r="G44" s="480"/>
      <c r="H44" s="482" t="s">
        <v>169</v>
      </c>
      <c r="I44" s="496"/>
      <c r="J44" s="488">
        <f>IF($A$65=TRUE,C12,0)</f>
        <v>5.1000000000000004E-3</v>
      </c>
      <c r="K44" s="495">
        <f ca="1">+J44*($J$7/$J$49)</f>
        <v>8354.4662674533483</v>
      </c>
      <c r="L44" s="480"/>
      <c r="M44" s="480"/>
      <c r="N44" s="480"/>
      <c r="O44" s="441"/>
      <c r="P44" s="441"/>
      <c r="R44" s="478">
        <v>50</v>
      </c>
      <c r="S44" s="500">
        <v>2</v>
      </c>
      <c r="U44" s="501" t="s">
        <v>1129</v>
      </c>
      <c r="V44" s="437">
        <f ca="1">ROUND(1-V43,5)</f>
        <v>0.91403999999999996</v>
      </c>
      <c r="Y44" s="497"/>
      <c r="Z44" s="426"/>
      <c r="AA44" s="426"/>
      <c r="AC44" s="430"/>
      <c r="AF44" s="432"/>
      <c r="AH44" s="429"/>
      <c r="AL44" s="430"/>
      <c r="AM44" s="430"/>
      <c r="AN44" s="430"/>
      <c r="AO44" s="430"/>
      <c r="AP44" s="430"/>
      <c r="AQ44" s="430"/>
      <c r="AR44" s="430"/>
      <c r="AS44" s="430"/>
      <c r="AT44" s="430"/>
    </row>
    <row r="45" spans="1:46" ht="15.75">
      <c r="A45" s="441"/>
      <c r="B45" s="441"/>
      <c r="C45" s="441"/>
      <c r="D45" s="441"/>
      <c r="E45" s="441"/>
      <c r="F45" s="484">
        <f t="shared" si="0"/>
        <v>39</v>
      </c>
      <c r="G45" s="480"/>
      <c r="H45" s="482" t="s">
        <v>168</v>
      </c>
      <c r="I45" s="496"/>
      <c r="J45" s="488">
        <f>IF($A$65=TRUE,C13,0)</f>
        <v>0</v>
      </c>
      <c r="K45" s="495">
        <f ca="1">+J45*($J$7/$J$49)</f>
        <v>0</v>
      </c>
      <c r="L45" s="480"/>
      <c r="M45" s="480"/>
      <c r="N45" s="480"/>
      <c r="O45" s="441"/>
      <c r="P45" s="441"/>
      <c r="R45" s="478">
        <v>125</v>
      </c>
      <c r="S45" s="500">
        <v>3</v>
      </c>
      <c r="U45" s="425" t="s">
        <v>1178</v>
      </c>
      <c r="V45" s="499">
        <f ca="1">+M7/Revenue-1</f>
        <v>0.31742806652698463</v>
      </c>
      <c r="W45" s="498"/>
      <c r="X45" s="430"/>
      <c r="Y45" s="497"/>
      <c r="Z45" s="429"/>
      <c r="AA45" s="430"/>
      <c r="AC45" s="430"/>
      <c r="AD45" s="430"/>
      <c r="AE45" s="429"/>
      <c r="AF45" s="432"/>
      <c r="AH45" s="429"/>
      <c r="AL45" s="430"/>
      <c r="AM45" s="430"/>
      <c r="AN45" s="430"/>
      <c r="AO45" s="430"/>
      <c r="AP45" s="430"/>
      <c r="AQ45" s="430"/>
      <c r="AR45" s="430"/>
      <c r="AS45" s="430"/>
      <c r="AT45" s="430"/>
    </row>
    <row r="46" spans="1:46" ht="15.75">
      <c r="A46" s="441"/>
      <c r="B46" s="441"/>
      <c r="C46" s="441"/>
      <c r="D46" s="441"/>
      <c r="E46" s="441"/>
      <c r="F46" s="484">
        <f t="shared" si="0"/>
        <v>40</v>
      </c>
      <c r="G46" s="480"/>
      <c r="H46" s="482" t="s">
        <v>167</v>
      </c>
      <c r="I46" s="496"/>
      <c r="J46" s="488">
        <f>IF($A$65=TRUE,C14,0)</f>
        <v>0</v>
      </c>
      <c r="K46" s="495">
        <f ca="1">+J46*($J$7/$J$49)</f>
        <v>0</v>
      </c>
      <c r="L46" s="480"/>
      <c r="M46" s="480"/>
      <c r="N46" s="480"/>
      <c r="O46" s="441"/>
      <c r="P46" s="441"/>
      <c r="R46" s="494">
        <v>401</v>
      </c>
      <c r="S46" s="493">
        <v>4</v>
      </c>
      <c r="T46" s="473"/>
      <c r="U46" s="473"/>
      <c r="V46" s="492"/>
      <c r="X46" s="430"/>
      <c r="Y46" s="431"/>
      <c r="Z46" s="429"/>
      <c r="AA46" s="430"/>
      <c r="AC46" s="430"/>
      <c r="AD46" s="430"/>
      <c r="AE46" s="429"/>
      <c r="AF46" s="432"/>
      <c r="AH46" s="429"/>
      <c r="AL46" s="430"/>
      <c r="AM46" s="430"/>
      <c r="AN46" s="430"/>
      <c r="AO46" s="430"/>
      <c r="AP46" s="430"/>
      <c r="AQ46" s="430"/>
      <c r="AR46" s="430"/>
      <c r="AS46" s="430"/>
      <c r="AT46" s="430"/>
    </row>
    <row r="47" spans="1:46" ht="16.5" thickBot="1">
      <c r="A47" s="441"/>
      <c r="B47" s="441"/>
      <c r="C47" s="441"/>
      <c r="D47" s="441"/>
      <c r="E47" s="441"/>
      <c r="F47" s="484">
        <f t="shared" si="0"/>
        <v>41</v>
      </c>
      <c r="G47" s="480"/>
      <c r="H47" s="482" t="s">
        <v>166</v>
      </c>
      <c r="I47" s="489"/>
      <c r="J47" s="491">
        <f>SUM(J43:J46)</f>
        <v>2.2600000000000002E-2</v>
      </c>
      <c r="K47" s="490">
        <f ca="1">+K43+K44+K45+K46</f>
        <v>37021.752479303075</v>
      </c>
      <c r="L47" s="480"/>
      <c r="M47" s="480"/>
      <c r="N47" s="480"/>
      <c r="O47" s="441"/>
      <c r="P47" s="441"/>
      <c r="R47" s="478"/>
      <c r="S47" s="426"/>
      <c r="X47" s="430"/>
      <c r="Y47" s="431"/>
      <c r="Z47" s="429"/>
      <c r="AA47" s="430"/>
      <c r="AC47" s="430"/>
      <c r="AD47" s="430"/>
      <c r="AE47" s="429"/>
      <c r="AF47" s="432"/>
      <c r="AH47" s="429"/>
      <c r="AL47" s="430"/>
      <c r="AM47" s="430"/>
      <c r="AN47" s="430"/>
      <c r="AO47" s="430"/>
      <c r="AP47" s="430"/>
      <c r="AQ47" s="430"/>
      <c r="AR47" s="430"/>
      <c r="AS47" s="430"/>
      <c r="AT47" s="430"/>
    </row>
    <row r="48" spans="1:46" ht="16.5" thickTop="1">
      <c r="A48" s="441"/>
      <c r="B48" s="441"/>
      <c r="C48" s="441"/>
      <c r="D48" s="441"/>
      <c r="E48" s="441"/>
      <c r="F48" s="484">
        <f t="shared" si="0"/>
        <v>42</v>
      </c>
      <c r="G48" s="480"/>
      <c r="H48" s="482"/>
      <c r="I48" s="489"/>
      <c r="J48" s="488"/>
      <c r="K48" s="487"/>
      <c r="L48" s="480"/>
      <c r="M48" s="480"/>
      <c r="N48" s="480"/>
      <c r="O48" s="441"/>
      <c r="P48" s="441"/>
      <c r="R48" s="486">
        <f ca="1">VLOOKUP(R49,R36:S39,2)</f>
        <v>399.11766028860188</v>
      </c>
      <c r="S48" s="485" t="s">
        <v>1179</v>
      </c>
      <c r="T48" s="445"/>
      <c r="V48" s="446"/>
      <c r="X48" s="425" t="s">
        <v>174</v>
      </c>
      <c r="AC48" s="430"/>
      <c r="AF48" s="432"/>
      <c r="AH48" s="429"/>
    </row>
    <row r="49" spans="1:46" ht="15.75">
      <c r="A49" s="441"/>
      <c r="B49" s="441"/>
      <c r="C49" s="441"/>
      <c r="D49" s="441"/>
      <c r="E49" s="441"/>
      <c r="F49" s="484">
        <f t="shared" si="0"/>
        <v>43</v>
      </c>
      <c r="G49" s="483"/>
      <c r="H49" s="482" t="s">
        <v>165</v>
      </c>
      <c r="I49" s="480"/>
      <c r="J49" s="481">
        <f ca="1">((K35)-J47)</f>
        <v>0.89195181727625306</v>
      </c>
      <c r="K49" s="480"/>
      <c r="L49" s="480"/>
      <c r="M49" s="480"/>
      <c r="N49" s="480"/>
      <c r="O49" s="441"/>
      <c r="P49" s="441"/>
      <c r="R49" s="478">
        <f ca="1">VLOOKUP(S36,R43:S46,2)</f>
        <v>3</v>
      </c>
      <c r="S49" s="479" t="s">
        <v>1180</v>
      </c>
      <c r="T49" s="477"/>
      <c r="X49" s="425" t="s">
        <v>173</v>
      </c>
      <c r="AA49" s="426"/>
      <c r="AC49" s="430"/>
      <c r="AH49" s="429"/>
    </row>
    <row r="50" spans="1:46">
      <c r="A50" s="441"/>
      <c r="B50" s="441"/>
      <c r="C50" s="441"/>
      <c r="D50" s="441"/>
      <c r="E50" s="441"/>
      <c r="F50" s="441"/>
      <c r="G50" s="441"/>
      <c r="H50" s="441"/>
      <c r="I50" s="441"/>
      <c r="J50" s="441"/>
      <c r="K50" s="476"/>
      <c r="L50" s="441"/>
      <c r="M50" s="441"/>
      <c r="N50" s="475"/>
      <c r="O50" s="441"/>
      <c r="P50" s="441"/>
      <c r="R50" s="478"/>
      <c r="T50" s="477"/>
      <c r="X50" s="425" t="s">
        <v>172</v>
      </c>
      <c r="AA50" s="430"/>
      <c r="AC50" s="430"/>
      <c r="AD50" s="430"/>
      <c r="AE50" s="429"/>
      <c r="AH50" s="429"/>
    </row>
    <row r="51" spans="1:46">
      <c r="A51" s="441"/>
      <c r="B51" s="441"/>
      <c r="C51" s="441"/>
      <c r="D51" s="441"/>
      <c r="E51" s="441"/>
      <c r="F51" s="441"/>
      <c r="G51" s="441"/>
      <c r="H51" s="441"/>
      <c r="I51" s="441"/>
      <c r="J51" s="441"/>
      <c r="K51" s="476"/>
      <c r="L51" s="441"/>
      <c r="M51" s="441"/>
      <c r="N51" s="475"/>
      <c r="O51" s="441"/>
      <c r="P51" s="441"/>
      <c r="R51" s="474">
        <f ca="1">+V44</f>
        <v>0.91403999999999996</v>
      </c>
      <c r="S51" s="473" t="s">
        <v>1129</v>
      </c>
      <c r="T51" s="472"/>
      <c r="X51" s="425" t="s">
        <v>171</v>
      </c>
      <c r="AA51" s="430"/>
      <c r="AC51" s="430"/>
      <c r="AD51" s="430"/>
      <c r="AE51" s="429"/>
      <c r="AF51" s="430"/>
      <c r="AH51" s="429"/>
      <c r="AL51" s="430"/>
      <c r="AM51" s="430"/>
      <c r="AN51" s="430"/>
      <c r="AO51" s="430"/>
      <c r="AP51" s="430"/>
      <c r="AQ51" s="430"/>
      <c r="AR51" s="430"/>
      <c r="AS51" s="430"/>
      <c r="AT51" s="430"/>
    </row>
    <row r="52" spans="1:46">
      <c r="A52" s="441"/>
      <c r="B52" s="441"/>
      <c r="C52" s="441"/>
      <c r="D52" s="441"/>
      <c r="E52" s="441"/>
      <c r="F52" s="441"/>
      <c r="G52" s="441"/>
      <c r="H52" s="441"/>
      <c r="I52" s="441"/>
      <c r="J52" s="441"/>
      <c r="K52" s="441"/>
      <c r="L52" s="441"/>
      <c r="M52" s="441"/>
      <c r="N52" s="441"/>
      <c r="O52" s="441"/>
      <c r="P52" s="441"/>
      <c r="Z52" s="429"/>
      <c r="AA52" s="430"/>
      <c r="AC52" s="430"/>
      <c r="AD52" s="430"/>
      <c r="AE52" s="429"/>
      <c r="AF52" s="432"/>
      <c r="AH52" s="429"/>
      <c r="AL52" s="430"/>
      <c r="AM52" s="430"/>
      <c r="AN52" s="430"/>
      <c r="AO52" s="430"/>
      <c r="AP52" s="430"/>
      <c r="AQ52" s="430"/>
      <c r="AR52" s="430"/>
      <c r="AS52" s="430"/>
      <c r="AT52" s="430"/>
    </row>
    <row r="53" spans="1:46">
      <c r="A53" s="441"/>
      <c r="B53" s="441"/>
      <c r="C53" s="441"/>
      <c r="D53" s="441"/>
      <c r="E53" s="441"/>
      <c r="F53" s="441"/>
      <c r="G53" s="441"/>
      <c r="H53" s="441"/>
      <c r="I53" s="441"/>
      <c r="J53" s="444"/>
      <c r="K53" s="444"/>
      <c r="L53" s="444"/>
      <c r="M53" s="444"/>
      <c r="N53" s="441"/>
      <c r="O53" s="441"/>
      <c r="P53" s="441"/>
      <c r="R53" s="425"/>
      <c r="Z53" s="429"/>
      <c r="AA53" s="430"/>
      <c r="AC53" s="430"/>
      <c r="AD53" s="430"/>
      <c r="AE53" s="429"/>
      <c r="AF53" s="432"/>
      <c r="AH53" s="429"/>
      <c r="AL53" s="430"/>
      <c r="AM53" s="430"/>
      <c r="AN53" s="430"/>
      <c r="AO53" s="430"/>
      <c r="AP53" s="430"/>
      <c r="AQ53" s="430"/>
      <c r="AR53" s="430"/>
      <c r="AS53" s="430"/>
      <c r="AT53" s="430"/>
    </row>
    <row r="54" spans="1:46" ht="15.75">
      <c r="A54" s="441"/>
      <c r="B54" s="441"/>
      <c r="C54" s="441"/>
      <c r="D54" s="441"/>
      <c r="E54" s="441"/>
      <c r="F54" s="441"/>
      <c r="G54" s="441"/>
      <c r="H54" s="441"/>
      <c r="I54" s="441"/>
      <c r="J54" s="441"/>
      <c r="K54" s="444"/>
      <c r="L54" s="444"/>
      <c r="M54" s="444"/>
      <c r="N54" s="441"/>
      <c r="O54" s="441"/>
      <c r="P54" s="441"/>
      <c r="R54" s="425"/>
      <c r="S54" s="425" t="s">
        <v>1181</v>
      </c>
      <c r="T54" s="430"/>
      <c r="U54" s="471"/>
      <c r="W54" s="470" t="s">
        <v>1182</v>
      </c>
      <c r="X54" s="469"/>
      <c r="Y54" s="469"/>
      <c r="Z54" s="469"/>
      <c r="AC54" s="430"/>
      <c r="AF54" s="432"/>
      <c r="AH54" s="429"/>
      <c r="AL54" s="430"/>
      <c r="AM54" s="430"/>
      <c r="AN54" s="430"/>
      <c r="AO54" s="430"/>
      <c r="AP54" s="430"/>
      <c r="AQ54" s="430"/>
      <c r="AR54" s="430"/>
      <c r="AS54" s="430"/>
      <c r="AT54" s="430"/>
    </row>
    <row r="55" spans="1:46">
      <c r="A55" s="441"/>
      <c r="B55" s="441"/>
      <c r="C55" s="441"/>
      <c r="D55" s="441"/>
      <c r="E55" s="441"/>
      <c r="F55" s="441"/>
      <c r="G55" s="441"/>
      <c r="H55" s="441"/>
      <c r="I55" s="441"/>
      <c r="J55" s="441"/>
      <c r="K55" s="441"/>
      <c r="L55" s="454"/>
      <c r="M55" s="454"/>
      <c r="N55" s="441"/>
      <c r="O55" s="441"/>
      <c r="P55" s="441"/>
      <c r="R55" s="448"/>
      <c r="S55" s="468" t="s">
        <v>189</v>
      </c>
      <c r="T55" s="468" t="s">
        <v>29</v>
      </c>
      <c r="U55" s="467" t="s">
        <v>1163</v>
      </c>
      <c r="W55" s="466" t="s">
        <v>1183</v>
      </c>
      <c r="X55" s="465">
        <v>5.7225999999999999</v>
      </c>
      <c r="Y55" s="464" t="s">
        <v>1184</v>
      </c>
      <c r="Z55" s="463">
        <v>5.6985000000000001</v>
      </c>
      <c r="AA55" s="426"/>
      <c r="AC55" s="430"/>
      <c r="AH55" s="429"/>
    </row>
    <row r="56" spans="1:46">
      <c r="A56" s="441"/>
      <c r="B56" s="441"/>
      <c r="C56" s="441"/>
      <c r="D56" s="441"/>
      <c r="E56" s="441"/>
      <c r="F56" s="441"/>
      <c r="G56" s="441"/>
      <c r="H56" s="441"/>
      <c r="I56" s="441"/>
      <c r="J56" s="454"/>
      <c r="K56" s="441"/>
      <c r="L56" s="454"/>
      <c r="M56" s="454"/>
      <c r="N56" s="441"/>
      <c r="O56" s="441"/>
      <c r="P56" s="441"/>
      <c r="R56" s="427" t="s">
        <v>1127</v>
      </c>
      <c r="S56" s="458">
        <v>0.56200000000000006</v>
      </c>
      <c r="T56" s="458">
        <v>6.3799999999999996E-2</v>
      </c>
      <c r="U56" s="437">
        <f>ROUND(+S56*T56,5)</f>
        <v>3.5860000000000003E-2</v>
      </c>
      <c r="W56" s="462" t="s">
        <v>1185</v>
      </c>
      <c r="X56" s="461">
        <v>5.7082699999999997</v>
      </c>
      <c r="Y56" s="460" t="s">
        <v>1186</v>
      </c>
      <c r="Z56" s="459">
        <v>5.6921999999999997</v>
      </c>
      <c r="AA56" s="430"/>
      <c r="AC56" s="430"/>
      <c r="AD56" s="430"/>
      <c r="AE56" s="429"/>
      <c r="AH56" s="429"/>
    </row>
    <row r="57" spans="1:46">
      <c r="A57" s="441"/>
      <c r="B57" s="441"/>
      <c r="C57" s="441"/>
      <c r="D57" s="441"/>
      <c r="E57" s="444"/>
      <c r="F57" s="441"/>
      <c r="G57" s="441"/>
      <c r="H57" s="441"/>
      <c r="I57" s="441"/>
      <c r="J57" s="454"/>
      <c r="K57" s="441"/>
      <c r="L57" s="454"/>
      <c r="M57" s="454"/>
      <c r="N57" s="441"/>
      <c r="O57" s="441"/>
      <c r="P57" s="441"/>
      <c r="R57" s="427" t="s">
        <v>1187</v>
      </c>
      <c r="S57" s="458">
        <v>9.4E-2</v>
      </c>
      <c r="T57" s="458">
        <v>6.59E-2</v>
      </c>
      <c r="U57" s="437">
        <f>ROUND(+S57*T57,5)</f>
        <v>6.1900000000000002E-3</v>
      </c>
      <c r="W57" s="427"/>
      <c r="Y57" s="457"/>
      <c r="Z57" s="456"/>
      <c r="AA57" s="430"/>
      <c r="AC57" s="430"/>
      <c r="AD57" s="430"/>
      <c r="AE57" s="429"/>
      <c r="AF57" s="432"/>
      <c r="AH57" s="429"/>
      <c r="AL57" s="430"/>
    </row>
    <row r="58" spans="1:46" ht="15.75">
      <c r="A58" s="441"/>
      <c r="B58" s="441"/>
      <c r="C58" s="441"/>
      <c r="D58" s="441"/>
      <c r="E58" s="444"/>
      <c r="F58" s="444"/>
      <c r="G58" s="444"/>
      <c r="H58" s="455"/>
      <c r="I58" s="444"/>
      <c r="J58" s="454"/>
      <c r="K58" s="441"/>
      <c r="L58" s="441"/>
      <c r="M58" s="441"/>
      <c r="N58" s="441"/>
      <c r="O58" s="441"/>
      <c r="P58" s="441"/>
      <c r="R58" s="427" t="s">
        <v>87</v>
      </c>
      <c r="S58" s="450">
        <v>0.34399999999999997</v>
      </c>
      <c r="T58" s="420"/>
      <c r="U58" s="421"/>
      <c r="W58" s="436"/>
      <c r="X58" s="453" t="s">
        <v>1188</v>
      </c>
      <c r="Y58" s="452">
        <v>0.68367</v>
      </c>
      <c r="Z58" s="451"/>
      <c r="AA58" s="430"/>
      <c r="AC58" s="430"/>
      <c r="AD58" s="430"/>
      <c r="AE58" s="429"/>
      <c r="AF58" s="432"/>
      <c r="AH58" s="429"/>
    </row>
    <row r="59" spans="1:46" ht="15.75">
      <c r="A59" s="441"/>
      <c r="B59" s="441"/>
      <c r="C59" s="441"/>
      <c r="D59" s="441"/>
      <c r="E59" s="441"/>
      <c r="F59" s="441"/>
      <c r="G59" s="441"/>
      <c r="H59" s="441"/>
      <c r="I59" s="441"/>
      <c r="J59" s="441"/>
      <c r="K59" s="441"/>
      <c r="L59" s="441"/>
      <c r="M59" s="441"/>
      <c r="N59" s="441"/>
      <c r="O59" s="441"/>
      <c r="P59" s="441"/>
      <c r="R59" s="436"/>
      <c r="S59" s="450">
        <f>SUM(S56:S58)</f>
        <v>1</v>
      </c>
      <c r="T59" s="422"/>
      <c r="U59" s="423"/>
      <c r="X59" s="430"/>
      <c r="Y59" s="431"/>
      <c r="Z59" s="429"/>
      <c r="AA59" s="430"/>
      <c r="AC59" s="430"/>
      <c r="AD59" s="430"/>
      <c r="AE59" s="429"/>
      <c r="AF59" s="432"/>
      <c r="AH59" s="429"/>
    </row>
    <row r="60" spans="1:46">
      <c r="A60" s="441"/>
      <c r="B60" s="441"/>
      <c r="C60" s="441"/>
      <c r="D60" s="441"/>
      <c r="E60" s="441"/>
      <c r="F60" s="441"/>
      <c r="G60" s="441"/>
      <c r="H60" s="441"/>
      <c r="I60" s="441"/>
      <c r="J60" s="441"/>
      <c r="K60" s="441"/>
      <c r="L60" s="441"/>
      <c r="M60" s="441"/>
      <c r="N60" s="441"/>
      <c r="O60" s="441"/>
      <c r="P60" s="441"/>
      <c r="X60" s="449"/>
      <c r="AC60" s="430"/>
      <c r="AF60" s="432"/>
      <c r="AH60" s="429"/>
      <c r="AL60" s="432"/>
      <c r="AM60" s="432"/>
      <c r="AN60" s="432"/>
      <c r="AO60" s="432"/>
      <c r="AP60" s="432"/>
      <c r="AQ60" s="432"/>
      <c r="AR60" s="432"/>
      <c r="AS60" s="432"/>
      <c r="AT60" s="432"/>
    </row>
    <row r="61" spans="1:46">
      <c r="A61" s="441"/>
      <c r="B61" s="441"/>
      <c r="C61" s="441"/>
      <c r="D61" s="441"/>
      <c r="E61" s="444"/>
      <c r="F61" s="441"/>
      <c r="G61" s="441"/>
      <c r="H61" s="441"/>
      <c r="I61" s="441"/>
      <c r="J61" s="441"/>
      <c r="K61" s="441"/>
      <c r="L61" s="441"/>
      <c r="M61" s="441"/>
      <c r="N61" s="441"/>
      <c r="O61" s="441"/>
      <c r="P61" s="441"/>
      <c r="W61" s="448" t="s">
        <v>1168</v>
      </c>
      <c r="X61" s="447"/>
      <c r="Y61" s="446" t="s">
        <v>1189</v>
      </c>
      <c r="Z61" s="445" t="s">
        <v>1111</v>
      </c>
      <c r="AC61" s="430"/>
      <c r="AH61" s="429"/>
      <c r="AL61" s="432"/>
      <c r="AM61" s="432"/>
      <c r="AN61" s="432"/>
      <c r="AO61" s="432"/>
      <c r="AP61" s="432"/>
      <c r="AQ61" s="432"/>
      <c r="AR61" s="432"/>
      <c r="AS61" s="432"/>
      <c r="AT61" s="432"/>
    </row>
    <row r="62" spans="1:46">
      <c r="A62" s="441"/>
      <c r="B62" s="441"/>
      <c r="C62" s="441"/>
      <c r="D62" s="441"/>
      <c r="E62" s="441"/>
      <c r="F62" s="444"/>
      <c r="G62" s="444"/>
      <c r="H62" s="444"/>
      <c r="I62" s="444"/>
      <c r="J62" s="444"/>
      <c r="K62" s="444"/>
      <c r="L62" s="444"/>
      <c r="M62" s="444"/>
      <c r="N62" s="444"/>
      <c r="O62" s="441"/>
      <c r="P62" s="441"/>
      <c r="W62" s="443"/>
      <c r="X62" s="440"/>
      <c r="Y62" s="440"/>
      <c r="Z62" s="442"/>
      <c r="AC62" s="430"/>
      <c r="AD62" s="430"/>
      <c r="AE62" s="429"/>
      <c r="AH62" s="429"/>
      <c r="AL62" s="432"/>
      <c r="AM62" s="432"/>
      <c r="AN62" s="432"/>
      <c r="AO62" s="432"/>
      <c r="AP62" s="432"/>
      <c r="AQ62" s="432"/>
      <c r="AR62" s="432"/>
      <c r="AS62" s="432"/>
      <c r="AT62" s="432"/>
    </row>
    <row r="63" spans="1:46">
      <c r="A63" s="441"/>
      <c r="B63" s="441"/>
      <c r="C63" s="441"/>
      <c r="D63" s="441"/>
      <c r="E63" s="441"/>
      <c r="F63" s="441"/>
      <c r="G63" s="441"/>
      <c r="H63" s="441"/>
      <c r="I63" s="441"/>
      <c r="J63" s="441"/>
      <c r="K63" s="441"/>
      <c r="L63" s="441"/>
      <c r="M63" s="441"/>
      <c r="N63" s="441"/>
      <c r="O63" s="441"/>
      <c r="P63" s="441"/>
      <c r="W63" s="427" t="s">
        <v>1170</v>
      </c>
      <c r="X63" s="440"/>
      <c r="Y63" s="437">
        <f t="shared" ref="Y63:Z68" ca="1" si="1">+J33</f>
        <v>0.34103962258377568</v>
      </c>
      <c r="Z63" s="437">
        <f t="shared" ca="1" si="1"/>
        <v>0.27023526957514094</v>
      </c>
      <c r="AC63" s="430"/>
      <c r="AD63" s="430"/>
      <c r="AE63" s="429"/>
      <c r="AF63" s="432"/>
      <c r="AH63" s="429"/>
      <c r="AL63" s="432"/>
      <c r="AM63" s="432"/>
      <c r="AN63" s="432"/>
      <c r="AO63" s="432"/>
      <c r="AP63" s="432"/>
      <c r="AQ63" s="432"/>
      <c r="AR63" s="432"/>
      <c r="AS63" s="432"/>
      <c r="AT63" s="432"/>
    </row>
    <row r="64" spans="1:46">
      <c r="A64" s="441"/>
      <c r="B64" s="441"/>
      <c r="C64" s="441"/>
      <c r="D64" s="441"/>
      <c r="E64" s="441"/>
      <c r="F64" s="441"/>
      <c r="G64" s="441"/>
      <c r="H64" s="441"/>
      <c r="I64" s="441"/>
      <c r="J64" s="441"/>
      <c r="K64" s="441"/>
      <c r="L64" s="441"/>
      <c r="M64" s="441"/>
      <c r="N64" s="441"/>
      <c r="O64" s="441"/>
      <c r="P64" s="441"/>
      <c r="W64" s="427" t="s">
        <v>1171</v>
      </c>
      <c r="X64" s="440"/>
      <c r="Y64" s="437">
        <f t="shared" ca="1" si="1"/>
        <v>0.36984087633893742</v>
      </c>
      <c r="Z64" s="437">
        <f t="shared" ca="1" si="1"/>
        <v>0.2921742923077606</v>
      </c>
      <c r="AC64" s="430"/>
      <c r="AD64" s="430"/>
      <c r="AE64" s="429"/>
      <c r="AF64" s="432"/>
      <c r="AH64" s="429"/>
    </row>
    <row r="65" spans="1:38">
      <c r="A65" s="425" t="b">
        <v>1</v>
      </c>
      <c r="F65" s="441"/>
      <c r="G65" s="441"/>
      <c r="H65" s="441"/>
      <c r="I65" s="441"/>
      <c r="J65" s="441"/>
      <c r="K65" s="441"/>
      <c r="L65" s="441"/>
      <c r="M65" s="441"/>
      <c r="N65" s="441"/>
      <c r="W65" s="427" t="s">
        <v>1129</v>
      </c>
      <c r="X65" s="440"/>
      <c r="Y65" s="437">
        <f t="shared" ca="1" si="1"/>
        <v>0.91403999999999996</v>
      </c>
      <c r="Z65" s="437">
        <f t="shared" ca="1" si="1"/>
        <v>0.91455181727625301</v>
      </c>
      <c r="AC65" s="430"/>
      <c r="AD65" s="430"/>
      <c r="AE65" s="429"/>
      <c r="AF65" s="432"/>
      <c r="AH65" s="429"/>
    </row>
    <row r="66" spans="1:38">
      <c r="H66" s="432"/>
      <c r="I66" s="432"/>
      <c r="J66" s="432"/>
      <c r="K66" s="432"/>
      <c r="L66" s="432"/>
      <c r="M66" s="432"/>
      <c r="N66" s="432"/>
      <c r="O66" s="432"/>
      <c r="W66" s="427" t="s">
        <v>1173</v>
      </c>
      <c r="X66" s="440"/>
      <c r="Y66" s="437">
        <f t="shared" ca="1" si="1"/>
        <v>8.5960000000000036E-2</v>
      </c>
      <c r="Z66" s="437">
        <f t="shared" ca="1" si="1"/>
        <v>8.5960000000000036E-2</v>
      </c>
      <c r="AC66" s="430"/>
      <c r="AF66" s="432"/>
      <c r="AH66" s="429"/>
      <c r="AL66" s="432"/>
    </row>
    <row r="67" spans="1:38">
      <c r="H67" s="432"/>
      <c r="I67" s="432"/>
      <c r="J67" s="432"/>
      <c r="K67" s="432"/>
      <c r="L67" s="432"/>
      <c r="M67" s="432"/>
      <c r="N67" s="432"/>
      <c r="O67" s="432"/>
      <c r="W67" s="427" t="s">
        <v>1174</v>
      </c>
      <c r="X67" s="439"/>
      <c r="Y67" s="437">
        <f t="shared" ca="1" si="1"/>
        <v>3.9882663960789437</v>
      </c>
      <c r="Z67" s="437">
        <f t="shared" ca="1" si="1"/>
        <v>3.9882663960789437</v>
      </c>
      <c r="AC67" s="430"/>
      <c r="AH67" s="429"/>
    </row>
    <row r="68" spans="1:38">
      <c r="O68" s="432"/>
      <c r="W68" s="427" t="s">
        <v>84</v>
      </c>
      <c r="X68" s="438"/>
      <c r="Y68" s="437">
        <f t="shared" si="1"/>
        <v>0.21</v>
      </c>
      <c r="Z68" s="437">
        <f t="shared" si="1"/>
        <v>0.21</v>
      </c>
      <c r="AC68" s="430"/>
      <c r="AD68" s="430"/>
      <c r="AE68" s="429"/>
      <c r="AH68" s="429"/>
    </row>
    <row r="69" spans="1:38" ht="15.75">
      <c r="O69" s="432"/>
      <c r="W69" s="427"/>
      <c r="Y69" s="420"/>
      <c r="Z69" s="424"/>
      <c r="AC69" s="430"/>
      <c r="AD69" s="430"/>
      <c r="AE69" s="429"/>
      <c r="AF69" s="432"/>
      <c r="AH69" s="429"/>
    </row>
    <row r="70" spans="1:38">
      <c r="O70" s="432"/>
      <c r="W70" s="436"/>
      <c r="X70" s="435"/>
      <c r="Y70" s="434"/>
      <c r="Z70" s="433"/>
      <c r="AA70" s="430"/>
      <c r="AC70" s="430"/>
      <c r="AD70" s="430"/>
      <c r="AE70" s="429"/>
      <c r="AF70" s="432"/>
      <c r="AH70" s="429"/>
    </row>
    <row r="71" spans="1:38">
      <c r="X71" s="430"/>
      <c r="Y71" s="431"/>
      <c r="Z71" s="429"/>
      <c r="AA71" s="430"/>
      <c r="AC71" s="430"/>
      <c r="AD71" s="430"/>
      <c r="AE71" s="429"/>
      <c r="AF71" s="432"/>
      <c r="AH71" s="429"/>
    </row>
    <row r="72" spans="1:38">
      <c r="AC72" s="430"/>
      <c r="AF72" s="432"/>
      <c r="AH72" s="429"/>
    </row>
    <row r="73" spans="1:38">
      <c r="Y73" s="426"/>
      <c r="Z73" s="426"/>
      <c r="AA73" s="426"/>
      <c r="AC73" s="430"/>
      <c r="AH73" s="429"/>
    </row>
    <row r="74" spans="1:38">
      <c r="X74" s="430"/>
      <c r="Y74" s="431"/>
      <c r="Z74" s="429"/>
      <c r="AA74" s="430"/>
      <c r="AC74" s="430"/>
      <c r="AD74" s="430"/>
      <c r="AE74" s="429"/>
      <c r="AH74" s="429"/>
    </row>
    <row r="75" spans="1:38">
      <c r="X75" s="430"/>
      <c r="Y75" s="431"/>
      <c r="Z75" s="429"/>
      <c r="AA75" s="430"/>
      <c r="AC75" s="430"/>
      <c r="AD75" s="430"/>
      <c r="AE75" s="429"/>
      <c r="AF75" s="432"/>
      <c r="AH75" s="429"/>
    </row>
    <row r="76" spans="1:38">
      <c r="X76" s="430"/>
      <c r="Y76" s="431"/>
      <c r="Z76" s="429"/>
      <c r="AA76" s="430"/>
      <c r="AC76" s="430"/>
      <c r="AD76" s="430"/>
      <c r="AE76" s="429"/>
      <c r="AF76" s="432"/>
      <c r="AH76" s="429"/>
    </row>
    <row r="77" spans="1:38">
      <c r="X77" s="430"/>
      <c r="Y77" s="431"/>
      <c r="Z77" s="429"/>
      <c r="AA77" s="430"/>
      <c r="AC77" s="430"/>
      <c r="AD77" s="430"/>
      <c r="AE77" s="429"/>
      <c r="AF77" s="432"/>
      <c r="AH77" s="429"/>
    </row>
    <row r="78" spans="1:38">
      <c r="AC78" s="430"/>
      <c r="AF78" s="432"/>
      <c r="AH78" s="429"/>
    </row>
    <row r="80" spans="1:38">
      <c r="X80" s="430"/>
      <c r="Y80" s="431"/>
      <c r="Z80" s="429"/>
      <c r="AA80" s="430"/>
      <c r="AD80" s="430"/>
      <c r="AE80" s="429"/>
    </row>
    <row r="81" spans="24:32">
      <c r="X81" s="430"/>
      <c r="Y81" s="431"/>
      <c r="Z81" s="429"/>
      <c r="AA81" s="430"/>
      <c r="AD81" s="430"/>
      <c r="AE81" s="429"/>
      <c r="AF81" s="432"/>
    </row>
    <row r="82" spans="24:32">
      <c r="X82" s="430"/>
      <c r="Y82" s="431"/>
      <c r="Z82" s="429"/>
      <c r="AA82" s="430"/>
      <c r="AD82" s="430"/>
      <c r="AE82" s="429"/>
      <c r="AF82" s="432"/>
    </row>
    <row r="83" spans="24:32">
      <c r="X83" s="430"/>
      <c r="Y83" s="431"/>
      <c r="Z83" s="429"/>
      <c r="AA83" s="430"/>
      <c r="AD83" s="430"/>
      <c r="AE83" s="429"/>
      <c r="AF83" s="432"/>
    </row>
    <row r="84" spans="24:32">
      <c r="AF84" s="432"/>
    </row>
    <row r="86" spans="24:32">
      <c r="X86" s="430"/>
      <c r="Y86" s="431"/>
      <c r="Z86" s="429"/>
      <c r="AA86" s="430"/>
      <c r="AD86" s="430"/>
      <c r="AE86" s="429"/>
    </row>
    <row r="87" spans="24:32">
      <c r="X87" s="430"/>
      <c r="Y87" s="431"/>
      <c r="Z87" s="429"/>
      <c r="AA87" s="430"/>
      <c r="AD87" s="430"/>
      <c r="AE87" s="429"/>
      <c r="AF87" s="432"/>
    </row>
    <row r="88" spans="24:32">
      <c r="X88" s="430"/>
      <c r="Y88" s="431"/>
      <c r="Z88" s="429"/>
      <c r="AA88" s="430"/>
      <c r="AD88" s="430"/>
      <c r="AE88" s="429"/>
      <c r="AF88" s="432"/>
    </row>
    <row r="89" spans="24:32">
      <c r="X89" s="430"/>
      <c r="Y89" s="431"/>
      <c r="Z89" s="429"/>
      <c r="AA89" s="430"/>
      <c r="AD89" s="430"/>
      <c r="AE89" s="429"/>
      <c r="AF89" s="432"/>
    </row>
    <row r="90" spans="24:32">
      <c r="AF90" s="432"/>
    </row>
    <row r="92" spans="24:32">
      <c r="X92" s="430"/>
      <c r="Y92" s="431"/>
      <c r="Z92" s="429"/>
      <c r="AA92" s="430"/>
      <c r="AD92" s="430"/>
      <c r="AE92" s="429"/>
    </row>
    <row r="93" spans="24:32">
      <c r="X93" s="430"/>
      <c r="Y93" s="431"/>
      <c r="Z93" s="429"/>
      <c r="AA93" s="430"/>
      <c r="AD93" s="430"/>
      <c r="AE93" s="429"/>
      <c r="AF93" s="432"/>
    </row>
    <row r="94" spans="24:32">
      <c r="X94" s="430"/>
      <c r="Y94" s="431"/>
      <c r="Z94" s="429"/>
      <c r="AA94" s="430"/>
      <c r="AD94" s="430"/>
      <c r="AE94" s="429"/>
      <c r="AF94" s="432"/>
    </row>
    <row r="95" spans="24:32">
      <c r="X95" s="430"/>
      <c r="Y95" s="431"/>
      <c r="Z95" s="429"/>
      <c r="AA95" s="430"/>
      <c r="AD95" s="430"/>
      <c r="AE95" s="429"/>
      <c r="AF95" s="432"/>
    </row>
    <row r="96" spans="24:32">
      <c r="AF96" s="432"/>
    </row>
    <row r="98" spans="24:32">
      <c r="X98" s="430"/>
      <c r="Y98" s="431"/>
      <c r="Z98" s="429"/>
      <c r="AA98" s="430"/>
      <c r="AD98" s="430"/>
      <c r="AE98" s="429"/>
    </row>
    <row r="99" spans="24:32">
      <c r="X99" s="430"/>
      <c r="Y99" s="431"/>
      <c r="Z99" s="429"/>
      <c r="AA99" s="430"/>
      <c r="AD99" s="430"/>
      <c r="AE99" s="429"/>
      <c r="AF99" s="432"/>
    </row>
    <row r="100" spans="24:32">
      <c r="X100" s="430"/>
      <c r="Y100" s="431"/>
      <c r="Z100" s="429"/>
      <c r="AA100" s="430"/>
      <c r="AD100" s="430"/>
      <c r="AE100" s="429"/>
      <c r="AF100" s="432"/>
    </row>
    <row r="101" spans="24:32">
      <c r="X101" s="430"/>
      <c r="Y101" s="431"/>
      <c r="Z101" s="429"/>
      <c r="AA101" s="430"/>
      <c r="AD101" s="430"/>
      <c r="AE101" s="429"/>
      <c r="AF101" s="432"/>
    </row>
    <row r="102" spans="24:32">
      <c r="AF102" s="432"/>
    </row>
    <row r="104" spans="24:32">
      <c r="X104" s="430"/>
      <c r="Y104" s="431"/>
      <c r="Z104" s="429"/>
      <c r="AA104" s="430"/>
      <c r="AD104" s="430"/>
      <c r="AE104" s="429"/>
    </row>
    <row r="105" spans="24:32">
      <c r="X105" s="430"/>
      <c r="Y105" s="431"/>
      <c r="Z105" s="429"/>
      <c r="AA105" s="430"/>
      <c r="AD105" s="430"/>
      <c r="AE105" s="429"/>
      <c r="AF105" s="432"/>
    </row>
    <row r="106" spans="24:32">
      <c r="X106" s="430"/>
      <c r="Y106" s="431"/>
      <c r="Z106" s="429"/>
      <c r="AA106" s="430"/>
      <c r="AD106" s="430"/>
      <c r="AE106" s="429"/>
      <c r="AF106" s="432"/>
    </row>
    <row r="107" spans="24:32">
      <c r="X107" s="430"/>
      <c r="Y107" s="431"/>
      <c r="Z107" s="429"/>
      <c r="AA107" s="430"/>
      <c r="AD107" s="430"/>
      <c r="AE107" s="429"/>
      <c r="AF107" s="432"/>
    </row>
    <row r="108" spans="24:32">
      <c r="AF108" s="432"/>
    </row>
    <row r="110" spans="24:32">
      <c r="X110" s="430"/>
      <c r="Y110" s="431"/>
      <c r="Z110" s="429"/>
      <c r="AA110" s="430"/>
      <c r="AD110" s="430"/>
      <c r="AE110" s="429"/>
    </row>
    <row r="111" spans="24:32">
      <c r="X111" s="430"/>
      <c r="Y111" s="431"/>
      <c r="Z111" s="429"/>
      <c r="AA111" s="430"/>
      <c r="AD111" s="430"/>
      <c r="AE111" s="429"/>
    </row>
    <row r="112" spans="24:32">
      <c r="X112" s="430"/>
      <c r="Y112" s="431"/>
      <c r="Z112" s="429"/>
      <c r="AA112" s="430"/>
      <c r="AD112" s="430"/>
      <c r="AE112" s="429"/>
    </row>
    <row r="113" spans="24:31">
      <c r="X113" s="430"/>
      <c r="Y113" s="431"/>
      <c r="Z113" s="429"/>
      <c r="AA113" s="430"/>
      <c r="AD113" s="430"/>
      <c r="AE113" s="429"/>
    </row>
  </sheetData>
  <mergeCells count="6">
    <mergeCell ref="AF2:AI2"/>
    <mergeCell ref="B2:C2"/>
    <mergeCell ref="B17:C17"/>
    <mergeCell ref="B18:C18"/>
    <mergeCell ref="B15:C15"/>
    <mergeCell ref="C16:D16"/>
  </mergeCells>
  <pageMargins left="0.25" right="0.25" top="0.3" bottom="0.44" header="0.23" footer="0.21"/>
  <pageSetup scale="92" orientation="portrait" r:id="rId1"/>
  <headerFooter alignWithMargins="0"/>
  <drawing r:id="rId2"/>
  <legacyDrawing r:id="rId3"/>
  <controls>
    <mc:AlternateContent xmlns:mc="http://schemas.openxmlformats.org/markup-compatibility/2006">
      <mc:Choice Requires="x14">
        <control shapeId="73729" r:id="rId4" name="CheckBox1">
          <controlPr defaultSize="0" autoFill="0" autoLine="0" linkedCell="A65" r:id="rId5">
            <anchor moveWithCells="1">
              <from>
                <xdr:col>2</xdr:col>
                <xdr:colOff>104775</xdr:colOff>
                <xdr:row>14</xdr:row>
                <xdr:rowOff>180975</xdr:rowOff>
              </from>
              <to>
                <xdr:col>2</xdr:col>
                <xdr:colOff>504825</xdr:colOff>
                <xdr:row>16</xdr:row>
                <xdr:rowOff>161925</xdr:rowOff>
              </to>
            </anchor>
          </controlPr>
        </control>
      </mc:Choice>
      <mc:Fallback>
        <control shapeId="73729" r:id="rId4" name="Check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O146"/>
  <sheetViews>
    <sheetView zoomScaleNormal="100" workbookViewId="0"/>
  </sheetViews>
  <sheetFormatPr defaultRowHeight="15"/>
  <cols>
    <col min="1" max="1" width="2.6640625" style="72" customWidth="1"/>
    <col min="2" max="2" width="42.33203125" bestFit="1" customWidth="1"/>
    <col min="3" max="4" width="12.6640625" customWidth="1"/>
    <col min="5" max="5" width="5.6640625" style="72" customWidth="1"/>
    <col min="6" max="6" width="12.6640625" customWidth="1"/>
    <col min="7" max="7" width="5.6640625" style="72" customWidth="1"/>
    <col min="8" max="8" width="12.6640625" style="72" customWidth="1"/>
    <col min="9" max="9" width="12.6640625" customWidth="1"/>
    <col min="10" max="10" width="5.6640625" style="72" customWidth="1"/>
    <col min="11" max="12" width="12.6640625" customWidth="1"/>
    <col min="13" max="13" width="5.6640625" style="72" customWidth="1"/>
    <col min="14" max="14" width="12.6640625" customWidth="1"/>
  </cols>
  <sheetData>
    <row r="1" spans="1:14" ht="16.5">
      <c r="A1" s="73"/>
      <c r="B1" s="783" t="s">
        <v>601</v>
      </c>
      <c r="C1" s="783"/>
      <c r="D1" s="783"/>
      <c r="E1" s="783"/>
      <c r="F1" s="783"/>
      <c r="G1" s="783"/>
      <c r="H1" s="783"/>
      <c r="I1" s="783"/>
      <c r="J1" s="783"/>
      <c r="K1" s="783"/>
      <c r="L1" s="783"/>
      <c r="M1" s="783"/>
      <c r="N1" s="783"/>
    </row>
    <row r="2" spans="1:14" ht="15.75">
      <c r="A2" s="73"/>
      <c r="B2" s="3"/>
      <c r="C2" s="1"/>
      <c r="D2" s="1"/>
      <c r="E2" s="1"/>
      <c r="F2" s="1"/>
      <c r="G2" s="1"/>
      <c r="H2" s="1"/>
      <c r="I2" s="1"/>
      <c r="J2" s="1"/>
      <c r="K2" s="1"/>
      <c r="L2" s="1"/>
      <c r="M2" s="1"/>
      <c r="N2" s="155"/>
    </row>
    <row r="3" spans="1:14" ht="16.5">
      <c r="A3" s="73"/>
      <c r="B3" s="783" t="s">
        <v>1298</v>
      </c>
      <c r="C3" s="783"/>
      <c r="D3" s="783"/>
      <c r="E3" s="783"/>
      <c r="F3" s="783"/>
      <c r="G3" s="783"/>
      <c r="H3" s="783"/>
      <c r="I3" s="783"/>
      <c r="J3" s="783"/>
      <c r="K3" s="783"/>
      <c r="L3" s="783"/>
      <c r="M3" s="783"/>
      <c r="N3" s="783"/>
    </row>
    <row r="4" spans="1:14" ht="15.75">
      <c r="A4" s="73"/>
      <c r="B4" s="14"/>
      <c r="C4" s="14"/>
      <c r="D4" s="14"/>
      <c r="E4" s="14"/>
      <c r="F4" s="14"/>
      <c r="G4" s="14"/>
      <c r="H4" s="14"/>
      <c r="I4" s="14"/>
      <c r="J4" s="14"/>
      <c r="K4" s="14"/>
      <c r="L4" s="14"/>
      <c r="M4" s="14"/>
      <c r="N4" s="14"/>
    </row>
    <row r="5" spans="1:14" ht="15.75">
      <c r="A5" s="73"/>
      <c r="B5" s="784" t="s">
        <v>846</v>
      </c>
      <c r="C5" s="784"/>
      <c r="D5" s="784"/>
      <c r="E5" s="784"/>
      <c r="F5" s="784"/>
      <c r="G5" s="784"/>
      <c r="H5" s="784"/>
      <c r="I5" s="784"/>
      <c r="J5" s="784"/>
      <c r="K5" s="784"/>
      <c r="L5" s="784"/>
      <c r="M5" s="784"/>
      <c r="N5" s="784"/>
    </row>
    <row r="6" spans="1:14" ht="15.75">
      <c r="A6" s="73"/>
      <c r="B6" s="784" t="s">
        <v>176</v>
      </c>
      <c r="C6" s="784"/>
      <c r="D6" s="784"/>
      <c r="E6" s="784"/>
      <c r="F6" s="784"/>
      <c r="G6" s="784"/>
      <c r="H6" s="784"/>
      <c r="I6" s="784"/>
      <c r="J6" s="784"/>
      <c r="K6" s="784"/>
      <c r="L6" s="784"/>
      <c r="M6" s="784"/>
      <c r="N6" s="784"/>
    </row>
    <row r="7" spans="1:14">
      <c r="A7" s="73"/>
      <c r="B7" s="155"/>
      <c r="D7" s="81"/>
    </row>
    <row r="8" spans="1:14" ht="15" customHeight="1">
      <c r="A8" s="73"/>
      <c r="B8" s="1"/>
      <c r="C8" s="180" t="s">
        <v>99</v>
      </c>
      <c r="E8" s="176"/>
      <c r="G8" s="176"/>
      <c r="J8" s="73"/>
      <c r="K8" s="180" t="s">
        <v>100</v>
      </c>
      <c r="L8" s="181"/>
      <c r="M8" s="73"/>
      <c r="N8" s="180" t="s">
        <v>198</v>
      </c>
    </row>
    <row r="9" spans="1:14" ht="15" customHeight="1">
      <c r="A9" s="73"/>
      <c r="B9" s="1"/>
      <c r="C9" s="180" t="s">
        <v>182</v>
      </c>
      <c r="D9" s="180" t="s">
        <v>184</v>
      </c>
      <c r="E9" s="176"/>
      <c r="F9" s="14"/>
      <c r="G9" s="176"/>
      <c r="H9" s="180" t="s">
        <v>35</v>
      </c>
      <c r="I9" s="180" t="s">
        <v>24</v>
      </c>
      <c r="J9" s="73"/>
      <c r="K9" s="180" t="s">
        <v>182</v>
      </c>
      <c r="L9" s="180" t="s">
        <v>198</v>
      </c>
      <c r="M9" s="73"/>
      <c r="N9" s="180" t="s">
        <v>186</v>
      </c>
    </row>
    <row r="10" spans="1:14" ht="15" customHeight="1">
      <c r="A10" s="73"/>
      <c r="B10" s="1"/>
      <c r="C10" s="180" t="s">
        <v>183</v>
      </c>
      <c r="D10" s="180" t="s">
        <v>185</v>
      </c>
      <c r="E10" s="177" t="s">
        <v>187</v>
      </c>
      <c r="F10" s="180" t="s">
        <v>185</v>
      </c>
      <c r="G10" s="177" t="s">
        <v>187</v>
      </c>
      <c r="H10" s="180" t="s">
        <v>20</v>
      </c>
      <c r="I10" s="180" t="s">
        <v>20</v>
      </c>
      <c r="J10" s="177" t="s">
        <v>187</v>
      </c>
      <c r="K10" s="180" t="s">
        <v>183</v>
      </c>
      <c r="L10" s="180" t="s">
        <v>20</v>
      </c>
      <c r="M10" s="177" t="s">
        <v>187</v>
      </c>
      <c r="N10" s="180" t="s">
        <v>183</v>
      </c>
    </row>
    <row r="11" spans="1:14" ht="15" customHeight="1">
      <c r="A11" s="73"/>
      <c r="B11" s="22" t="s">
        <v>30</v>
      </c>
      <c r="C11" s="1"/>
      <c r="D11" s="1"/>
      <c r="E11" s="73"/>
      <c r="F11" s="1"/>
      <c r="G11" s="73"/>
      <c r="H11" s="73"/>
      <c r="I11" s="1"/>
      <c r="J11" s="73"/>
      <c r="K11" s="1"/>
      <c r="L11" s="1"/>
      <c r="M11" s="73"/>
      <c r="N11" s="1"/>
    </row>
    <row r="12" spans="1:14" ht="15.75">
      <c r="A12" s="73">
        <v>1</v>
      </c>
      <c r="B12" s="24" t="s">
        <v>455</v>
      </c>
      <c r="C12" s="182">
        <f>+'Sch 4 - 12 Months'!Q12</f>
        <v>1383735</v>
      </c>
      <c r="D12" s="182">
        <v>0</v>
      </c>
      <c r="E12" s="183"/>
      <c r="F12" s="183">
        <f>C12-D12</f>
        <v>1383735</v>
      </c>
      <c r="G12" s="183"/>
      <c r="H12" s="182"/>
      <c r="I12" s="182"/>
      <c r="J12" s="182"/>
      <c r="K12" s="182">
        <f>F12+I12+H12</f>
        <v>1383735</v>
      </c>
      <c r="L12" s="182">
        <f>+'Sch 2, pg 2 - Forecast'!L13</f>
        <v>69355.08</v>
      </c>
      <c r="M12" s="240" t="s">
        <v>574</v>
      </c>
      <c r="N12" s="182">
        <f>K12+L12</f>
        <v>1453090.08</v>
      </c>
    </row>
    <row r="13" spans="1:14" ht="15.75">
      <c r="A13" s="73">
        <v>2</v>
      </c>
      <c r="B13" s="24" t="s">
        <v>456</v>
      </c>
      <c r="C13" s="182">
        <f>+'Sch 4 - 12 Months'!Q13</f>
        <v>0</v>
      </c>
      <c r="D13" s="182">
        <f>+C13</f>
        <v>0</v>
      </c>
      <c r="E13" s="183"/>
      <c r="F13" s="183">
        <f t="shared" ref="F13:F42" si="0">C13-D13</f>
        <v>0</v>
      </c>
      <c r="G13" s="183"/>
      <c r="H13" s="182"/>
      <c r="I13" s="182"/>
      <c r="J13" s="182"/>
      <c r="K13" s="182">
        <f t="shared" ref="K13:K43" si="1">F13+I13+H13</f>
        <v>0</v>
      </c>
      <c r="L13" s="182"/>
      <c r="M13" s="240"/>
      <c r="N13" s="182">
        <f t="shared" ref="N13:N43" si="2">K13+L13</f>
        <v>0</v>
      </c>
    </row>
    <row r="14" spans="1:14" ht="15.75">
      <c r="A14" s="73">
        <v>3</v>
      </c>
      <c r="B14" s="24" t="s">
        <v>457</v>
      </c>
      <c r="C14" s="182">
        <f>+'Sch 4 - 12 Months'!Q14</f>
        <v>1036823</v>
      </c>
      <c r="D14" s="182">
        <v>0</v>
      </c>
      <c r="E14" s="183"/>
      <c r="F14" s="183">
        <f t="shared" si="0"/>
        <v>1036823</v>
      </c>
      <c r="G14" s="183"/>
      <c r="H14" s="182"/>
      <c r="I14" s="182"/>
      <c r="J14" s="182"/>
      <c r="K14" s="182">
        <f t="shared" si="1"/>
        <v>1036823</v>
      </c>
      <c r="L14" s="182">
        <f>+'Sch 2, pg 2 - Forecast'!L15</f>
        <v>59305.86</v>
      </c>
      <c r="M14" s="240" t="s">
        <v>574</v>
      </c>
      <c r="N14" s="182">
        <f t="shared" si="2"/>
        <v>1096128.8600000001</v>
      </c>
    </row>
    <row r="15" spans="1:14" ht="15.75">
      <c r="A15" s="73">
        <v>4</v>
      </c>
      <c r="B15" s="24" t="s">
        <v>458</v>
      </c>
      <c r="C15" s="182">
        <f>+'Sch 4 - 12 Months'!Q15</f>
        <v>126544</v>
      </c>
      <c r="D15" s="182">
        <f>+C15</f>
        <v>126544</v>
      </c>
      <c r="E15" s="183"/>
      <c r="F15" s="183">
        <f t="shared" si="0"/>
        <v>0</v>
      </c>
      <c r="G15" s="183"/>
      <c r="H15" s="182"/>
      <c r="I15" s="182"/>
      <c r="J15" s="182"/>
      <c r="K15" s="182">
        <f t="shared" si="1"/>
        <v>0</v>
      </c>
      <c r="L15" s="182"/>
      <c r="M15" s="240"/>
      <c r="N15" s="182">
        <f t="shared" si="2"/>
        <v>0</v>
      </c>
    </row>
    <row r="16" spans="1:14" ht="15.75">
      <c r="A16" s="73">
        <v>5</v>
      </c>
      <c r="B16" s="24" t="s">
        <v>459</v>
      </c>
      <c r="C16" s="182">
        <f>+'Sch 4 - 12 Months'!Q16</f>
        <v>232043</v>
      </c>
      <c r="D16" s="182">
        <v>0</v>
      </c>
      <c r="E16" s="183"/>
      <c r="F16" s="183">
        <f t="shared" si="0"/>
        <v>232043</v>
      </c>
      <c r="G16" s="183"/>
      <c r="H16" s="182"/>
      <c r="I16" s="182"/>
      <c r="J16" s="182"/>
      <c r="K16" s="182">
        <f t="shared" si="1"/>
        <v>232043</v>
      </c>
      <c r="L16" s="182"/>
      <c r="M16" s="240"/>
      <c r="N16" s="182">
        <f t="shared" si="2"/>
        <v>232043</v>
      </c>
    </row>
    <row r="17" spans="1:14" ht="15.75">
      <c r="A17" s="73">
        <v>6</v>
      </c>
      <c r="B17" s="24" t="s">
        <v>460</v>
      </c>
      <c r="C17" s="182">
        <f>+'Sch 4 - 12 Months'!Q17</f>
        <v>0</v>
      </c>
      <c r="D17" s="182">
        <f>+C17</f>
        <v>0</v>
      </c>
      <c r="E17" s="183"/>
      <c r="F17" s="183">
        <f t="shared" si="0"/>
        <v>0</v>
      </c>
      <c r="G17" s="183"/>
      <c r="H17" s="182"/>
      <c r="I17" s="182"/>
      <c r="J17" s="182"/>
      <c r="K17" s="182">
        <f t="shared" si="1"/>
        <v>0</v>
      </c>
      <c r="L17" s="182"/>
      <c r="M17" s="240"/>
      <c r="N17" s="182">
        <f t="shared" si="2"/>
        <v>0</v>
      </c>
    </row>
    <row r="18" spans="1:14" ht="15.75">
      <c r="A18" s="73">
        <v>7</v>
      </c>
      <c r="B18" s="24" t="s">
        <v>461</v>
      </c>
      <c r="C18" s="182">
        <f>+'Sch 4 - 12 Months'!Q18++'Sch 4 - 12 Months'!Q19</f>
        <v>206784</v>
      </c>
      <c r="D18" s="182">
        <v>0</v>
      </c>
      <c r="E18" s="183"/>
      <c r="F18" s="183">
        <f t="shared" si="0"/>
        <v>206784</v>
      </c>
      <c r="G18" s="183"/>
      <c r="H18" s="182"/>
      <c r="I18" s="182"/>
      <c r="J18" s="182"/>
      <c r="K18" s="182">
        <f t="shared" si="1"/>
        <v>206784</v>
      </c>
      <c r="L18" s="182">
        <f>+'Sch 2, pg 2 - Forecast'!H19</f>
        <v>87261.89949066221</v>
      </c>
      <c r="M18" s="240" t="s">
        <v>51</v>
      </c>
      <c r="N18" s="182">
        <f t="shared" si="2"/>
        <v>294045.89949066221</v>
      </c>
    </row>
    <row r="19" spans="1:14" ht="15.75">
      <c r="A19" s="73">
        <v>8</v>
      </c>
      <c r="B19" s="24" t="s">
        <v>462</v>
      </c>
      <c r="C19" s="182">
        <v>0</v>
      </c>
      <c r="D19" s="182">
        <f>+C19</f>
        <v>0</v>
      </c>
      <c r="E19" s="183"/>
      <c r="F19" s="183">
        <f t="shared" si="0"/>
        <v>0</v>
      </c>
      <c r="G19" s="183"/>
      <c r="H19" s="182"/>
      <c r="I19" s="182"/>
      <c r="J19" s="182"/>
      <c r="K19" s="182">
        <f t="shared" si="1"/>
        <v>0</v>
      </c>
      <c r="L19" s="182"/>
      <c r="M19" s="182"/>
      <c r="N19" s="182">
        <f t="shared" si="2"/>
        <v>0</v>
      </c>
    </row>
    <row r="20" spans="1:14" ht="15.75">
      <c r="A20" s="73">
        <v>9</v>
      </c>
      <c r="B20" s="24" t="s">
        <v>463</v>
      </c>
      <c r="C20" s="182">
        <v>0</v>
      </c>
      <c r="D20" s="182">
        <v>0</v>
      </c>
      <c r="E20" s="183"/>
      <c r="F20" s="183">
        <f t="shared" si="0"/>
        <v>0</v>
      </c>
      <c r="G20" s="183"/>
      <c r="H20" s="182"/>
      <c r="I20" s="182"/>
      <c r="J20" s="182"/>
      <c r="K20" s="182">
        <f t="shared" si="1"/>
        <v>0</v>
      </c>
      <c r="L20" s="182"/>
      <c r="M20" s="182"/>
      <c r="N20" s="182">
        <f t="shared" si="2"/>
        <v>0</v>
      </c>
    </row>
    <row r="21" spans="1:14" ht="15.75">
      <c r="A21" s="73">
        <v>10</v>
      </c>
      <c r="B21" s="24" t="s">
        <v>464</v>
      </c>
      <c r="C21" s="182">
        <f>+'Sch 4 - 12 Months'!Q21</f>
        <v>0</v>
      </c>
      <c r="D21" s="182">
        <f>+C21</f>
        <v>0</v>
      </c>
      <c r="E21" s="183"/>
      <c r="F21" s="183">
        <f>C21-D21</f>
        <v>0</v>
      </c>
      <c r="G21" s="183"/>
      <c r="H21" s="182"/>
      <c r="I21" s="182"/>
      <c r="J21" s="182"/>
      <c r="K21" s="182">
        <f>F21+I21+H21</f>
        <v>0</v>
      </c>
      <c r="L21" s="182"/>
      <c r="M21" s="182"/>
      <c r="N21" s="182">
        <f>K21+L21</f>
        <v>0</v>
      </c>
    </row>
    <row r="22" spans="1:14" ht="15.75">
      <c r="A22" s="73">
        <v>11</v>
      </c>
      <c r="B22" s="24" t="s">
        <v>969</v>
      </c>
      <c r="C22" s="182">
        <f>+'Sch 4 - 12 Months'!Q22</f>
        <v>362464</v>
      </c>
      <c r="D22" s="182">
        <f>+C22</f>
        <v>362464</v>
      </c>
      <c r="E22" s="182"/>
      <c r="F22" s="182">
        <f t="shared" ref="F22:F23" si="3">C22-D22</f>
        <v>0</v>
      </c>
      <c r="G22" s="182"/>
      <c r="H22" s="182"/>
      <c r="I22" s="182"/>
      <c r="J22" s="182"/>
      <c r="K22" s="182">
        <f t="shared" ref="K22:K23" si="4">F22+I22+H22</f>
        <v>0</v>
      </c>
      <c r="L22" s="182"/>
      <c r="M22" s="182"/>
      <c r="N22" s="182">
        <f t="shared" ref="N22:N23" si="5">K22+L22</f>
        <v>0</v>
      </c>
    </row>
    <row r="23" spans="1:14" ht="15.75">
      <c r="A23" s="73">
        <v>12</v>
      </c>
      <c r="B23" s="24" t="s">
        <v>974</v>
      </c>
      <c r="C23" s="182">
        <f>+'Sch 4 - 12 Months'!Q23</f>
        <v>159711</v>
      </c>
      <c r="D23" s="182">
        <v>0</v>
      </c>
      <c r="E23" s="182"/>
      <c r="F23" s="182">
        <f t="shared" si="3"/>
        <v>159711</v>
      </c>
      <c r="G23" s="182"/>
      <c r="H23" s="182"/>
      <c r="I23" s="182"/>
      <c r="J23" s="182"/>
      <c r="K23" s="182">
        <f t="shared" si="4"/>
        <v>159711</v>
      </c>
      <c r="L23" s="182"/>
      <c r="M23" s="182"/>
      <c r="N23" s="182">
        <f t="shared" si="5"/>
        <v>159711</v>
      </c>
    </row>
    <row r="24" spans="1:14" ht="15.75">
      <c r="A24" s="73">
        <v>13</v>
      </c>
      <c r="B24" s="24" t="s">
        <v>465</v>
      </c>
      <c r="C24" s="182">
        <f>+'Sch 4 - 12 Months'!Q24</f>
        <v>580830</v>
      </c>
      <c r="D24" s="182">
        <v>0</v>
      </c>
      <c r="E24" s="182"/>
      <c r="F24" s="182">
        <f t="shared" si="0"/>
        <v>580830</v>
      </c>
      <c r="G24" s="182"/>
      <c r="H24" s="182"/>
      <c r="I24" s="182"/>
      <c r="J24" s="182"/>
      <c r="K24" s="182">
        <f t="shared" si="1"/>
        <v>580830</v>
      </c>
      <c r="L24" s="182"/>
      <c r="M24" s="182"/>
      <c r="N24" s="182">
        <f t="shared" si="2"/>
        <v>580830</v>
      </c>
    </row>
    <row r="25" spans="1:14" ht="15.75">
      <c r="A25" s="73">
        <v>14</v>
      </c>
      <c r="B25" s="24" t="s">
        <v>466</v>
      </c>
      <c r="C25" s="182">
        <f>+'Sch 4 - 12 Months'!Q25</f>
        <v>443461</v>
      </c>
      <c r="D25" s="182">
        <f>+C25</f>
        <v>443461</v>
      </c>
      <c r="E25" s="182"/>
      <c r="F25" s="182">
        <f t="shared" si="0"/>
        <v>0</v>
      </c>
      <c r="G25" s="182"/>
      <c r="H25" s="182"/>
      <c r="I25" s="182"/>
      <c r="J25" s="182"/>
      <c r="K25" s="182">
        <f t="shared" si="1"/>
        <v>0</v>
      </c>
      <c r="L25" s="182"/>
      <c r="M25" s="182"/>
      <c r="N25" s="182">
        <f t="shared" si="2"/>
        <v>0</v>
      </c>
    </row>
    <row r="26" spans="1:14" ht="15.75">
      <c r="A26" s="73">
        <v>15</v>
      </c>
      <c r="B26" s="24" t="s">
        <v>545</v>
      </c>
      <c r="C26" s="182">
        <f>+'Sch 4 - 12 Months'!Q26</f>
        <v>0</v>
      </c>
      <c r="D26" s="182"/>
      <c r="E26" s="182"/>
      <c r="F26" s="182">
        <f t="shared" si="0"/>
        <v>0</v>
      </c>
      <c r="G26" s="182"/>
      <c r="H26" s="182"/>
      <c r="I26" s="182"/>
      <c r="J26" s="182"/>
      <c r="K26" s="182">
        <f t="shared" si="1"/>
        <v>0</v>
      </c>
      <c r="L26" s="182"/>
      <c r="M26" s="182"/>
      <c r="N26" s="182">
        <f t="shared" si="2"/>
        <v>0</v>
      </c>
    </row>
    <row r="27" spans="1:14" ht="15.75">
      <c r="A27" s="73">
        <v>16</v>
      </c>
      <c r="B27" s="24" t="s">
        <v>467</v>
      </c>
      <c r="C27" s="182">
        <f>+'Sch 4 - 12 Months'!Q27</f>
        <v>78985</v>
      </c>
      <c r="D27" s="182">
        <v>0</v>
      </c>
      <c r="E27" s="182"/>
      <c r="F27" s="182">
        <f t="shared" si="0"/>
        <v>78985</v>
      </c>
      <c r="G27" s="182"/>
      <c r="H27" s="182"/>
      <c r="I27" s="182"/>
      <c r="J27" s="182"/>
      <c r="K27" s="182">
        <f t="shared" si="1"/>
        <v>78985</v>
      </c>
      <c r="L27" s="182"/>
      <c r="M27" s="182"/>
      <c r="N27" s="182">
        <f t="shared" si="2"/>
        <v>78985</v>
      </c>
    </row>
    <row r="28" spans="1:14" ht="15.75">
      <c r="A28" s="73">
        <v>17</v>
      </c>
      <c r="B28" s="24" t="s">
        <v>546</v>
      </c>
      <c r="C28" s="182">
        <f>+'Sch 4 - 12 Months'!Q28</f>
        <v>0</v>
      </c>
      <c r="D28" s="182"/>
      <c r="E28" s="182"/>
      <c r="F28" s="182">
        <f t="shared" si="0"/>
        <v>0</v>
      </c>
      <c r="G28" s="182"/>
      <c r="H28" s="182"/>
      <c r="I28" s="182"/>
      <c r="J28" s="182"/>
      <c r="K28" s="182">
        <f t="shared" si="1"/>
        <v>0</v>
      </c>
      <c r="L28" s="182"/>
      <c r="M28" s="182"/>
      <c r="N28" s="182">
        <f t="shared" si="2"/>
        <v>0</v>
      </c>
    </row>
    <row r="29" spans="1:14" ht="15.75">
      <c r="A29" s="73">
        <v>18</v>
      </c>
      <c r="B29" s="24" t="s">
        <v>468</v>
      </c>
      <c r="C29" s="182">
        <f>+'Sch 4 - 12 Months'!Q29</f>
        <v>76564</v>
      </c>
      <c r="D29" s="182">
        <f>+C29</f>
        <v>76564</v>
      </c>
      <c r="E29" s="182"/>
      <c r="F29" s="182">
        <f t="shared" si="0"/>
        <v>0</v>
      </c>
      <c r="G29" s="182"/>
      <c r="H29" s="182"/>
      <c r="I29" s="182"/>
      <c r="J29" s="182"/>
      <c r="K29" s="182">
        <f t="shared" si="1"/>
        <v>0</v>
      </c>
      <c r="L29" s="182"/>
      <c r="M29" s="182"/>
      <c r="N29" s="182">
        <f t="shared" si="2"/>
        <v>0</v>
      </c>
    </row>
    <row r="30" spans="1:14" ht="15.75">
      <c r="A30" s="73">
        <v>19</v>
      </c>
      <c r="B30" s="24" t="s">
        <v>469</v>
      </c>
      <c r="C30" s="182">
        <f>+'Sch 4 - 12 Months'!Q28</f>
        <v>0</v>
      </c>
      <c r="D30" s="182">
        <v>0</v>
      </c>
      <c r="E30" s="182"/>
      <c r="F30" s="182">
        <f t="shared" si="0"/>
        <v>0</v>
      </c>
      <c r="G30" s="182"/>
      <c r="H30" s="182"/>
      <c r="I30" s="182"/>
      <c r="J30" s="182"/>
      <c r="K30" s="182">
        <f t="shared" si="1"/>
        <v>0</v>
      </c>
      <c r="L30" s="182"/>
      <c r="M30" s="182"/>
      <c r="N30" s="182">
        <f t="shared" si="2"/>
        <v>0</v>
      </c>
    </row>
    <row r="31" spans="1:14" ht="15.75">
      <c r="A31" s="73">
        <v>20</v>
      </c>
      <c r="B31" s="24" t="s">
        <v>470</v>
      </c>
      <c r="C31" s="182">
        <f>+'Sch 4 - 12 Months'!Q31</f>
        <v>2628</v>
      </c>
      <c r="D31" s="182">
        <f>+C31</f>
        <v>2628</v>
      </c>
      <c r="E31" s="182"/>
      <c r="F31" s="182">
        <f t="shared" si="0"/>
        <v>0</v>
      </c>
      <c r="G31" s="182"/>
      <c r="H31" s="182"/>
      <c r="I31" s="182"/>
      <c r="J31" s="182"/>
      <c r="K31" s="182">
        <f t="shared" si="1"/>
        <v>0</v>
      </c>
      <c r="L31" s="182"/>
      <c r="M31" s="182"/>
      <c r="N31" s="182">
        <f t="shared" si="2"/>
        <v>0</v>
      </c>
    </row>
    <row r="32" spans="1:14" ht="15.75">
      <c r="A32" s="73">
        <v>21</v>
      </c>
      <c r="B32" s="24" t="s">
        <v>471</v>
      </c>
      <c r="C32" s="182">
        <f>+'Sch 4 - 12 Months'!Q32</f>
        <v>309975</v>
      </c>
      <c r="D32" s="182">
        <v>0</v>
      </c>
      <c r="E32" s="182"/>
      <c r="F32" s="182">
        <f t="shared" si="0"/>
        <v>309975</v>
      </c>
      <c r="G32" s="182"/>
      <c r="H32" s="182"/>
      <c r="I32" s="182"/>
      <c r="J32" s="182"/>
      <c r="K32" s="182">
        <f t="shared" si="1"/>
        <v>309975</v>
      </c>
      <c r="L32" s="182"/>
      <c r="M32" s="182"/>
      <c r="N32" s="182">
        <f t="shared" si="2"/>
        <v>309975</v>
      </c>
    </row>
    <row r="33" spans="1:14" ht="15.75">
      <c r="A33" s="73">
        <v>22</v>
      </c>
      <c r="B33" s="24" t="s">
        <v>472</v>
      </c>
      <c r="C33" s="182">
        <v>0</v>
      </c>
      <c r="D33" s="182">
        <f>+C33</f>
        <v>0</v>
      </c>
      <c r="E33" s="182"/>
      <c r="F33" s="182">
        <f t="shared" si="0"/>
        <v>0</v>
      </c>
      <c r="G33" s="182"/>
      <c r="H33" s="182"/>
      <c r="I33" s="182"/>
      <c r="J33" s="182"/>
      <c r="K33" s="182">
        <f t="shared" si="1"/>
        <v>0</v>
      </c>
      <c r="L33" s="182"/>
      <c r="M33" s="182"/>
      <c r="N33" s="182">
        <f t="shared" si="2"/>
        <v>0</v>
      </c>
    </row>
    <row r="34" spans="1:14" ht="15.75">
      <c r="A34" s="73">
        <v>23</v>
      </c>
      <c r="B34" s="24" t="s">
        <v>496</v>
      </c>
      <c r="C34" s="182">
        <f>+'Sch 4 - 12 Months'!Q34</f>
        <v>514860</v>
      </c>
      <c r="D34" s="182">
        <v>0</v>
      </c>
      <c r="E34" s="182"/>
      <c r="F34" s="182">
        <f t="shared" si="0"/>
        <v>514860</v>
      </c>
      <c r="G34" s="182"/>
      <c r="H34" s="182"/>
      <c r="I34" s="182"/>
      <c r="J34" s="182"/>
      <c r="K34" s="182">
        <f t="shared" si="1"/>
        <v>514860</v>
      </c>
      <c r="L34" s="182"/>
      <c r="M34" s="182"/>
      <c r="N34" s="182">
        <f t="shared" si="2"/>
        <v>514860</v>
      </c>
    </row>
    <row r="35" spans="1:14" ht="15.75">
      <c r="A35" s="73">
        <v>24</v>
      </c>
      <c r="B35" s="24" t="s">
        <v>474</v>
      </c>
      <c r="C35" s="182">
        <f>+'Sch 4 - 12 Months'!Q35</f>
        <v>183384</v>
      </c>
      <c r="D35" s="182">
        <f>+C35</f>
        <v>183384</v>
      </c>
      <c r="E35" s="182"/>
      <c r="F35" s="182">
        <f t="shared" si="0"/>
        <v>0</v>
      </c>
      <c r="G35" s="182"/>
      <c r="H35" s="182"/>
      <c r="I35" s="182"/>
      <c r="J35" s="182"/>
      <c r="K35" s="182">
        <f t="shared" si="1"/>
        <v>0</v>
      </c>
      <c r="L35" s="182"/>
      <c r="M35" s="182"/>
      <c r="N35" s="182">
        <f t="shared" si="2"/>
        <v>0</v>
      </c>
    </row>
    <row r="36" spans="1:14" ht="15.75">
      <c r="A36" s="73">
        <v>25</v>
      </c>
      <c r="B36" s="24" t="s">
        <v>475</v>
      </c>
      <c r="C36" s="182">
        <v>0</v>
      </c>
      <c r="D36" s="182">
        <v>0</v>
      </c>
      <c r="E36" s="182"/>
      <c r="F36" s="182">
        <f t="shared" si="0"/>
        <v>0</v>
      </c>
      <c r="G36" s="182"/>
      <c r="H36" s="182"/>
      <c r="I36" s="182"/>
      <c r="J36" s="182"/>
      <c r="K36" s="182">
        <f t="shared" si="1"/>
        <v>0</v>
      </c>
      <c r="L36" s="182"/>
      <c r="M36" s="182"/>
      <c r="N36" s="182">
        <f t="shared" si="2"/>
        <v>0</v>
      </c>
    </row>
    <row r="37" spans="1:14" ht="15.75">
      <c r="A37" s="73">
        <v>26</v>
      </c>
      <c r="B37" s="24" t="s">
        <v>476</v>
      </c>
      <c r="C37" s="182">
        <v>0</v>
      </c>
      <c r="D37" s="182">
        <f>+C37</f>
        <v>0</v>
      </c>
      <c r="E37" s="182"/>
      <c r="F37" s="182">
        <f t="shared" si="0"/>
        <v>0</v>
      </c>
      <c r="G37" s="182"/>
      <c r="H37" s="182"/>
      <c r="I37" s="182"/>
      <c r="J37" s="182"/>
      <c r="K37" s="182">
        <f t="shared" si="1"/>
        <v>0</v>
      </c>
      <c r="L37" s="182"/>
      <c r="M37" s="182"/>
      <c r="N37" s="182">
        <f t="shared" si="2"/>
        <v>0</v>
      </c>
    </row>
    <row r="38" spans="1:14" ht="15.75">
      <c r="A38" s="73">
        <v>27</v>
      </c>
      <c r="B38" s="24" t="s">
        <v>477</v>
      </c>
      <c r="C38" s="182">
        <v>0</v>
      </c>
      <c r="D38" s="182">
        <v>0</v>
      </c>
      <c r="E38" s="182"/>
      <c r="F38" s="182">
        <f t="shared" si="0"/>
        <v>0</v>
      </c>
      <c r="G38" s="182"/>
      <c r="H38" s="182"/>
      <c r="I38" s="182"/>
      <c r="J38" s="182"/>
      <c r="K38" s="182">
        <f t="shared" si="1"/>
        <v>0</v>
      </c>
      <c r="L38" s="182"/>
      <c r="M38" s="182"/>
      <c r="N38" s="182">
        <f t="shared" si="2"/>
        <v>0</v>
      </c>
    </row>
    <row r="39" spans="1:14" ht="15.75">
      <c r="A39" s="73">
        <v>28</v>
      </c>
      <c r="B39" s="24" t="s">
        <v>971</v>
      </c>
      <c r="C39" s="182">
        <f>+'Sch 4 - 12 Months'!Q40</f>
        <v>36420</v>
      </c>
      <c r="D39" s="182">
        <f>+C39</f>
        <v>36420</v>
      </c>
      <c r="E39" s="182"/>
      <c r="F39" s="182">
        <f t="shared" si="0"/>
        <v>0</v>
      </c>
      <c r="G39" s="182"/>
      <c r="H39" s="182"/>
      <c r="I39" s="182"/>
      <c r="J39" s="182"/>
      <c r="K39" s="182">
        <f t="shared" si="1"/>
        <v>0</v>
      </c>
      <c r="L39" s="182"/>
      <c r="M39" s="182"/>
      <c r="N39" s="182">
        <f t="shared" si="2"/>
        <v>0</v>
      </c>
    </row>
    <row r="40" spans="1:14" ht="15.75">
      <c r="A40" s="73">
        <v>29</v>
      </c>
      <c r="B40" s="24" t="s">
        <v>972</v>
      </c>
      <c r="C40" s="182">
        <f>+'Sch 4 - 12 Months'!Q41</f>
        <v>226347</v>
      </c>
      <c r="D40" s="182">
        <f>+C40</f>
        <v>226347</v>
      </c>
      <c r="E40" s="182"/>
      <c r="F40" s="182">
        <f t="shared" si="0"/>
        <v>0</v>
      </c>
      <c r="G40" s="182"/>
      <c r="H40" s="182"/>
      <c r="I40" s="182"/>
      <c r="J40" s="182"/>
      <c r="K40" s="182">
        <f t="shared" si="1"/>
        <v>0</v>
      </c>
      <c r="L40" s="182"/>
      <c r="M40" s="182"/>
      <c r="N40" s="182">
        <f t="shared" si="2"/>
        <v>0</v>
      </c>
    </row>
    <row r="41" spans="1:14" ht="15.75">
      <c r="A41" s="73">
        <v>30</v>
      </c>
      <c r="B41" s="24" t="s">
        <v>973</v>
      </c>
      <c r="C41" s="182">
        <f>+'Sch 4 - 12 Months'!Q42</f>
        <v>358958</v>
      </c>
      <c r="D41" s="182">
        <f>+C41</f>
        <v>358958</v>
      </c>
      <c r="E41" s="182"/>
      <c r="F41" s="182">
        <f t="shared" si="0"/>
        <v>0</v>
      </c>
      <c r="G41" s="182"/>
      <c r="H41" s="182"/>
      <c r="I41" s="182"/>
      <c r="J41" s="182"/>
      <c r="K41" s="182">
        <f t="shared" si="1"/>
        <v>0</v>
      </c>
      <c r="L41" s="182"/>
      <c r="M41" s="182"/>
      <c r="N41" s="182">
        <f t="shared" si="2"/>
        <v>0</v>
      </c>
    </row>
    <row r="42" spans="1:14" ht="15.75">
      <c r="A42" s="73">
        <v>31</v>
      </c>
      <c r="B42" s="24" t="s">
        <v>478</v>
      </c>
      <c r="C42" s="182">
        <f>+'Sch 4 - 12 Months'!Q39</f>
        <v>0</v>
      </c>
      <c r="D42" s="182">
        <f>+C42</f>
        <v>0</v>
      </c>
      <c r="E42" s="182"/>
      <c r="F42" s="182">
        <f t="shared" si="0"/>
        <v>0</v>
      </c>
      <c r="G42" s="182"/>
      <c r="H42" s="182"/>
      <c r="I42" s="182"/>
      <c r="J42" s="182"/>
      <c r="K42" s="182">
        <f t="shared" si="1"/>
        <v>0</v>
      </c>
      <c r="L42" s="182"/>
      <c r="M42" s="182"/>
      <c r="N42" s="182">
        <f t="shared" si="2"/>
        <v>0</v>
      </c>
    </row>
    <row r="43" spans="1:14" ht="15.75">
      <c r="A43" s="73">
        <v>32</v>
      </c>
      <c r="B43" s="24" t="s">
        <v>1012</v>
      </c>
      <c r="C43" s="182">
        <f>+'Sch 4 - 12 Months'!N58+'Sch 4 - 12 Months'!N57</f>
        <v>33306.81</v>
      </c>
      <c r="D43" s="182">
        <f>+C43</f>
        <v>33306.81</v>
      </c>
      <c r="E43" s="182"/>
      <c r="F43" s="182">
        <f>C43-D43</f>
        <v>0</v>
      </c>
      <c r="G43" s="182"/>
      <c r="H43" s="182"/>
      <c r="I43" s="182"/>
      <c r="J43" s="182"/>
      <c r="K43" s="182">
        <f t="shared" si="1"/>
        <v>0</v>
      </c>
      <c r="L43" s="182"/>
      <c r="M43" s="182"/>
      <c r="N43" s="182">
        <f t="shared" si="2"/>
        <v>0</v>
      </c>
    </row>
    <row r="44" spans="1:14" ht="15.75">
      <c r="A44" s="73"/>
      <c r="B44" s="24"/>
      <c r="C44" s="182"/>
      <c r="D44" s="182"/>
      <c r="E44" s="182"/>
      <c r="F44" s="182"/>
      <c r="G44" s="182"/>
      <c r="H44" s="182"/>
      <c r="I44" s="182"/>
      <c r="J44" s="182"/>
      <c r="K44" s="182"/>
      <c r="L44" s="182"/>
      <c r="M44" s="182"/>
      <c r="N44" s="182"/>
    </row>
    <row r="45" spans="1:14">
      <c r="A45" s="73"/>
      <c r="B45" s="74" t="s">
        <v>188</v>
      </c>
      <c r="C45" s="184">
        <f>SUM(C12:C43)</f>
        <v>6353822.8099999996</v>
      </c>
      <c r="D45" s="184">
        <f>SUM(D12:D43)</f>
        <v>1850076.81</v>
      </c>
      <c r="E45" s="184"/>
      <c r="F45" s="184">
        <f>SUM(F12:F43)</f>
        <v>4503746</v>
      </c>
      <c r="G45" s="185"/>
      <c r="H45" s="184">
        <f>SUM(H12:H42)</f>
        <v>0</v>
      </c>
      <c r="I45" s="184">
        <f>SUM(I12:I42)</f>
        <v>0</v>
      </c>
      <c r="J45" s="185"/>
      <c r="K45" s="185">
        <f>SUM(K12:K43)</f>
        <v>4503746</v>
      </c>
      <c r="L45" s="185">
        <f>SUM(L12:L42)</f>
        <v>215922.83949066221</v>
      </c>
      <c r="M45" s="185"/>
      <c r="N45" s="185">
        <f>SUM(N12:N43)</f>
        <v>4719668.8394906633</v>
      </c>
    </row>
    <row r="46" spans="1:14" ht="15.75">
      <c r="A46" s="73"/>
      <c r="B46" s="75"/>
      <c r="C46" s="182"/>
      <c r="D46" s="182"/>
      <c r="E46" s="183"/>
      <c r="F46" s="183"/>
      <c r="G46" s="183"/>
      <c r="H46" s="183"/>
      <c r="I46" s="23"/>
      <c r="J46" s="183"/>
      <c r="K46" s="183"/>
      <c r="L46" s="183"/>
      <c r="M46" s="183"/>
      <c r="N46" s="183"/>
    </row>
    <row r="47" spans="1:14" ht="15.75">
      <c r="A47" s="73"/>
      <c r="B47" s="22" t="s">
        <v>17</v>
      </c>
      <c r="C47" s="182"/>
      <c r="D47" s="186"/>
      <c r="E47" s="186"/>
      <c r="F47" s="186"/>
      <c r="G47" s="182"/>
      <c r="H47" s="182"/>
      <c r="I47" s="182"/>
      <c r="J47" s="183"/>
      <c r="K47" s="183"/>
      <c r="L47" s="183"/>
      <c r="M47" s="183"/>
      <c r="N47" s="183"/>
    </row>
    <row r="48" spans="1:14" ht="15.75">
      <c r="A48" s="73">
        <v>33</v>
      </c>
      <c r="B48" s="24" t="s">
        <v>619</v>
      </c>
      <c r="C48" s="182">
        <f>+'Sch 4 - 12 Months'!Q64</f>
        <v>262528.82</v>
      </c>
      <c r="D48" s="182">
        <f>+C48*'WP-11 - Non-Regulated'!$N$56</f>
        <v>33535.034641258644</v>
      </c>
      <c r="E48" s="186"/>
      <c r="F48" s="182">
        <f t="shared" ref="F48:F111" si="6">+C48-D48</f>
        <v>228993.78535874136</v>
      </c>
      <c r="G48" s="182"/>
      <c r="H48" s="182"/>
      <c r="I48" s="182"/>
      <c r="J48" s="182"/>
      <c r="K48" s="182">
        <f>F48+I48+H48</f>
        <v>228993.78535874136</v>
      </c>
      <c r="L48" s="182"/>
      <c r="M48" s="182"/>
      <c r="N48" s="182">
        <f>K48+L48</f>
        <v>228993.78535874136</v>
      </c>
    </row>
    <row r="49" spans="1:14" ht="15.75">
      <c r="A49" s="73">
        <v>34</v>
      </c>
      <c r="B49" s="24" t="s">
        <v>620</v>
      </c>
      <c r="C49" s="182">
        <f>+'Sch 4 - 12 Months'!Q65</f>
        <v>5725.6100000000015</v>
      </c>
      <c r="D49" s="182">
        <f>+C49*'WP-11 - Non-Regulated'!$N$56</f>
        <v>731.38076685194767</v>
      </c>
      <c r="E49" s="187"/>
      <c r="F49" s="182">
        <f t="shared" si="6"/>
        <v>4994.2292331480539</v>
      </c>
      <c r="G49" s="182"/>
      <c r="H49" s="182"/>
      <c r="I49" s="182"/>
      <c r="J49" s="182"/>
      <c r="K49" s="182">
        <f>F49+I49+H49</f>
        <v>4994.2292331480539</v>
      </c>
      <c r="L49" s="182"/>
      <c r="M49" s="182"/>
      <c r="N49" s="182">
        <f>K49+L49</f>
        <v>4994.2292331480539</v>
      </c>
    </row>
    <row r="50" spans="1:14" ht="15.75">
      <c r="A50" s="73">
        <v>35</v>
      </c>
      <c r="B50" s="24" t="s">
        <v>14</v>
      </c>
      <c r="C50" s="182">
        <f>+'Sch 4 - 12 Months'!Q66</f>
        <v>8084.1</v>
      </c>
      <c r="D50" s="182">
        <f>+C50*'WP-10 - Disposal'!$P$47</f>
        <v>1072.0337992583673</v>
      </c>
      <c r="E50" s="187"/>
      <c r="F50" s="182">
        <f t="shared" si="6"/>
        <v>7012.0662007416331</v>
      </c>
      <c r="G50" s="182"/>
      <c r="H50" s="182"/>
      <c r="I50" s="182"/>
      <c r="J50" s="182"/>
      <c r="K50" s="182">
        <f>F50+I50+H50</f>
        <v>7012.0662007416331</v>
      </c>
      <c r="L50" s="182"/>
      <c r="M50" s="182"/>
      <c r="N50" s="182">
        <f>K50+L50</f>
        <v>7012.0662007416331</v>
      </c>
    </row>
    <row r="51" spans="1:14" ht="15.75">
      <c r="A51" s="73">
        <v>36</v>
      </c>
      <c r="B51" s="24" t="s">
        <v>222</v>
      </c>
      <c r="C51" s="182">
        <f>+'Sch 4 - 12 Months'!Q67</f>
        <v>41167.31</v>
      </c>
      <c r="D51" s="182">
        <f>+C51*'WP-10 - Disposal'!$P$47</f>
        <v>5459.2035903250789</v>
      </c>
      <c r="E51" s="187"/>
      <c r="F51" s="182">
        <f t="shared" si="6"/>
        <v>35708.106409674918</v>
      </c>
      <c r="G51" s="182"/>
      <c r="H51" s="182"/>
      <c r="I51" s="182"/>
      <c r="J51" s="182"/>
      <c r="K51" s="182">
        <f t="shared" ref="K51:K119" si="7">F51+I51+H51</f>
        <v>35708.106409674918</v>
      </c>
      <c r="L51" s="182"/>
      <c r="M51" s="182"/>
      <c r="N51" s="182">
        <f t="shared" ref="N51:N119" si="8">K51+L51</f>
        <v>35708.106409674918</v>
      </c>
    </row>
    <row r="52" spans="1:14" ht="15.75">
      <c r="A52" s="73">
        <v>37</v>
      </c>
      <c r="B52" s="24" t="s">
        <v>223</v>
      </c>
      <c r="C52" s="182">
        <f>+'Sch 4 - 12 Months'!Q68</f>
        <v>7421.51</v>
      </c>
      <c r="D52" s="182">
        <v>0</v>
      </c>
      <c r="E52" s="187"/>
      <c r="F52" s="182">
        <f t="shared" si="6"/>
        <v>7421.51</v>
      </c>
      <c r="G52" s="182"/>
      <c r="H52" s="182"/>
      <c r="I52" s="182"/>
      <c r="J52" s="182"/>
      <c r="K52" s="182">
        <f t="shared" si="7"/>
        <v>7421.51</v>
      </c>
      <c r="L52" s="182"/>
      <c r="M52" s="182"/>
      <c r="N52" s="182">
        <f t="shared" si="8"/>
        <v>7421.51</v>
      </c>
    </row>
    <row r="53" spans="1:14" ht="15.75">
      <c r="A53" s="73">
        <v>38</v>
      </c>
      <c r="B53" s="24" t="s">
        <v>224</v>
      </c>
      <c r="C53" s="182">
        <f>+'Sch 4 - 12 Months'!Q69</f>
        <v>58910.970000000008</v>
      </c>
      <c r="D53" s="182">
        <f>+C53*'WP-10 - Disposal'!$P$47</f>
        <v>7812.1931924513192</v>
      </c>
      <c r="E53" s="187"/>
      <c r="F53" s="182">
        <f t="shared" si="6"/>
        <v>51098.776807548689</v>
      </c>
      <c r="G53" s="182"/>
      <c r="H53" s="182"/>
      <c r="I53" s="182"/>
      <c r="J53" s="182"/>
      <c r="K53" s="182">
        <f t="shared" si="7"/>
        <v>51098.776807548689</v>
      </c>
      <c r="L53" s="182"/>
      <c r="M53" s="182"/>
      <c r="N53" s="182">
        <f t="shared" si="8"/>
        <v>51098.776807548689</v>
      </c>
    </row>
    <row r="54" spans="1:14" ht="15.75">
      <c r="A54" s="73">
        <v>39</v>
      </c>
      <c r="B54" s="24" t="s">
        <v>225</v>
      </c>
      <c r="C54" s="182">
        <f>+'Sch 4 - 12 Months'!Q70</f>
        <v>54909.49</v>
      </c>
      <c r="D54" s="182">
        <f>+C54*'WP-10 - Disposal'!$P$47</f>
        <v>7281.5562870374342</v>
      </c>
      <c r="E54" s="187"/>
      <c r="F54" s="182">
        <f t="shared" si="6"/>
        <v>47627.933712962564</v>
      </c>
      <c r="G54" s="182"/>
      <c r="H54" s="182"/>
      <c r="I54" s="182"/>
      <c r="J54" s="182"/>
      <c r="K54" s="182">
        <f t="shared" si="7"/>
        <v>47627.933712962564</v>
      </c>
      <c r="L54" s="182"/>
      <c r="M54" s="182"/>
      <c r="N54" s="182">
        <f t="shared" si="8"/>
        <v>47627.933712962564</v>
      </c>
    </row>
    <row r="55" spans="1:14" ht="15.75">
      <c r="A55" s="73">
        <v>40</v>
      </c>
      <c r="B55" s="24" t="s">
        <v>577</v>
      </c>
      <c r="C55" s="182">
        <v>0</v>
      </c>
      <c r="D55" s="182">
        <v>0</v>
      </c>
      <c r="E55" s="187"/>
      <c r="F55" s="182">
        <f t="shared" si="6"/>
        <v>0</v>
      </c>
      <c r="G55" s="182"/>
      <c r="H55" s="182"/>
      <c r="I55" s="182"/>
      <c r="J55" s="182"/>
      <c r="K55" s="182">
        <f>F55+I55+H55</f>
        <v>0</v>
      </c>
      <c r="L55" s="182"/>
      <c r="M55" s="182"/>
      <c r="N55" s="182">
        <f t="shared" si="8"/>
        <v>0</v>
      </c>
    </row>
    <row r="56" spans="1:14" ht="15.75">
      <c r="A56" s="73">
        <v>41</v>
      </c>
      <c r="B56" s="24" t="s">
        <v>226</v>
      </c>
      <c r="C56" s="182">
        <f>+'Sch 4 - 12 Months'!Q71</f>
        <v>12189.99</v>
      </c>
      <c r="D56" s="182">
        <f>+C56*'WP-10 - Disposal'!$P$47</f>
        <v>1616.5165315398751</v>
      </c>
      <c r="E56" s="187"/>
      <c r="F56" s="182">
        <f t="shared" si="6"/>
        <v>10573.473468460124</v>
      </c>
      <c r="G56" s="182"/>
      <c r="H56" s="182"/>
      <c r="I56" s="182">
        <f>-'Sch 1 - Restated Exp'!D30</f>
        <v>-1428.764355919546</v>
      </c>
      <c r="J56" s="240" t="s">
        <v>47</v>
      </c>
      <c r="K56" s="182">
        <f t="shared" si="7"/>
        <v>9144.7091125405786</v>
      </c>
      <c r="L56" s="182"/>
      <c r="M56" s="182"/>
      <c r="N56" s="182">
        <f t="shared" si="8"/>
        <v>9144.7091125405786</v>
      </c>
    </row>
    <row r="57" spans="1:14" ht="15.75">
      <c r="A57" s="73">
        <v>42</v>
      </c>
      <c r="B57" s="24" t="s">
        <v>1239</v>
      </c>
      <c r="C57" s="182">
        <v>0</v>
      </c>
      <c r="D57" s="182">
        <v>0</v>
      </c>
      <c r="E57" s="187"/>
      <c r="F57" s="182">
        <f t="shared" si="6"/>
        <v>0</v>
      </c>
      <c r="G57" s="182"/>
      <c r="H57" s="182"/>
      <c r="I57" s="182"/>
      <c r="J57" s="182"/>
      <c r="K57" s="182">
        <f t="shared" si="7"/>
        <v>0</v>
      </c>
      <c r="L57" s="182">
        <v>0</v>
      </c>
      <c r="M57" s="240"/>
      <c r="N57" s="182">
        <f t="shared" si="8"/>
        <v>0</v>
      </c>
    </row>
    <row r="58" spans="1:14" ht="15.75">
      <c r="A58" s="73">
        <v>43</v>
      </c>
      <c r="B58" s="24" t="s">
        <v>1240</v>
      </c>
      <c r="C58" s="182">
        <f>+'Sch 4 - 12 Months'!Q72</f>
        <v>310962.81999999995</v>
      </c>
      <c r="D58" s="182">
        <f>+C58*'WP-10 - Disposal'!$P$47</f>
        <v>41236.82949897895</v>
      </c>
      <c r="E58" s="187"/>
      <c r="F58" s="182">
        <f t="shared" si="6"/>
        <v>269725.99050102098</v>
      </c>
      <c r="G58" s="240" t="s">
        <v>1205</v>
      </c>
      <c r="H58" s="182">
        <f>+'Sch 3 - Reclass Exp'!E25</f>
        <v>-269725.99050102098</v>
      </c>
      <c r="I58" s="182"/>
      <c r="J58" s="182"/>
      <c r="K58" s="182">
        <f t="shared" si="7"/>
        <v>0</v>
      </c>
      <c r="L58" s="182"/>
      <c r="M58" s="182"/>
      <c r="N58" s="182">
        <f t="shared" si="8"/>
        <v>0</v>
      </c>
    </row>
    <row r="59" spans="1:14" ht="15.75">
      <c r="A59" s="73">
        <v>44</v>
      </c>
      <c r="B59" s="24" t="s">
        <v>1241</v>
      </c>
      <c r="C59" s="182">
        <v>0</v>
      </c>
      <c r="D59" s="182">
        <v>0</v>
      </c>
      <c r="E59" s="187"/>
      <c r="F59" s="182">
        <f t="shared" si="6"/>
        <v>0</v>
      </c>
      <c r="G59" s="182"/>
      <c r="H59" s="182"/>
      <c r="I59" s="182"/>
      <c r="J59" s="240"/>
      <c r="K59" s="182">
        <f t="shared" si="7"/>
        <v>0</v>
      </c>
      <c r="L59" s="182">
        <f>+'Sch 2, pg 2 - Forecast'!N50</f>
        <v>0</v>
      </c>
      <c r="M59" s="240"/>
      <c r="N59" s="182">
        <f t="shared" si="8"/>
        <v>0</v>
      </c>
    </row>
    <row r="60" spans="1:14" ht="15.75">
      <c r="A60" s="73">
        <v>45</v>
      </c>
      <c r="B60" s="24" t="s">
        <v>1242</v>
      </c>
      <c r="C60" s="182">
        <f>+'Sch 4 - 12 Months'!Q73</f>
        <v>202280.64999999997</v>
      </c>
      <c r="D60" s="182">
        <f>+C60*'WP-10 - Disposal'!$P$47</f>
        <v>26824.469481569009</v>
      </c>
      <c r="E60" s="187"/>
      <c r="F60" s="182">
        <f t="shared" si="6"/>
        <v>175456.18051843095</v>
      </c>
      <c r="G60" s="182"/>
      <c r="H60" s="182"/>
      <c r="I60" s="182"/>
      <c r="J60" s="182"/>
      <c r="K60" s="182">
        <f t="shared" si="7"/>
        <v>175456.18051843095</v>
      </c>
      <c r="L60" s="182"/>
      <c r="M60" s="182"/>
      <c r="N60" s="182">
        <f t="shared" si="8"/>
        <v>175456.18051843095</v>
      </c>
    </row>
    <row r="61" spans="1:14" ht="15.75">
      <c r="A61" s="73">
        <v>46</v>
      </c>
      <c r="B61" s="24" t="s">
        <v>554</v>
      </c>
      <c r="C61" s="182">
        <f>+'Sch 4 - 12 Months'!Q74</f>
        <v>1178104.8099999998</v>
      </c>
      <c r="D61" s="182">
        <f>+C61*'WP-10 - Disposal'!$P$47</f>
        <v>156228.66805072385</v>
      </c>
      <c r="E61" s="187"/>
      <c r="F61" s="182">
        <f t="shared" si="6"/>
        <v>1021876.141949276</v>
      </c>
      <c r="G61" s="240" t="s">
        <v>1205</v>
      </c>
      <c r="H61" s="182">
        <f>+'Sch 3 - Reclass Exp'!E26</f>
        <v>269725.99050102098</v>
      </c>
      <c r="I61" s="182"/>
      <c r="J61" s="182"/>
      <c r="K61" s="182">
        <f t="shared" si="7"/>
        <v>1291602.132450297</v>
      </c>
      <c r="L61" s="182">
        <f>+'Sch 2, pg 2 - Forecast'!N53</f>
        <v>250047.92000000016</v>
      </c>
      <c r="M61" s="240" t="s">
        <v>50</v>
      </c>
      <c r="N61" s="182">
        <f t="shared" si="8"/>
        <v>1541650.0524502972</v>
      </c>
    </row>
    <row r="62" spans="1:14" ht="15.75">
      <c r="A62" s="73">
        <v>47</v>
      </c>
      <c r="B62" s="24" t="s">
        <v>228</v>
      </c>
      <c r="C62" s="182">
        <f>+'Sch 4 - 12 Months'!Q75</f>
        <v>6242</v>
      </c>
      <c r="D62" s="182">
        <f>+C62*'WP-10 - Disposal'!$P$47</f>
        <v>827.75262242806605</v>
      </c>
      <c r="E62" s="187"/>
      <c r="F62" s="182">
        <f t="shared" si="6"/>
        <v>5414.2473775719336</v>
      </c>
      <c r="G62" s="182"/>
      <c r="H62" s="182"/>
      <c r="I62" s="182"/>
      <c r="J62" s="182"/>
      <c r="K62" s="182">
        <f t="shared" si="7"/>
        <v>5414.2473775719336</v>
      </c>
      <c r="L62" s="182"/>
      <c r="M62" s="182"/>
      <c r="N62" s="182">
        <f t="shared" si="8"/>
        <v>5414.2473775719336</v>
      </c>
    </row>
    <row r="63" spans="1:14" ht="15.75">
      <c r="A63" s="73">
        <v>48</v>
      </c>
      <c r="B63" s="24" t="s">
        <v>229</v>
      </c>
      <c r="C63" s="182">
        <f>+'Sch 4 - 12 Months'!Q76</f>
        <v>508908.65</v>
      </c>
      <c r="D63" s="182">
        <f>+C63*'WP-11 - Non-Regulated'!$N$56</f>
        <v>65007.221709929487</v>
      </c>
      <c r="E63" s="187"/>
      <c r="F63" s="182">
        <f>+C63-D63</f>
        <v>443901.42829007056</v>
      </c>
      <c r="G63" s="182"/>
      <c r="H63" s="182"/>
      <c r="I63" s="23"/>
      <c r="J63" s="182"/>
      <c r="K63" s="183">
        <f t="shared" si="7"/>
        <v>443901.42829007056</v>
      </c>
      <c r="L63" s="182">
        <f>+'Sch 2, pg 2 - Forecast'!N55</f>
        <v>-13352.042065729471</v>
      </c>
      <c r="M63" s="240" t="s">
        <v>1254</v>
      </c>
      <c r="N63" s="183">
        <f t="shared" si="8"/>
        <v>430549.38622434111</v>
      </c>
    </row>
    <row r="64" spans="1:14" ht="15.75">
      <c r="A64" s="73">
        <v>49</v>
      </c>
      <c r="B64" s="24" t="s">
        <v>12</v>
      </c>
      <c r="C64" s="182">
        <f>+'Sch 4 - 12 Months'!Q77</f>
        <v>136810</v>
      </c>
      <c r="D64" s="182">
        <f>+C64*'WP-11 - Non-Regulated'!$N$56</f>
        <v>17475.902604790572</v>
      </c>
      <c r="E64" s="187"/>
      <c r="F64" s="182">
        <f t="shared" si="6"/>
        <v>119334.09739520942</v>
      </c>
      <c r="G64" s="245" t="s">
        <v>53</v>
      </c>
      <c r="H64" s="188">
        <f>+'Sch 3, pg 2 - Reclass'!B55</f>
        <v>-119334.09739520944</v>
      </c>
      <c r="I64" s="188"/>
      <c r="J64" s="182"/>
      <c r="K64" s="182">
        <f t="shared" si="7"/>
        <v>0</v>
      </c>
      <c r="L64" s="182"/>
      <c r="M64" s="182"/>
      <c r="N64" s="182">
        <f t="shared" si="8"/>
        <v>0</v>
      </c>
    </row>
    <row r="65" spans="1:14" ht="15.75">
      <c r="A65" s="73">
        <v>50</v>
      </c>
      <c r="B65" s="24" t="s">
        <v>75</v>
      </c>
      <c r="C65" s="182">
        <f>+'Sch 4 - 12 Months'!Q78</f>
        <v>126654.31000000001</v>
      </c>
      <c r="D65" s="182">
        <f>+C65*'WP-11 - Non-Regulated'!$N$56</f>
        <v>16178.630115027794</v>
      </c>
      <c r="E65" s="187"/>
      <c r="F65" s="182">
        <f t="shared" si="6"/>
        <v>110475.67988497223</v>
      </c>
      <c r="G65" s="245" t="s">
        <v>53</v>
      </c>
      <c r="H65" s="188">
        <f>+'Sch 3, pg 2 - Reclass'!B56</f>
        <v>-110475.67988497223</v>
      </c>
      <c r="I65" s="23"/>
      <c r="J65" s="182"/>
      <c r="K65" s="182">
        <f t="shared" si="7"/>
        <v>0</v>
      </c>
      <c r="L65" s="182"/>
      <c r="M65" s="182"/>
      <c r="N65" s="182">
        <f t="shared" si="8"/>
        <v>0</v>
      </c>
    </row>
    <row r="66" spans="1:14" ht="15.75">
      <c r="A66" s="73">
        <v>51</v>
      </c>
      <c r="B66" s="24" t="s">
        <v>851</v>
      </c>
      <c r="C66" s="182">
        <f>+'Sch 4 - 12 Months'!N79</f>
        <v>26434.489999999998</v>
      </c>
      <c r="D66" s="182">
        <f>+C66*'WP-11 - Non-Regulated'!$N$56</f>
        <v>3376.7017955362198</v>
      </c>
      <c r="E66" s="187"/>
      <c r="F66" s="182">
        <f t="shared" si="6"/>
        <v>23057.788204463777</v>
      </c>
      <c r="G66" s="245" t="s">
        <v>53</v>
      </c>
      <c r="H66" s="188">
        <f>+'Sch 3, pg 2 - Reclass'!B57</f>
        <v>-23057.788204463777</v>
      </c>
      <c r="I66" s="23"/>
      <c r="J66" s="182"/>
      <c r="K66" s="182">
        <f t="shared" si="7"/>
        <v>0</v>
      </c>
      <c r="L66" s="182"/>
      <c r="M66" s="182"/>
      <c r="N66" s="182">
        <f t="shared" si="8"/>
        <v>0</v>
      </c>
    </row>
    <row r="67" spans="1:14" ht="15.75">
      <c r="A67" s="73">
        <v>52</v>
      </c>
      <c r="B67" s="24" t="s">
        <v>230</v>
      </c>
      <c r="C67" s="182">
        <f>+'Sch 4 - 12 Months'!Q80</f>
        <v>1380861.3200000003</v>
      </c>
      <c r="D67" s="182">
        <f>+C67*'WP-11 - Non-Regulated'!$N$56</f>
        <v>176389.13777532746</v>
      </c>
      <c r="E67" s="187"/>
      <c r="F67" s="182">
        <f t="shared" si="6"/>
        <v>1204472.1822246728</v>
      </c>
      <c r="G67" s="245" t="s">
        <v>53</v>
      </c>
      <c r="H67" s="188">
        <f>+'Sch 3, pg 2 - Reclass'!B58</f>
        <v>-1204472.1822246728</v>
      </c>
      <c r="I67" s="23"/>
      <c r="J67" s="182"/>
      <c r="K67" s="182">
        <f t="shared" si="7"/>
        <v>0</v>
      </c>
      <c r="L67" s="182"/>
      <c r="M67" s="182"/>
      <c r="N67" s="182">
        <f t="shared" si="8"/>
        <v>0</v>
      </c>
    </row>
    <row r="68" spans="1:14" ht="15.75">
      <c r="A68" s="73">
        <v>53</v>
      </c>
      <c r="B68" s="98" t="s">
        <v>499</v>
      </c>
      <c r="C68" s="182">
        <f>+'Sch 4 - 12 Months'!Q81</f>
        <v>0</v>
      </c>
      <c r="D68" s="182">
        <f>+C68*'WP-11 - Non-Regulated'!$N$56</f>
        <v>0</v>
      </c>
      <c r="E68" s="187"/>
      <c r="F68" s="182">
        <f t="shared" si="6"/>
        <v>0</v>
      </c>
      <c r="G68" s="245" t="s">
        <v>53</v>
      </c>
      <c r="H68" s="188">
        <f>+'Sch 3, pg 2 - Reclass'!B60</f>
        <v>824609.90878747171</v>
      </c>
      <c r="I68" s="23">
        <f>+'Sch 1, pg 2 - Restated'!N58</f>
        <v>-3532.6591217790965</v>
      </c>
      <c r="J68" s="242" t="s">
        <v>45</v>
      </c>
      <c r="K68" s="182">
        <f t="shared" si="7"/>
        <v>821077.24966569257</v>
      </c>
      <c r="L68" s="182">
        <f>+'Sch 2, pg 2 - Forecast'!B59</f>
        <v>7671.8969503350618</v>
      </c>
      <c r="M68" s="240" t="s">
        <v>74</v>
      </c>
      <c r="N68" s="182">
        <f t="shared" si="8"/>
        <v>828749.14661602757</v>
      </c>
    </row>
    <row r="69" spans="1:14" ht="15.75">
      <c r="A69" s="73">
        <v>54</v>
      </c>
      <c r="B69" s="98" t="s">
        <v>500</v>
      </c>
      <c r="C69" s="182">
        <f>+'Sch 4 - 12 Months'!Q82</f>
        <v>0</v>
      </c>
      <c r="D69" s="182">
        <f>+C69*'WP-11 - Non-Regulated'!$N$56</f>
        <v>0</v>
      </c>
      <c r="E69" s="187"/>
      <c r="F69" s="182">
        <f t="shared" si="6"/>
        <v>0</v>
      </c>
      <c r="G69" s="245" t="s">
        <v>53</v>
      </c>
      <c r="H69" s="188">
        <f>+'Sch 3, pg 2 - Reclass'!B61</f>
        <v>227130.46031776743</v>
      </c>
      <c r="I69" s="23">
        <f>+'Sch 1, pg 2 - Restated'!N59</f>
        <v>-6611.7422575519886</v>
      </c>
      <c r="J69" s="242" t="s">
        <v>45</v>
      </c>
      <c r="K69" s="182">
        <f t="shared" si="7"/>
        <v>220518.71806021544</v>
      </c>
      <c r="L69" s="182">
        <f>+'Sch 2, pg 2 - Forecast'!B60</f>
        <v>80763.684788691564</v>
      </c>
      <c r="M69" s="240" t="s">
        <v>74</v>
      </c>
      <c r="N69" s="182">
        <f t="shared" si="8"/>
        <v>301282.40284890699</v>
      </c>
    </row>
    <row r="70" spans="1:14" ht="15.75">
      <c r="A70" s="73">
        <v>55</v>
      </c>
      <c r="B70" s="98" t="s">
        <v>9</v>
      </c>
      <c r="C70" s="182">
        <f>+'Sch 4 - 12 Months'!Q83</f>
        <v>0</v>
      </c>
      <c r="D70" s="182">
        <f>+C70*'WP-11 - Non-Regulated'!$N$56</f>
        <v>0</v>
      </c>
      <c r="E70" s="187"/>
      <c r="F70" s="182">
        <f t="shared" si="6"/>
        <v>0</v>
      </c>
      <c r="G70" s="245" t="s">
        <v>53</v>
      </c>
      <c r="H70" s="188">
        <f>+'Sch 3, pg 2 - Reclass'!B62</f>
        <v>67106.619465308715</v>
      </c>
      <c r="I70" s="23">
        <f>+'Sch 1, pg 2 - Restated'!N60</f>
        <v>-37481.077151320438</v>
      </c>
      <c r="J70" s="242" t="s">
        <v>45</v>
      </c>
      <c r="K70" s="182">
        <f t="shared" si="7"/>
        <v>29625.542313988277</v>
      </c>
      <c r="L70" s="182">
        <f>+'Sch 2, pg 2 - Forecast'!B61</f>
        <v>-63270.895094252599</v>
      </c>
      <c r="M70" s="240" t="s">
        <v>74</v>
      </c>
      <c r="N70" s="182">
        <f t="shared" si="8"/>
        <v>-33645.352780264322</v>
      </c>
    </row>
    <row r="71" spans="1:14" ht="15.75">
      <c r="A71" s="73">
        <v>56</v>
      </c>
      <c r="B71" s="98" t="s">
        <v>990</v>
      </c>
      <c r="C71" s="182">
        <f>+'Sch 4 - 12 Months'!Q84</f>
        <v>0</v>
      </c>
      <c r="D71" s="182">
        <f>+C71*'WP-11 - Non-Regulated'!$N$56</f>
        <v>0</v>
      </c>
      <c r="E71" s="187"/>
      <c r="F71" s="182">
        <f t="shared" si="6"/>
        <v>0</v>
      </c>
      <c r="G71" s="245" t="s">
        <v>53</v>
      </c>
      <c r="H71" s="188">
        <f>+'Sch 3, pg 2 - Reclass'!B63</f>
        <v>198057.23399289284</v>
      </c>
      <c r="I71" s="23">
        <f>+'Sch 1, pg 2 - Restated'!N61</f>
        <v>-10336.298911872171</v>
      </c>
      <c r="J71" s="242" t="s">
        <v>45</v>
      </c>
      <c r="K71" s="182">
        <f t="shared" si="7"/>
        <v>187720.93508102067</v>
      </c>
      <c r="L71" s="182">
        <f>+'Sch 2, pg 2 - Forecast'!B62</f>
        <v>-99779.319263098543</v>
      </c>
      <c r="M71" s="240" t="s">
        <v>74</v>
      </c>
      <c r="N71" s="182">
        <f t="shared" si="8"/>
        <v>87941.615817922124</v>
      </c>
    </row>
    <row r="72" spans="1:14" ht="15.75">
      <c r="A72" s="73">
        <v>57</v>
      </c>
      <c r="B72" s="98" t="s">
        <v>991</v>
      </c>
      <c r="C72" s="182">
        <f>+'Sch 4 - 12 Months'!Q85</f>
        <v>0</v>
      </c>
      <c r="D72" s="182">
        <f>+C72*'WP-11 - Non-Regulated'!$N$56</f>
        <v>0</v>
      </c>
      <c r="E72" s="187"/>
      <c r="F72" s="182">
        <f t="shared" si="6"/>
        <v>0</v>
      </c>
      <c r="G72" s="245" t="s">
        <v>53</v>
      </c>
      <c r="H72" s="188">
        <f>+'Sch 3, pg 2 - Reclass'!B64</f>
        <v>76542.88405910274</v>
      </c>
      <c r="I72" s="23">
        <f>+'Sch 1, pg 2 - Restated'!N62</f>
        <v>-1622.4064114837331</v>
      </c>
      <c r="J72" s="242" t="s">
        <v>45</v>
      </c>
      <c r="K72" s="182">
        <f t="shared" si="7"/>
        <v>74920.477647619002</v>
      </c>
      <c r="L72" s="182">
        <f>+'Sch 2, pg 2 - Forecast'!B63</f>
        <v>35179.941915676354</v>
      </c>
      <c r="M72" s="240" t="s">
        <v>74</v>
      </c>
      <c r="N72" s="182">
        <f t="shared" si="8"/>
        <v>110100.41956329535</v>
      </c>
    </row>
    <row r="73" spans="1:14" ht="15.75">
      <c r="A73" s="73">
        <v>58</v>
      </c>
      <c r="B73" s="24" t="s">
        <v>992</v>
      </c>
      <c r="C73" s="182">
        <f>+'Sch 4 - 12 Months'!Q86</f>
        <v>0</v>
      </c>
      <c r="D73" s="182">
        <f>+C73*'WP-11 - Non-Regulated'!$N$56</f>
        <v>0</v>
      </c>
      <c r="E73" s="187"/>
      <c r="F73" s="182">
        <f t="shared" si="6"/>
        <v>0</v>
      </c>
      <c r="G73" s="245" t="s">
        <v>53</v>
      </c>
      <c r="H73" s="188">
        <f>+'Sch 3, pg 2 - Reclass'!B65</f>
        <v>144032.81884566229</v>
      </c>
      <c r="I73" s="23">
        <f>+'Sch 1, pg 2 - Restated'!N63</f>
        <v>-3052.9152904263797</v>
      </c>
      <c r="J73" s="242" t="s">
        <v>45</v>
      </c>
      <c r="K73" s="182">
        <f t="shared" si="7"/>
        <v>140979.90355523591</v>
      </c>
      <c r="L73" s="182">
        <f>+'Sch 2, pg 2 - Forecast'!B64</f>
        <v>26.589717981424556</v>
      </c>
      <c r="M73" s="240" t="s">
        <v>74</v>
      </c>
      <c r="N73" s="182">
        <f t="shared" si="8"/>
        <v>141006.49327321735</v>
      </c>
    </row>
    <row r="74" spans="1:14" ht="15.75">
      <c r="A74" s="73">
        <v>59</v>
      </c>
      <c r="B74" s="24" t="s">
        <v>231</v>
      </c>
      <c r="C74" s="182">
        <f>+'Sch 4 - 12 Months'!Q87</f>
        <v>56476.28</v>
      </c>
      <c r="D74" s="182">
        <f>+C74*'WP-11 - Non-Regulated'!$N$56</f>
        <v>7214.1946404567034</v>
      </c>
      <c r="E74" s="187"/>
      <c r="F74" s="182">
        <f t="shared" si="6"/>
        <v>49262.085359543293</v>
      </c>
      <c r="G74" s="182"/>
      <c r="H74" s="182"/>
      <c r="I74" s="23"/>
      <c r="J74" s="188"/>
      <c r="K74" s="182">
        <f t="shared" si="7"/>
        <v>49262.085359543293</v>
      </c>
      <c r="L74" s="182">
        <f>+'Sch 2, pg 2 - Forecast'!N65</f>
        <v>-11517.888418496663</v>
      </c>
      <c r="M74" s="240" t="s">
        <v>74</v>
      </c>
      <c r="N74" s="183">
        <f t="shared" si="8"/>
        <v>37744.196941046626</v>
      </c>
    </row>
    <row r="75" spans="1:14" ht="15.75">
      <c r="A75" s="73">
        <v>60</v>
      </c>
      <c r="B75" s="24" t="s">
        <v>232</v>
      </c>
      <c r="C75" s="182">
        <f>+'Sch 4 - 12 Months'!Q88</f>
        <v>140091.68</v>
      </c>
      <c r="D75" s="182">
        <f>+C75*'WP-11 - Non-Regulated'!$N$56</f>
        <v>17895.099447565874</v>
      </c>
      <c r="E75" s="187"/>
      <c r="F75" s="182">
        <f>+C75-D75</f>
        <v>122196.58055243411</v>
      </c>
      <c r="G75" s="182"/>
      <c r="H75" s="182"/>
      <c r="I75" s="182">
        <f>+'Sch 1, pg 2 - Restated'!N65</f>
        <v>0</v>
      </c>
      <c r="J75" s="243"/>
      <c r="K75" s="182">
        <f>F75+I75+H75</f>
        <v>122196.58055243411</v>
      </c>
      <c r="L75" s="182">
        <f>+'Sch 2, pg 2 - Forecast'!B66</f>
        <v>-12953.153227444229</v>
      </c>
      <c r="M75" s="240" t="s">
        <v>74</v>
      </c>
      <c r="N75" s="182">
        <f t="shared" si="8"/>
        <v>109243.42732498988</v>
      </c>
    </row>
    <row r="76" spans="1:14" ht="15.75">
      <c r="A76" s="73">
        <v>61</v>
      </c>
      <c r="B76" s="24" t="s">
        <v>233</v>
      </c>
      <c r="C76" s="182">
        <f>+'Sch 4 - 12 Months'!Q89</f>
        <v>36733.020000000004</v>
      </c>
      <c r="D76" s="182">
        <f>+C76*'WP-11 - Non-Regulated'!$N$56</f>
        <v>4692.2204509891399</v>
      </c>
      <c r="E76" s="187"/>
      <c r="F76" s="182">
        <f t="shared" si="6"/>
        <v>32040.799549010866</v>
      </c>
      <c r="G76" s="182"/>
      <c r="H76" s="182"/>
      <c r="I76" s="182"/>
      <c r="J76" s="188"/>
      <c r="K76" s="182">
        <f t="shared" si="7"/>
        <v>32040.799549010866</v>
      </c>
      <c r="L76" s="182">
        <f>+'Sch 2, pg 2 - Forecast'!N67</f>
        <v>-1752.9211833534621</v>
      </c>
      <c r="M76" s="240" t="s">
        <v>74</v>
      </c>
      <c r="N76" s="182">
        <f t="shared" si="8"/>
        <v>30287.878365657405</v>
      </c>
    </row>
    <row r="77" spans="1:14" ht="15.75">
      <c r="A77" s="73">
        <v>62</v>
      </c>
      <c r="B77" s="24" t="s">
        <v>1001</v>
      </c>
      <c r="C77" s="182">
        <f>+'Sch 4 - 12 Months'!Q90</f>
        <v>5663.920000000001</v>
      </c>
      <c r="D77" s="182">
        <f>+C77*'WP-11 - Non-Regulated'!$N$56</f>
        <v>723.50057949949144</v>
      </c>
      <c r="E77" s="187"/>
      <c r="F77" s="182">
        <f t="shared" si="6"/>
        <v>4940.4194205005097</v>
      </c>
      <c r="G77" s="182"/>
      <c r="H77" s="182"/>
      <c r="I77" s="182"/>
      <c r="J77" s="188"/>
      <c r="K77" s="182">
        <f t="shared" si="7"/>
        <v>4940.4194205005097</v>
      </c>
      <c r="L77" s="182">
        <f>+'Sch 2, pg 2 - Forecast'!B68</f>
        <v>100.7936797316834</v>
      </c>
      <c r="M77" s="240" t="s">
        <v>74</v>
      </c>
      <c r="N77" s="182">
        <f t="shared" si="8"/>
        <v>5041.213100232193</v>
      </c>
    </row>
    <row r="78" spans="1:14" ht="15.75">
      <c r="A78" s="73">
        <v>63</v>
      </c>
      <c r="B78" s="24" t="s">
        <v>1002</v>
      </c>
      <c r="C78" s="182">
        <f>+'Sch 4 - 12 Months'!Q91</f>
        <v>1286.3900000000001</v>
      </c>
      <c r="D78" s="182">
        <f>+C78*'WP-11 - Non-Regulated'!$N$56</f>
        <v>164.32151415668844</v>
      </c>
      <c r="E78" s="187"/>
      <c r="F78" s="182">
        <f t="shared" si="6"/>
        <v>1122.0684858433117</v>
      </c>
      <c r="G78" s="182"/>
      <c r="H78" s="182"/>
      <c r="I78" s="182"/>
      <c r="J78" s="188"/>
      <c r="K78" s="182">
        <f t="shared" si="7"/>
        <v>1122.0684858433117</v>
      </c>
      <c r="L78" s="182">
        <f>+'Sch 2, pg 2 - Forecast'!B69</f>
        <v>-169.84098849982732</v>
      </c>
      <c r="M78" s="240" t="s">
        <v>74</v>
      </c>
      <c r="N78" s="182">
        <f t="shared" si="8"/>
        <v>952.2274973434844</v>
      </c>
    </row>
    <row r="79" spans="1:14" ht="15.75">
      <c r="A79" s="73">
        <v>64</v>
      </c>
      <c r="B79" s="24" t="s">
        <v>1003</v>
      </c>
      <c r="C79" s="182">
        <f>+'Sch 4 - 12 Months'!Q92</f>
        <v>134333.49</v>
      </c>
      <c r="D79" s="182">
        <f>+C79*'WP-11 - Non-Regulated'!$N$56</f>
        <v>17159.556960760237</v>
      </c>
      <c r="E79" s="187"/>
      <c r="F79" s="182">
        <f t="shared" si="6"/>
        <v>117173.93303923975</v>
      </c>
      <c r="G79" s="182"/>
      <c r="H79" s="182"/>
      <c r="I79" s="182"/>
      <c r="J79" s="188"/>
      <c r="K79" s="182">
        <f t="shared" si="7"/>
        <v>117173.93303923975</v>
      </c>
      <c r="L79" s="182">
        <f>+'Sch 2, pg 2 - Forecast'!B70</f>
        <v>-2571.4384662490265</v>
      </c>
      <c r="M79" s="240" t="s">
        <v>74</v>
      </c>
      <c r="N79" s="182">
        <f t="shared" si="8"/>
        <v>114602.49457299072</v>
      </c>
    </row>
    <row r="80" spans="1:14" ht="15.75">
      <c r="A80" s="73">
        <v>65</v>
      </c>
      <c r="B80" s="24" t="s">
        <v>1004</v>
      </c>
      <c r="C80" s="182">
        <f>+'Sch 4 - 12 Months'!Q93</f>
        <v>2.54</v>
      </c>
      <c r="D80" s="182">
        <f>+C80*'WP-11 - Non-Regulated'!$N$56</f>
        <v>0.32445576066199877</v>
      </c>
      <c r="E80" s="187"/>
      <c r="F80" s="182">
        <f t="shared" si="6"/>
        <v>2.2155442393380014</v>
      </c>
      <c r="G80" s="182"/>
      <c r="H80" s="182"/>
      <c r="I80" s="182"/>
      <c r="J80" s="188"/>
      <c r="K80" s="182">
        <f t="shared" si="7"/>
        <v>2.2155442393380014</v>
      </c>
      <c r="L80" s="182"/>
      <c r="M80" s="240"/>
      <c r="N80" s="182">
        <f t="shared" si="8"/>
        <v>2.2155442393380014</v>
      </c>
    </row>
    <row r="81" spans="1:14" ht="15.75">
      <c r="A81" s="73">
        <v>66</v>
      </c>
      <c r="B81" s="24" t="s">
        <v>628</v>
      </c>
      <c r="C81" s="182">
        <f>+'Sch 4 - 12 Months'!Q94</f>
        <v>91876.319999999992</v>
      </c>
      <c r="D81" s="182">
        <f>+C81*'WP-11 - Non-Regulated'!$N$56</f>
        <v>11736.142241112286</v>
      </c>
      <c r="E81" s="187"/>
      <c r="F81" s="182">
        <f t="shared" si="6"/>
        <v>80140.177758887701</v>
      </c>
      <c r="G81" s="245" t="s">
        <v>53</v>
      </c>
      <c r="H81" s="182">
        <f>+'Sch 3 - Reclass Exp'!F15</f>
        <v>-80140.177758887716</v>
      </c>
      <c r="I81" s="182"/>
      <c r="J81" s="188"/>
      <c r="K81" s="182">
        <f t="shared" si="7"/>
        <v>0</v>
      </c>
      <c r="L81" s="182"/>
      <c r="M81" s="182"/>
      <c r="N81" s="182">
        <f t="shared" si="8"/>
        <v>0</v>
      </c>
    </row>
    <row r="82" spans="1:14" ht="15.75">
      <c r="A82" s="73">
        <v>67</v>
      </c>
      <c r="B82" s="24" t="s">
        <v>236</v>
      </c>
      <c r="C82" s="182">
        <f>+'Sch 4 - 12 Months'!Q95</f>
        <v>512.72</v>
      </c>
      <c r="D82" s="182">
        <f>+C82*'WP-10 - Disposal'!$P$47</f>
        <v>67.991881539781801</v>
      </c>
      <c r="E82" s="187"/>
      <c r="F82" s="182">
        <f t="shared" si="6"/>
        <v>444.72811846021824</v>
      </c>
      <c r="G82" s="182"/>
      <c r="H82" s="182"/>
      <c r="I82" s="182"/>
      <c r="J82" s="188"/>
      <c r="K82" s="182">
        <f t="shared" si="7"/>
        <v>444.72811846021824</v>
      </c>
      <c r="L82" s="182"/>
      <c r="M82" s="182"/>
      <c r="N82" s="182">
        <f t="shared" si="8"/>
        <v>444.72811846021824</v>
      </c>
    </row>
    <row r="83" spans="1:14" ht="15.75">
      <c r="A83" s="73">
        <v>68</v>
      </c>
      <c r="B83" s="24" t="s">
        <v>237</v>
      </c>
      <c r="C83" s="182">
        <f>+'Sch 4 - 12 Months'!Q96</f>
        <v>6178.18</v>
      </c>
      <c r="D83" s="182">
        <f>+C83*'WP-10 - Disposal'!$P$47</f>
        <v>819.28944197895373</v>
      </c>
      <c r="E83" s="187"/>
      <c r="F83" s="182">
        <f t="shared" si="6"/>
        <v>5358.8905580210467</v>
      </c>
      <c r="G83" s="182"/>
      <c r="H83" s="182"/>
      <c r="I83" s="182"/>
      <c r="J83" s="188"/>
      <c r="K83" s="182">
        <f t="shared" si="7"/>
        <v>5358.8905580210467</v>
      </c>
      <c r="L83" s="182"/>
      <c r="M83" s="182"/>
      <c r="N83" s="182">
        <f t="shared" si="8"/>
        <v>5358.8905580210467</v>
      </c>
    </row>
    <row r="84" spans="1:14" ht="15.75">
      <c r="A84" s="73">
        <v>69</v>
      </c>
      <c r="B84" s="24" t="s">
        <v>238</v>
      </c>
      <c r="C84" s="182">
        <f>+'Sch 4 - 12 Months'!Q97</f>
        <v>7711.4299999999985</v>
      </c>
      <c r="D84" s="182">
        <f>+C84*'WP-11 - Non-Regulated'!$N$56</f>
        <v>985.04641198494357</v>
      </c>
      <c r="E84" s="187"/>
      <c r="F84" s="182">
        <f t="shared" si="6"/>
        <v>6726.3835880150546</v>
      </c>
      <c r="G84" s="182"/>
      <c r="H84" s="182"/>
      <c r="I84" s="23"/>
      <c r="J84" s="188"/>
      <c r="K84" s="182">
        <f t="shared" si="7"/>
        <v>6726.3835880150546</v>
      </c>
      <c r="L84" s="182"/>
      <c r="M84" s="182"/>
      <c r="N84" s="182">
        <f t="shared" si="8"/>
        <v>6726.3835880150546</v>
      </c>
    </row>
    <row r="85" spans="1:14" ht="15.75">
      <c r="A85" s="73">
        <v>70</v>
      </c>
      <c r="B85" s="24" t="s">
        <v>239</v>
      </c>
      <c r="C85" s="182">
        <f>+'Sch 4 - 12 Months'!Q98</f>
        <v>36045.630000000005</v>
      </c>
      <c r="D85" s="182">
        <f>+C85*'WP-10 - Disposal'!$P$47</f>
        <v>4780.0167830137416</v>
      </c>
      <c r="E85" s="187"/>
      <c r="F85" s="182">
        <f t="shared" si="6"/>
        <v>31265.613216986261</v>
      </c>
      <c r="G85" s="182"/>
      <c r="H85" s="182"/>
      <c r="I85" s="23"/>
      <c r="J85" s="188"/>
      <c r="K85" s="182">
        <f t="shared" si="7"/>
        <v>31265.613216986261</v>
      </c>
      <c r="L85" s="182"/>
      <c r="M85" s="182"/>
      <c r="N85" s="182">
        <f t="shared" si="8"/>
        <v>31265.613216986261</v>
      </c>
    </row>
    <row r="86" spans="1:14" ht="15.75">
      <c r="A86" s="73">
        <v>71</v>
      </c>
      <c r="B86" s="24" t="s">
        <v>240</v>
      </c>
      <c r="C86" s="182">
        <f>+'Sch 4 - 12 Months'!Q99</f>
        <v>9949.65</v>
      </c>
      <c r="D86" s="182">
        <f>+C86*'WP-10 - Disposal'!$P$47</f>
        <v>1319.4246843545991</v>
      </c>
      <c r="E86" s="187"/>
      <c r="F86" s="182">
        <f t="shared" si="6"/>
        <v>8630.2253156454008</v>
      </c>
      <c r="G86" s="182"/>
      <c r="H86" s="182"/>
      <c r="I86" s="23"/>
      <c r="J86" s="188"/>
      <c r="K86" s="182">
        <f t="shared" si="7"/>
        <v>8630.2253156454008</v>
      </c>
      <c r="L86" s="182"/>
      <c r="M86" s="182"/>
      <c r="N86" s="182">
        <f t="shared" si="8"/>
        <v>8630.2253156454008</v>
      </c>
    </row>
    <row r="87" spans="1:14" ht="15.75">
      <c r="A87" s="73">
        <v>72</v>
      </c>
      <c r="B87" s="24" t="s">
        <v>634</v>
      </c>
      <c r="C87" s="182">
        <f>+'Sch 4 - 12 Months'!Q100</f>
        <v>1241.32</v>
      </c>
      <c r="D87" s="182">
        <f>+C87*'WP-11 - Non-Regulated'!$N$56</f>
        <v>158.56434048226467</v>
      </c>
      <c r="E87" s="187"/>
      <c r="F87" s="182">
        <f t="shared" si="6"/>
        <v>1082.7556595177352</v>
      </c>
      <c r="G87" s="182"/>
      <c r="H87" s="182"/>
      <c r="I87" s="23"/>
      <c r="J87" s="188"/>
      <c r="K87" s="182">
        <f t="shared" si="7"/>
        <v>1082.7556595177352</v>
      </c>
      <c r="L87" s="182"/>
      <c r="M87" s="182"/>
      <c r="N87" s="182">
        <f t="shared" si="8"/>
        <v>1082.7556595177352</v>
      </c>
    </row>
    <row r="88" spans="1:14" ht="15.75">
      <c r="A88" s="73">
        <v>73</v>
      </c>
      <c r="B88" s="24" t="s">
        <v>43</v>
      </c>
      <c r="C88" s="182">
        <f>+'Sch 4 - 12 Months'!Q101</f>
        <v>802.48</v>
      </c>
      <c r="D88" s="182">
        <f>+C88*'WP-10 - Disposal'!$P$47</f>
        <v>106.41700167351401</v>
      </c>
      <c r="E88" s="187"/>
      <c r="F88" s="182">
        <f t="shared" si="6"/>
        <v>696.06299832648597</v>
      </c>
      <c r="G88" s="182"/>
      <c r="H88" s="182"/>
      <c r="I88" s="23"/>
      <c r="J88" s="188"/>
      <c r="K88" s="182">
        <f t="shared" si="7"/>
        <v>696.06299832648597</v>
      </c>
      <c r="L88" s="182"/>
      <c r="M88" s="182"/>
      <c r="N88" s="183">
        <f t="shared" si="8"/>
        <v>696.06299832648597</v>
      </c>
    </row>
    <row r="89" spans="1:14" ht="15.75">
      <c r="A89" s="73">
        <v>74</v>
      </c>
      <c r="B89" s="24" t="s">
        <v>275</v>
      </c>
      <c r="C89" s="182">
        <f>+'Sch 4 - 12 Months'!Q102</f>
        <v>3339.99</v>
      </c>
      <c r="D89" s="182">
        <f>+C89*'WP-11 - Non-Regulated'!$N$56</f>
        <v>426.64527403679887</v>
      </c>
      <c r="E89" s="187"/>
      <c r="F89" s="182">
        <f t="shared" si="6"/>
        <v>2913.3447259632007</v>
      </c>
      <c r="G89" s="182"/>
      <c r="H89" s="182"/>
      <c r="I89" s="182"/>
      <c r="J89" s="188"/>
      <c r="K89" s="182">
        <f t="shared" si="7"/>
        <v>2913.3447259632007</v>
      </c>
      <c r="L89" s="182"/>
      <c r="M89" s="182"/>
      <c r="N89" s="183">
        <f t="shared" si="8"/>
        <v>2913.3447259632007</v>
      </c>
    </row>
    <row r="90" spans="1:14" ht="15.75">
      <c r="A90" s="73">
        <v>75</v>
      </c>
      <c r="B90" s="24" t="s">
        <v>276</v>
      </c>
      <c r="C90" s="182">
        <f>+'Sch 4 - 12 Months'!Q103</f>
        <v>2532.14</v>
      </c>
      <c r="D90" s="182">
        <f>+C90*'WP-10 - Disposal'!$P$47</f>
        <v>335.78749204662017</v>
      </c>
      <c r="E90" s="187"/>
      <c r="F90" s="182">
        <f t="shared" si="6"/>
        <v>2196.3525079533797</v>
      </c>
      <c r="G90" s="182"/>
      <c r="H90" s="182"/>
      <c r="I90" s="182"/>
      <c r="J90" s="188"/>
      <c r="K90" s="182">
        <f t="shared" si="7"/>
        <v>2196.3525079533797</v>
      </c>
      <c r="L90" s="182"/>
      <c r="M90" s="240"/>
      <c r="N90" s="182">
        <f t="shared" si="8"/>
        <v>2196.3525079533797</v>
      </c>
    </row>
    <row r="91" spans="1:14" ht="15.75">
      <c r="A91" s="73">
        <v>76</v>
      </c>
      <c r="B91" s="24" t="s">
        <v>277</v>
      </c>
      <c r="C91" s="182">
        <f>+'Sch 4 - 12 Months'!Q104</f>
        <v>20548.8</v>
      </c>
      <c r="D91" s="182">
        <v>0</v>
      </c>
      <c r="E91" s="187"/>
      <c r="F91" s="182">
        <f>+C91-D91</f>
        <v>20548.8</v>
      </c>
      <c r="G91" s="182"/>
      <c r="H91" s="182"/>
      <c r="I91" s="182"/>
      <c r="J91" s="188"/>
      <c r="K91" s="182">
        <f t="shared" si="7"/>
        <v>20548.8</v>
      </c>
      <c r="L91" s="182"/>
      <c r="M91" s="240"/>
      <c r="N91" s="182">
        <f>K91+L91</f>
        <v>20548.8</v>
      </c>
    </row>
    <row r="92" spans="1:14" ht="15.75">
      <c r="A92" s="73">
        <v>77</v>
      </c>
      <c r="B92" s="24" t="s">
        <v>278</v>
      </c>
      <c r="C92" s="182">
        <f>+'Sch 4 - 12 Months'!Q105</f>
        <v>15584.3</v>
      </c>
      <c r="D92" s="182">
        <f>+C92*'WP-10 - Disposal'!$P$47</f>
        <v>2066.6365257458683</v>
      </c>
      <c r="E92" s="187"/>
      <c r="F92" s="182">
        <f t="shared" si="6"/>
        <v>13517.663474254132</v>
      </c>
      <c r="G92" s="182"/>
      <c r="H92" s="182"/>
      <c r="I92" s="182"/>
      <c r="J92" s="188"/>
      <c r="K92" s="182">
        <f t="shared" si="7"/>
        <v>13517.663474254132</v>
      </c>
      <c r="L92" s="182"/>
      <c r="M92" s="182"/>
      <c r="N92" s="182">
        <f t="shared" si="8"/>
        <v>13517.663474254132</v>
      </c>
    </row>
    <row r="93" spans="1:14" ht="15.75">
      <c r="A93" s="73">
        <v>78</v>
      </c>
      <c r="B93" s="24" t="s">
        <v>279</v>
      </c>
      <c r="C93" s="182">
        <f>+'Sch 4 - 12 Months'!Q106</f>
        <v>105175.17</v>
      </c>
      <c r="D93" s="182">
        <f>+C93*'WP-10 - Disposal'!$P$47</f>
        <v>13947.296184206609</v>
      </c>
      <c r="E93" s="187"/>
      <c r="F93" s="182">
        <f t="shared" si="6"/>
        <v>91227.873815793384</v>
      </c>
      <c r="G93" s="182"/>
      <c r="H93" s="182"/>
      <c r="I93" s="182"/>
      <c r="J93" s="188"/>
      <c r="K93" s="182">
        <f t="shared" si="7"/>
        <v>91227.873815793384</v>
      </c>
      <c r="L93" s="182"/>
      <c r="M93" s="240"/>
      <c r="N93" s="182">
        <f t="shared" si="8"/>
        <v>91227.873815793384</v>
      </c>
    </row>
    <row r="94" spans="1:14" ht="15.75">
      <c r="A94" s="73">
        <v>79</v>
      </c>
      <c r="B94" s="24" t="s">
        <v>648</v>
      </c>
      <c r="C94" s="182">
        <f>+'Sch 4 - 12 Months'!Q107</f>
        <v>49548.85</v>
      </c>
      <c r="D94" s="182">
        <f>+C94*'WP-11 - Non-Regulated'!$N$56</f>
        <v>6329.2952034162508</v>
      </c>
      <c r="E94" s="187"/>
      <c r="F94" s="182">
        <f t="shared" si="6"/>
        <v>43219.554796583747</v>
      </c>
      <c r="G94" s="182"/>
      <c r="H94" s="182"/>
      <c r="I94" s="182"/>
      <c r="J94" s="188"/>
      <c r="K94" s="182">
        <f t="shared" si="7"/>
        <v>43219.554796583747</v>
      </c>
      <c r="L94" s="182"/>
      <c r="M94" s="182"/>
      <c r="N94" s="182">
        <f t="shared" si="8"/>
        <v>43219.554796583747</v>
      </c>
    </row>
    <row r="95" spans="1:14" ht="15.75">
      <c r="A95" s="73">
        <v>80</v>
      </c>
      <c r="B95" s="24" t="s">
        <v>241</v>
      </c>
      <c r="C95" s="182">
        <f>+'Sch 4 - 12 Months'!Q108</f>
        <v>6737</v>
      </c>
      <c r="D95" s="182">
        <f>+C95*'WP-11 - Non-Regulated'!$N$56</f>
        <v>860.57419668499438</v>
      </c>
      <c r="E95" s="187"/>
      <c r="F95" s="182">
        <f t="shared" si="6"/>
        <v>5876.4258033150054</v>
      </c>
      <c r="G95" s="182"/>
      <c r="H95" s="182"/>
      <c r="I95" s="23"/>
      <c r="J95" s="188"/>
      <c r="K95" s="182">
        <f t="shared" si="7"/>
        <v>5876.4258033150054</v>
      </c>
      <c r="L95" s="182"/>
      <c r="M95" s="182"/>
      <c r="N95" s="182">
        <f t="shared" si="8"/>
        <v>5876.4258033150054</v>
      </c>
    </row>
    <row r="96" spans="1:14" ht="15.75">
      <c r="A96" s="73">
        <v>81</v>
      </c>
      <c r="B96" s="24" t="s">
        <v>645</v>
      </c>
      <c r="C96" s="182">
        <f>+'Sch 4 - 12 Months'!Q109</f>
        <v>1815.12</v>
      </c>
      <c r="D96" s="182">
        <f>+C96*'WP-10 - Disposal'!$P$47</f>
        <v>240.70335469747374</v>
      </c>
      <c r="E96" s="187"/>
      <c r="F96" s="182">
        <f t="shared" si="6"/>
        <v>1574.4166453025261</v>
      </c>
      <c r="G96" s="182"/>
      <c r="H96" s="182"/>
      <c r="I96" s="23"/>
      <c r="J96" s="188"/>
      <c r="K96" s="182">
        <f t="shared" si="7"/>
        <v>1574.4166453025261</v>
      </c>
      <c r="L96" s="182"/>
      <c r="M96" s="182"/>
      <c r="N96" s="182">
        <f t="shared" si="8"/>
        <v>1574.4166453025261</v>
      </c>
    </row>
    <row r="97" spans="1:14" ht="15.75">
      <c r="A97" s="73">
        <v>82</v>
      </c>
      <c r="B97" s="24" t="s">
        <v>242</v>
      </c>
      <c r="C97" s="182">
        <f>+'Sch 4 - 12 Months'!Q110</f>
        <v>8676.4999999999982</v>
      </c>
      <c r="D97" s="182">
        <f>+C97*'WP-10 - Disposal'!$P$47</f>
        <v>1150.5920583942827</v>
      </c>
      <c r="E97" s="187"/>
      <c r="F97" s="182">
        <f t="shared" si="6"/>
        <v>7525.9079416057157</v>
      </c>
      <c r="G97" s="182"/>
      <c r="H97" s="182"/>
      <c r="I97" s="182"/>
      <c r="J97" s="188"/>
      <c r="K97" s="182">
        <f t="shared" si="7"/>
        <v>7525.9079416057157</v>
      </c>
      <c r="L97" s="182"/>
      <c r="M97" s="182"/>
      <c r="N97" s="182">
        <f t="shared" si="8"/>
        <v>7525.9079416057157</v>
      </c>
    </row>
    <row r="98" spans="1:14" ht="15.75">
      <c r="A98" s="73">
        <v>83</v>
      </c>
      <c r="B98" s="24" t="s">
        <v>243</v>
      </c>
      <c r="C98" s="182">
        <f>+'Sch 4 - 12 Months'!Q111</f>
        <v>10172.58</v>
      </c>
      <c r="D98" s="182">
        <f>+C98*'WP-11 - Non-Regulated'!$N$56</f>
        <v>1299.4299928326911</v>
      </c>
      <c r="E98" s="187"/>
      <c r="F98" s="182">
        <f t="shared" si="6"/>
        <v>8873.150007167309</v>
      </c>
      <c r="G98" s="182"/>
      <c r="H98" s="182"/>
      <c r="I98" s="182"/>
      <c r="J98" s="188"/>
      <c r="K98" s="182">
        <f t="shared" si="7"/>
        <v>8873.150007167309</v>
      </c>
      <c r="L98" s="182"/>
      <c r="M98" s="182"/>
      <c r="N98" s="182">
        <f t="shared" si="8"/>
        <v>8873.150007167309</v>
      </c>
    </row>
    <row r="99" spans="1:14" ht="15.75">
      <c r="A99" s="73">
        <v>84</v>
      </c>
      <c r="B99" s="24" t="s">
        <v>244</v>
      </c>
      <c r="C99" s="182">
        <f>+'Sch 4 - 12 Months'!Q112</f>
        <v>295655.23000000004</v>
      </c>
      <c r="D99" s="182">
        <f>+C99*'WP-11 - Non-Regulated'!$N$56</f>
        <v>37766.552182420557</v>
      </c>
      <c r="E99" s="187"/>
      <c r="F99" s="182">
        <f t="shared" si="6"/>
        <v>257888.67781757948</v>
      </c>
      <c r="G99" s="182"/>
      <c r="H99" s="182"/>
      <c r="I99" s="182"/>
      <c r="J99" s="188"/>
      <c r="K99" s="182">
        <f t="shared" si="7"/>
        <v>257888.67781757948</v>
      </c>
      <c r="L99" s="182"/>
      <c r="M99" s="182"/>
      <c r="N99" s="182">
        <f t="shared" si="8"/>
        <v>257888.67781757948</v>
      </c>
    </row>
    <row r="100" spans="1:14" ht="15.75">
      <c r="A100" s="73">
        <v>85</v>
      </c>
      <c r="B100" s="24" t="s">
        <v>245</v>
      </c>
      <c r="C100" s="182">
        <f>+'Sch 4 - 12 Months'!Q113</f>
        <v>5722.5</v>
      </c>
      <c r="D100" s="182">
        <f>+C100*'WP-10 - Disposal'!$P$47</f>
        <v>758.86164399945653</v>
      </c>
      <c r="E100" s="187"/>
      <c r="F100" s="182">
        <f t="shared" si="6"/>
        <v>4963.6383560005434</v>
      </c>
      <c r="G100" s="182"/>
      <c r="H100" s="182"/>
      <c r="I100" s="182"/>
      <c r="J100" s="188"/>
      <c r="K100" s="182">
        <f t="shared" si="7"/>
        <v>4963.6383560005434</v>
      </c>
      <c r="L100" s="182"/>
      <c r="M100" s="182"/>
      <c r="N100" s="182">
        <f t="shared" si="8"/>
        <v>4963.6383560005434</v>
      </c>
    </row>
    <row r="101" spans="1:14" ht="15.75">
      <c r="A101" s="73">
        <v>86</v>
      </c>
      <c r="B101" s="24" t="s">
        <v>246</v>
      </c>
      <c r="C101" s="182">
        <f>+'Sch 4 - 12 Months'!Q114</f>
        <v>4058.4</v>
      </c>
      <c r="D101" s="182">
        <f>+C101*'WP-11 - Non-Regulated'!$N$56</f>
        <v>518.41388152388026</v>
      </c>
      <c r="E101" s="187"/>
      <c r="F101" s="182">
        <f t="shared" si="6"/>
        <v>3539.9861184761198</v>
      </c>
      <c r="G101" s="182"/>
      <c r="H101" s="182"/>
      <c r="I101" s="182"/>
      <c r="J101" s="188"/>
      <c r="K101" s="182">
        <f t="shared" si="7"/>
        <v>3539.9861184761198</v>
      </c>
      <c r="L101" s="182"/>
      <c r="M101" s="182"/>
      <c r="N101" s="182">
        <f t="shared" si="8"/>
        <v>3539.9861184761198</v>
      </c>
    </row>
    <row r="102" spans="1:14" ht="15.75">
      <c r="A102" s="73">
        <v>87</v>
      </c>
      <c r="B102" s="24" t="s">
        <v>247</v>
      </c>
      <c r="C102" s="182">
        <f>+'Sch 4 - 12 Months'!Q115</f>
        <v>56.74</v>
      </c>
      <c r="D102" s="182">
        <f>+C102*'WP-10 - Disposal'!$P$47</f>
        <v>7.5243005121064517</v>
      </c>
      <c r="E102" s="187"/>
      <c r="F102" s="182">
        <f t="shared" si="6"/>
        <v>49.215699487893552</v>
      </c>
      <c r="G102" s="182"/>
      <c r="H102" s="182"/>
      <c r="I102" s="182"/>
      <c r="J102" s="188"/>
      <c r="K102" s="182">
        <f t="shared" si="7"/>
        <v>49.215699487893552</v>
      </c>
      <c r="L102" s="182"/>
      <c r="M102" s="182"/>
      <c r="N102" s="182">
        <f t="shared" si="8"/>
        <v>49.215699487893552</v>
      </c>
    </row>
    <row r="103" spans="1:14" ht="15.75">
      <c r="A103" s="73">
        <v>88</v>
      </c>
      <c r="B103" s="24" t="s">
        <v>248</v>
      </c>
      <c r="C103" s="182">
        <f>+'Sch 4 - 12 Months'!Q116</f>
        <v>198599.35</v>
      </c>
      <c r="D103" s="182">
        <f>+C103*'WP-10 - Disposal'!$P$47</f>
        <v>26336.291697374134</v>
      </c>
      <c r="E103" s="187"/>
      <c r="F103" s="182">
        <f t="shared" si="6"/>
        <v>172263.05830262587</v>
      </c>
      <c r="G103" s="182"/>
      <c r="H103" s="182"/>
      <c r="I103" s="182"/>
      <c r="J103" s="188"/>
      <c r="K103" s="182">
        <f t="shared" si="7"/>
        <v>172263.05830262587</v>
      </c>
      <c r="L103" s="182"/>
      <c r="M103" s="182"/>
      <c r="N103" s="182">
        <f t="shared" si="8"/>
        <v>172263.05830262587</v>
      </c>
    </row>
    <row r="104" spans="1:14" ht="15.75">
      <c r="A104" s="73">
        <v>89</v>
      </c>
      <c r="B104" s="24" t="s">
        <v>249</v>
      </c>
      <c r="C104" s="182">
        <f>+'Sch 4 - 12 Months'!Q117</f>
        <v>9397.02</v>
      </c>
      <c r="D104" s="182">
        <f>+C104*'WP-10 - Disposal'!$P$47</f>
        <v>1246.1403313055087</v>
      </c>
      <c r="E104" s="187"/>
      <c r="F104" s="182">
        <f t="shared" si="6"/>
        <v>8150.8796686944916</v>
      </c>
      <c r="G104" s="182"/>
      <c r="H104" s="182"/>
      <c r="I104" s="182"/>
      <c r="J104" s="188"/>
      <c r="K104" s="182">
        <f t="shared" si="7"/>
        <v>8150.8796686944916</v>
      </c>
      <c r="L104" s="182"/>
      <c r="M104" s="182"/>
      <c r="N104" s="182">
        <f t="shared" si="8"/>
        <v>8150.8796686944916</v>
      </c>
    </row>
    <row r="105" spans="1:14" ht="15.75">
      <c r="A105" s="73">
        <v>90</v>
      </c>
      <c r="B105" s="24" t="s">
        <v>649</v>
      </c>
      <c r="C105" s="182">
        <f>+'Sch 4 - 12 Months'!Q118</f>
        <v>343.89</v>
      </c>
      <c r="D105" s="182">
        <f>+C105*'WP-10 - Disposal'!$P$47</f>
        <v>45.603308126688177</v>
      </c>
      <c r="E105" s="187"/>
      <c r="F105" s="182">
        <f t="shared" si="6"/>
        <v>298.28669187331184</v>
      </c>
      <c r="G105" s="182"/>
      <c r="H105" s="182"/>
      <c r="I105" s="182"/>
      <c r="J105" s="188"/>
      <c r="K105" s="182">
        <f t="shared" si="7"/>
        <v>298.28669187331184</v>
      </c>
      <c r="L105" s="182"/>
      <c r="M105" s="182"/>
      <c r="N105" s="182">
        <f t="shared" si="8"/>
        <v>298.28669187331184</v>
      </c>
    </row>
    <row r="106" spans="1:14" ht="15.75">
      <c r="A106" s="73">
        <v>91</v>
      </c>
      <c r="B106" s="24" t="s">
        <v>250</v>
      </c>
      <c r="C106" s="182">
        <f>+'Sch 4 - 12 Months'!Q119</f>
        <v>15139.630000000001</v>
      </c>
      <c r="D106" s="182">
        <v>0</v>
      </c>
      <c r="E106" s="187"/>
      <c r="F106" s="182">
        <f t="shared" si="6"/>
        <v>15139.630000000001</v>
      </c>
      <c r="G106" s="182"/>
      <c r="H106" s="182"/>
      <c r="I106" s="182"/>
      <c r="J106" s="188"/>
      <c r="K106" s="182">
        <f t="shared" si="7"/>
        <v>15139.630000000001</v>
      </c>
      <c r="L106" s="182"/>
      <c r="M106" s="182"/>
      <c r="N106" s="182">
        <f t="shared" si="8"/>
        <v>15139.630000000001</v>
      </c>
    </row>
    <row r="107" spans="1:14" ht="15.75">
      <c r="A107" s="73">
        <v>92</v>
      </c>
      <c r="B107" s="24" t="s">
        <v>251</v>
      </c>
      <c r="C107" s="182">
        <f>+'Sch 4 - 12 Months'!Q120</f>
        <v>14433.98</v>
      </c>
      <c r="D107" s="182">
        <f>+C107*'WP-10 - Disposal'!$P$47</f>
        <v>1914.0924058113194</v>
      </c>
      <c r="E107" s="187"/>
      <c r="F107" s="182">
        <f t="shared" si="6"/>
        <v>12519.88759418868</v>
      </c>
      <c r="G107" s="182"/>
      <c r="H107" s="182"/>
      <c r="I107" s="182"/>
      <c r="J107" s="188"/>
      <c r="K107" s="182">
        <f t="shared" si="7"/>
        <v>12519.88759418868</v>
      </c>
      <c r="L107" s="182"/>
      <c r="M107" s="182"/>
      <c r="N107" s="182">
        <f t="shared" si="8"/>
        <v>12519.88759418868</v>
      </c>
    </row>
    <row r="108" spans="1:14" ht="15.75">
      <c r="A108" s="73">
        <v>93</v>
      </c>
      <c r="B108" s="24" t="s">
        <v>252</v>
      </c>
      <c r="C108" s="182">
        <f>+'Sch 4 - 12 Months'!Q121</f>
        <v>18213.900000000001</v>
      </c>
      <c r="D108" s="182">
        <f>+C108*'WP-10 - Disposal'!$P$47</f>
        <v>2415.3482040439849</v>
      </c>
      <c r="E108" s="187"/>
      <c r="F108" s="182">
        <f t="shared" si="6"/>
        <v>15798.551795956017</v>
      </c>
      <c r="G108" s="182"/>
      <c r="H108" s="182"/>
      <c r="I108" s="182"/>
      <c r="J108" s="188"/>
      <c r="K108" s="182">
        <f t="shared" si="7"/>
        <v>15798.551795956017</v>
      </c>
      <c r="L108" s="182"/>
      <c r="M108" s="182"/>
      <c r="N108" s="182">
        <f t="shared" si="8"/>
        <v>15798.551795956017</v>
      </c>
    </row>
    <row r="109" spans="1:14" ht="15.75">
      <c r="A109" s="73">
        <v>94</v>
      </c>
      <c r="B109" s="24" t="s">
        <v>253</v>
      </c>
      <c r="C109" s="182">
        <f>+'Sch 4 - 12 Months'!Q122</f>
        <v>10468.75</v>
      </c>
      <c r="D109" s="182">
        <f>+C109*'WP-10 - Disposal'!$P$47</f>
        <v>1388.262618718971</v>
      </c>
      <c r="E109" s="187"/>
      <c r="F109" s="182">
        <f t="shared" si="6"/>
        <v>9080.4873812810292</v>
      </c>
      <c r="G109" s="182"/>
      <c r="H109" s="182"/>
      <c r="I109" s="182"/>
      <c r="J109" s="188"/>
      <c r="K109" s="182">
        <f t="shared" si="7"/>
        <v>9080.4873812810292</v>
      </c>
      <c r="L109" s="182"/>
      <c r="M109" s="182"/>
      <c r="N109" s="182">
        <f t="shared" si="8"/>
        <v>9080.4873812810292</v>
      </c>
    </row>
    <row r="110" spans="1:14" ht="15.75">
      <c r="A110" s="73">
        <v>95</v>
      </c>
      <c r="B110" s="24" t="s">
        <v>13</v>
      </c>
      <c r="C110" s="182">
        <f>+'Sch 4 - 12 Months'!Q123</f>
        <v>12262.409999999998</v>
      </c>
      <c r="D110" s="182">
        <f>+C110*'WP-10 - Disposal'!$P$47</f>
        <v>1626.120159370096</v>
      </c>
      <c r="E110" s="187"/>
      <c r="F110" s="182">
        <f t="shared" si="6"/>
        <v>10636.289840629903</v>
      </c>
      <c r="G110" s="182"/>
      <c r="H110" s="182"/>
      <c r="I110" s="182"/>
      <c r="J110" s="188"/>
      <c r="K110" s="182">
        <f t="shared" si="7"/>
        <v>10636.289840629903</v>
      </c>
      <c r="L110" s="182"/>
      <c r="M110" s="182"/>
      <c r="N110" s="182">
        <f t="shared" si="8"/>
        <v>10636.289840629903</v>
      </c>
    </row>
    <row r="111" spans="1:14" ht="15.75">
      <c r="A111" s="73">
        <v>96</v>
      </c>
      <c r="B111" s="24" t="s">
        <v>254</v>
      </c>
      <c r="C111" s="182">
        <f>+'Sch 4 - 12 Months'!Q124</f>
        <v>28463.25</v>
      </c>
      <c r="D111" s="182">
        <f>+C111*'WP-11 - Non-Regulated'!$N$56</f>
        <v>3635.8525313632426</v>
      </c>
      <c r="E111" s="187"/>
      <c r="F111" s="182">
        <f t="shared" si="6"/>
        <v>24827.397468636758</v>
      </c>
      <c r="G111" s="182"/>
      <c r="H111" s="182"/>
      <c r="I111" s="182">
        <f>+'Sch 1, pg 2 - Restated'!F94</f>
        <v>-8429.5352476230091</v>
      </c>
      <c r="J111" s="243" t="s">
        <v>46</v>
      </c>
      <c r="K111" s="182">
        <f t="shared" si="7"/>
        <v>16397.862221013747</v>
      </c>
      <c r="L111" s="182"/>
      <c r="M111" s="182"/>
      <c r="N111" s="182">
        <f t="shared" si="8"/>
        <v>16397.862221013747</v>
      </c>
    </row>
    <row r="112" spans="1:14" ht="15.75">
      <c r="A112" s="73">
        <v>97</v>
      </c>
      <c r="B112" s="24" t="s">
        <v>256</v>
      </c>
      <c r="C112" s="182">
        <f>+'Sch 4 - 12 Months'!Q125</f>
        <v>60000</v>
      </c>
      <c r="D112" s="182">
        <f>+C112*'WP-10 - Disposal'!$P$47</f>
        <v>7956.6096356430571</v>
      </c>
      <c r="E112" s="187"/>
      <c r="F112" s="182">
        <f t="shared" ref="F112:F119" si="9">+C112-D112</f>
        <v>52043.390364356943</v>
      </c>
      <c r="G112" s="182"/>
      <c r="H112" s="182"/>
      <c r="I112" s="182"/>
      <c r="J112" s="188"/>
      <c r="K112" s="182">
        <f t="shared" si="7"/>
        <v>52043.390364356943</v>
      </c>
      <c r="L112" s="182"/>
      <c r="M112" s="182"/>
      <c r="N112" s="182">
        <f t="shared" si="8"/>
        <v>52043.390364356943</v>
      </c>
    </row>
    <row r="113" spans="1:15" ht="15.75">
      <c r="A113" s="73">
        <v>98</v>
      </c>
      <c r="B113" s="24" t="s">
        <v>257</v>
      </c>
      <c r="C113" s="182">
        <f>+'Sch 4 - 12 Months'!Q126</f>
        <v>819.86</v>
      </c>
      <c r="D113" s="182">
        <f>+C113*'WP-10 - Disposal'!$P$47</f>
        <v>108.72176626463862</v>
      </c>
      <c r="E113" s="187"/>
      <c r="F113" s="182">
        <f t="shared" si="9"/>
        <v>711.13823373536138</v>
      </c>
      <c r="G113" s="182"/>
      <c r="H113" s="182"/>
      <c r="I113" s="182"/>
      <c r="J113" s="188"/>
      <c r="K113" s="182">
        <f t="shared" si="7"/>
        <v>711.13823373536138</v>
      </c>
      <c r="L113" s="182"/>
      <c r="M113" s="182"/>
      <c r="N113" s="182">
        <f t="shared" si="8"/>
        <v>711.13823373536138</v>
      </c>
    </row>
    <row r="114" spans="1:15" ht="15.75">
      <c r="A114" s="73">
        <v>99</v>
      </c>
      <c r="B114" s="24" t="s">
        <v>258</v>
      </c>
      <c r="C114" s="182">
        <f>+'Sch 4 - 12 Months'!Q127</f>
        <v>15800.210000000001</v>
      </c>
      <c r="D114" s="182">
        <v>0</v>
      </c>
      <c r="E114" s="187"/>
      <c r="F114" s="182">
        <f t="shared" si="9"/>
        <v>15800.210000000001</v>
      </c>
      <c r="G114" s="189"/>
      <c r="H114" s="189"/>
      <c r="I114" s="189">
        <f>+'Sch 1, pg 2 - Restated'!B98</f>
        <v>-15800.210000000001</v>
      </c>
      <c r="J114" s="242" t="s">
        <v>44</v>
      </c>
      <c r="K114" s="182">
        <f t="shared" si="7"/>
        <v>0</v>
      </c>
      <c r="L114" s="189"/>
      <c r="M114" s="189"/>
      <c r="N114" s="182">
        <f t="shared" si="8"/>
        <v>0</v>
      </c>
    </row>
    <row r="115" spans="1:15" ht="15.75">
      <c r="A115" s="73">
        <v>100</v>
      </c>
      <c r="B115" s="24" t="s">
        <v>263</v>
      </c>
      <c r="C115" s="182">
        <f>+'Sch 4 - 12 Months'!Q128</f>
        <v>7200</v>
      </c>
      <c r="D115" s="182">
        <v>0</v>
      </c>
      <c r="E115" s="187"/>
      <c r="F115" s="182">
        <f t="shared" si="9"/>
        <v>7200</v>
      </c>
      <c r="G115" s="182"/>
      <c r="H115" s="182"/>
      <c r="I115" s="182">
        <f>+'Sch 1, pg 2 - Restated'!N99</f>
        <v>-7200</v>
      </c>
      <c r="J115" s="243" t="s">
        <v>573</v>
      </c>
      <c r="K115" s="182">
        <f t="shared" si="7"/>
        <v>0</v>
      </c>
      <c r="L115" s="182"/>
      <c r="M115" s="182"/>
      <c r="N115" s="182">
        <f t="shared" si="8"/>
        <v>0</v>
      </c>
    </row>
    <row r="116" spans="1:15" ht="15.75">
      <c r="A116" s="73">
        <v>101</v>
      </c>
      <c r="B116" s="24" t="s">
        <v>264</v>
      </c>
      <c r="C116" s="182">
        <v>0</v>
      </c>
      <c r="D116" s="182">
        <f>+C116*'WP-11 - Non-Regulated'!$N$56</f>
        <v>0</v>
      </c>
      <c r="E116" s="187"/>
      <c r="F116" s="182">
        <f t="shared" si="9"/>
        <v>0</v>
      </c>
      <c r="G116" s="182"/>
      <c r="H116" s="182"/>
      <c r="I116" s="182"/>
      <c r="J116" s="188"/>
      <c r="K116" s="182">
        <f t="shared" si="7"/>
        <v>0</v>
      </c>
      <c r="L116" s="182"/>
      <c r="M116" s="182"/>
      <c r="N116" s="182">
        <f t="shared" si="8"/>
        <v>0</v>
      </c>
    </row>
    <row r="117" spans="1:15" ht="15.75">
      <c r="A117" s="73">
        <v>102</v>
      </c>
      <c r="B117" s="24" t="s">
        <v>265</v>
      </c>
      <c r="C117" s="182">
        <f>+'Sch 4 - 12 Months'!Q129</f>
        <v>299.98</v>
      </c>
      <c r="D117" s="182">
        <f>+C117*'WP-10 - Disposal'!$P$47</f>
        <v>39.780395975003408</v>
      </c>
      <c r="E117" s="187"/>
      <c r="F117" s="182">
        <f t="shared" si="9"/>
        <v>260.19960402499663</v>
      </c>
      <c r="G117" s="182"/>
      <c r="H117" s="182"/>
      <c r="I117" s="182"/>
      <c r="J117" s="188"/>
      <c r="K117" s="182">
        <f t="shared" si="7"/>
        <v>260.19960402499663</v>
      </c>
      <c r="L117" s="182"/>
      <c r="M117" s="182"/>
      <c r="N117" s="182">
        <f t="shared" si="8"/>
        <v>260.19960402499663</v>
      </c>
    </row>
    <row r="118" spans="1:15" ht="15.75">
      <c r="A118" s="73">
        <v>103</v>
      </c>
      <c r="B118" s="24" t="s">
        <v>266</v>
      </c>
      <c r="C118" s="182">
        <f>+'Sch 4 - 12 Months'!Q130</f>
        <v>414209.07</v>
      </c>
      <c r="D118" s="182">
        <f>+'WP-2 - Summary Depr'!K31</f>
        <v>64392.145631936844</v>
      </c>
      <c r="E118" s="187"/>
      <c r="F118" s="182">
        <f t="shared" si="9"/>
        <v>349816.92436806316</v>
      </c>
      <c r="G118" s="189"/>
      <c r="H118" s="189"/>
      <c r="I118" s="189">
        <f>+'Sch 1, pg 2 - Restated'!J102</f>
        <v>35166.676607326117</v>
      </c>
      <c r="J118" s="663" t="s">
        <v>48</v>
      </c>
      <c r="K118" s="182">
        <f t="shared" si="7"/>
        <v>384983.6009753893</v>
      </c>
      <c r="L118" s="189">
        <f>+'Sch 2, pg 2 - Forecast'!N105</f>
        <v>148450.03825447749</v>
      </c>
      <c r="M118" s="241" t="s">
        <v>51</v>
      </c>
      <c r="N118" s="182">
        <f t="shared" si="8"/>
        <v>533433.63922986679</v>
      </c>
    </row>
    <row r="119" spans="1:15" ht="15.75">
      <c r="A119" s="73">
        <v>104</v>
      </c>
      <c r="B119" s="24" t="s">
        <v>560</v>
      </c>
      <c r="C119" s="182">
        <v>0</v>
      </c>
      <c r="D119" s="182">
        <v>0</v>
      </c>
      <c r="E119" s="187"/>
      <c r="F119" s="182">
        <f t="shared" si="9"/>
        <v>0</v>
      </c>
      <c r="G119" s="189"/>
      <c r="H119" s="189"/>
      <c r="I119" s="189"/>
      <c r="J119" s="244"/>
      <c r="K119" s="182">
        <f t="shared" si="7"/>
        <v>0</v>
      </c>
      <c r="L119" s="182">
        <f>+'Sch 2, pg 2 - Forecast'!N106</f>
        <v>6268.333333333333</v>
      </c>
      <c r="M119" s="241" t="s">
        <v>49</v>
      </c>
      <c r="N119" s="183">
        <f t="shared" si="8"/>
        <v>6268.333333333333</v>
      </c>
    </row>
    <row r="120" spans="1:15" ht="15.75">
      <c r="A120" s="73"/>
      <c r="B120" s="24"/>
      <c r="C120" s="183"/>
      <c r="D120" s="182"/>
      <c r="E120" s="182"/>
      <c r="F120" s="182"/>
      <c r="G120" s="182"/>
      <c r="H120" s="182"/>
      <c r="I120" s="182"/>
      <c r="J120" s="182"/>
      <c r="K120" s="182"/>
      <c r="L120" s="23"/>
      <c r="M120" s="182"/>
      <c r="N120" s="183"/>
    </row>
    <row r="121" spans="1:15" ht="15.75">
      <c r="A121" s="73"/>
      <c r="B121" s="74" t="s">
        <v>16</v>
      </c>
      <c r="C121" s="185">
        <f>SUM(C48:C119)</f>
        <v>6192376.5200000005</v>
      </c>
      <c r="D121" s="184">
        <f>SUM(D48:D119)</f>
        <v>805688.62427481392</v>
      </c>
      <c r="E121" s="184"/>
      <c r="F121" s="184">
        <f>SUM(F48:F119)</f>
        <v>5386687.8957251869</v>
      </c>
      <c r="G121" s="184"/>
      <c r="H121" s="185">
        <f>SUM(H49:H120)</f>
        <v>0</v>
      </c>
      <c r="I121" s="185">
        <f>SUM(I49:I120)</f>
        <v>-60328.932140650249</v>
      </c>
      <c r="J121" s="185"/>
      <c r="K121" s="185">
        <f>SUM(K48:K120)</f>
        <v>5326358.9635845358</v>
      </c>
      <c r="L121" s="185">
        <f>SUM(L49:L119)</f>
        <v>323141.69993310323</v>
      </c>
      <c r="M121" s="185"/>
      <c r="N121" s="185">
        <f>SUM(N48:N120)</f>
        <v>5649500.66351764</v>
      </c>
      <c r="O121" s="227"/>
    </row>
    <row r="122" spans="1:15" ht="15.75">
      <c r="A122" s="73"/>
      <c r="B122" s="23"/>
      <c r="C122" s="183"/>
      <c r="D122" s="182"/>
      <c r="E122" s="182"/>
      <c r="F122" s="23"/>
      <c r="G122" s="182"/>
      <c r="H122" s="183">
        <f>+F121+I121</f>
        <v>5326358.9635845367</v>
      </c>
      <c r="I122" s="182"/>
      <c r="J122" s="183"/>
      <c r="K122" s="183"/>
      <c r="L122" s="183"/>
      <c r="M122" s="183"/>
      <c r="N122" s="183"/>
    </row>
    <row r="123" spans="1:15" ht="15.75">
      <c r="A123" s="73"/>
      <c r="B123" s="23"/>
      <c r="C123" s="183"/>
      <c r="D123" s="182"/>
      <c r="E123" s="182"/>
      <c r="F123" s="23"/>
      <c r="G123" s="182"/>
      <c r="H123" s="183"/>
      <c r="I123" s="182"/>
      <c r="J123" s="183"/>
      <c r="K123" s="183"/>
      <c r="L123" s="183"/>
      <c r="M123" s="183"/>
      <c r="N123" s="183"/>
    </row>
    <row r="124" spans="1:15" ht="15.75">
      <c r="A124" s="73"/>
      <c r="B124" s="22" t="s">
        <v>18</v>
      </c>
      <c r="C124" s="182">
        <f>C45-C121</f>
        <v>161446.28999999911</v>
      </c>
      <c r="D124" s="182">
        <f>D45-D121</f>
        <v>1044388.1857251861</v>
      </c>
      <c r="E124" s="182"/>
      <c r="F124" s="182">
        <f>F45-F121</f>
        <v>-882941.89572518691</v>
      </c>
      <c r="G124" s="182"/>
      <c r="H124" s="182">
        <f>H45-H121</f>
        <v>0</v>
      </c>
      <c r="I124" s="182">
        <f>I45-I121</f>
        <v>60328.932140650249</v>
      </c>
      <c r="J124" s="182"/>
      <c r="K124" s="182">
        <f>K45-K121</f>
        <v>-822612.96358453576</v>
      </c>
      <c r="L124" s="182">
        <f>L45-L121</f>
        <v>-107218.86044244102</v>
      </c>
      <c r="M124" s="182"/>
      <c r="N124" s="182">
        <f>N45-N121</f>
        <v>-929831.82402697671</v>
      </c>
    </row>
    <row r="125" spans="1:15" ht="15.75">
      <c r="A125" s="73"/>
      <c r="B125" s="22" t="s">
        <v>581</v>
      </c>
      <c r="C125" s="182">
        <v>0</v>
      </c>
      <c r="D125" s="182"/>
      <c r="E125" s="182"/>
      <c r="F125" s="182">
        <f>11993-F114</f>
        <v>-3807.2100000000009</v>
      </c>
      <c r="G125" s="182"/>
      <c r="H125" s="182"/>
      <c r="I125" s="182"/>
      <c r="J125" s="182"/>
      <c r="K125" s="182">
        <f>11993-K114</f>
        <v>11993</v>
      </c>
      <c r="L125" s="182"/>
      <c r="M125" s="182"/>
      <c r="N125" s="182">
        <f>11993-N114</f>
        <v>11993</v>
      </c>
    </row>
    <row r="126" spans="1:15" ht="15.75">
      <c r="A126" s="73"/>
      <c r="B126" s="22" t="s">
        <v>740</v>
      </c>
      <c r="C126" s="182">
        <f>+(C124-C125)*0.21</f>
        <v>33903.720899999811</v>
      </c>
      <c r="D126" s="182"/>
      <c r="E126" s="182"/>
      <c r="F126" s="182">
        <f>+(F124-F125)*0.34</f>
        <v>-298905.79314656358</v>
      </c>
      <c r="G126" s="182"/>
      <c r="H126" s="182"/>
      <c r="I126" s="182"/>
      <c r="J126" s="182"/>
      <c r="K126" s="182">
        <f>+(K124-K125)*0.34</f>
        <v>-283766.0276187422</v>
      </c>
      <c r="L126" s="182"/>
      <c r="M126" s="182"/>
      <c r="N126" s="182">
        <f>+(N124-N125)*0.34</f>
        <v>-320220.44016917213</v>
      </c>
    </row>
    <row r="127" spans="1:15" ht="15.75">
      <c r="A127" s="73"/>
      <c r="B127" s="22" t="s">
        <v>582</v>
      </c>
      <c r="C127" s="653">
        <f>+C124-C125-C126</f>
        <v>127542.56909999929</v>
      </c>
      <c r="D127" s="182"/>
      <c r="E127" s="182"/>
      <c r="F127" s="653">
        <f>+F124-F125-F126</f>
        <v>-580228.89257862337</v>
      </c>
      <c r="G127" s="182"/>
      <c r="H127" s="182"/>
      <c r="I127" s="182"/>
      <c r="J127" s="182"/>
      <c r="K127" s="653">
        <f>+K124-K125-K126</f>
        <v>-550839.93596579356</v>
      </c>
      <c r="L127" s="182"/>
      <c r="M127" s="182"/>
      <c r="N127" s="653">
        <f>+N124-N125-N126</f>
        <v>-621604.38385780458</v>
      </c>
    </row>
    <row r="128" spans="1:15" ht="15.75">
      <c r="A128" s="73"/>
      <c r="B128" s="22"/>
      <c r="C128" s="189"/>
      <c r="D128" s="182"/>
      <c r="E128" s="182"/>
      <c r="F128" s="189"/>
      <c r="G128" s="182"/>
      <c r="H128" s="182"/>
      <c r="I128" s="182"/>
      <c r="J128" s="182"/>
      <c r="K128" s="189"/>
      <c r="L128" s="182"/>
      <c r="M128" s="182"/>
      <c r="N128" s="189"/>
    </row>
    <row r="129" spans="1:14" ht="15.75">
      <c r="A129" s="73"/>
      <c r="B129" s="22" t="s">
        <v>583</v>
      </c>
      <c r="C129" s="188">
        <f>+'WP-2 - Summary Depr'!$Q25</f>
        <v>1557888.7105130614</v>
      </c>
      <c r="D129" s="182"/>
      <c r="E129" s="182"/>
      <c r="F129" s="188">
        <f>+'WP-2 - Summary Depr'!$Q25</f>
        <v>1557888.7105130614</v>
      </c>
      <c r="G129" s="182"/>
      <c r="H129" s="182"/>
      <c r="I129" s="182"/>
      <c r="J129" s="182"/>
      <c r="K129" s="188">
        <f>+'WP-2 - Summary Depr'!$Q25</f>
        <v>1557888.7105130614</v>
      </c>
      <c r="L129" s="182"/>
      <c r="M129" s="182"/>
      <c r="N129" s="188">
        <f>+'WP-2 - Summary Depr'!$Q25</f>
        <v>1557888.7105130614</v>
      </c>
    </row>
    <row r="130" spans="1:14" ht="15.75">
      <c r="A130" s="73"/>
      <c r="B130" s="22"/>
      <c r="C130" s="182"/>
      <c r="D130" s="182"/>
      <c r="E130" s="182"/>
      <c r="F130" s="182"/>
      <c r="G130" s="182"/>
      <c r="H130" s="182"/>
      <c r="I130" s="182"/>
      <c r="J130" s="182"/>
      <c r="K130" s="182"/>
      <c r="L130" s="182"/>
      <c r="M130" s="182"/>
      <c r="N130" s="182"/>
    </row>
    <row r="131" spans="1:14" ht="15.75">
      <c r="A131" s="73"/>
      <c r="B131" s="22" t="s">
        <v>33</v>
      </c>
      <c r="C131" s="186">
        <f>C121/C45</f>
        <v>0.97459068424981787</v>
      </c>
      <c r="D131" s="186"/>
      <c r="E131" s="186"/>
      <c r="F131" s="186">
        <f>F121/F45</f>
        <v>1.1960461126638107</v>
      </c>
      <c r="G131" s="186"/>
      <c r="H131" s="186"/>
      <c r="I131" s="186"/>
      <c r="J131" s="186"/>
      <c r="K131" s="186">
        <f>K121/K45</f>
        <v>1.1826508341244235</v>
      </c>
      <c r="L131" s="186"/>
      <c r="M131" s="186"/>
      <c r="N131" s="186">
        <f>N121/N45</f>
        <v>1.1970120903921984</v>
      </c>
    </row>
    <row r="132" spans="1:14" ht="15.75">
      <c r="A132" s="73"/>
      <c r="B132" s="22"/>
      <c r="C132" s="182"/>
      <c r="D132" s="182"/>
      <c r="E132" s="182"/>
      <c r="F132" s="182"/>
      <c r="G132" s="182"/>
      <c r="H132" s="182"/>
      <c r="I132" s="182"/>
      <c r="J132" s="182"/>
      <c r="K132" s="182"/>
      <c r="L132" s="182"/>
      <c r="M132" s="182"/>
      <c r="N132" s="182"/>
    </row>
    <row r="133" spans="1:14" ht="15.75">
      <c r="A133" s="73"/>
      <c r="B133" s="22" t="s">
        <v>584</v>
      </c>
      <c r="C133" s="654">
        <f>+C127/C129</f>
        <v>8.1868857665702927E-2</v>
      </c>
      <c r="D133" s="182"/>
      <c r="E133" s="182"/>
      <c r="F133" s="654">
        <f>+F127/F129</f>
        <v>-0.37244566230121529</v>
      </c>
      <c r="G133" s="182"/>
      <c r="H133" s="182"/>
      <c r="I133" s="182"/>
      <c r="J133" s="182"/>
      <c r="K133" s="654">
        <f>+K127/K129</f>
        <v>-0.35358105636723225</v>
      </c>
      <c r="L133" s="182"/>
      <c r="M133" s="182"/>
      <c r="N133" s="654">
        <f>+N127/N129</f>
        <v>-0.39900435741208423</v>
      </c>
    </row>
    <row r="134" spans="1:14" ht="15.75">
      <c r="A134" s="73"/>
      <c r="B134" s="22"/>
      <c r="C134" s="78"/>
      <c r="D134" s="78"/>
      <c r="E134" s="655"/>
      <c r="F134" s="78"/>
      <c r="G134" s="655"/>
      <c r="H134" s="655"/>
      <c r="I134" s="78"/>
      <c r="J134" s="655"/>
      <c r="K134" s="78"/>
      <c r="L134" s="78"/>
      <c r="M134" s="655"/>
      <c r="N134" s="78"/>
    </row>
    <row r="135" spans="1:14" ht="16.5">
      <c r="A135" s="73"/>
      <c r="B135" s="22" t="s">
        <v>1265</v>
      </c>
      <c r="C135" s="78"/>
      <c r="D135" s="78"/>
      <c r="E135" s="655"/>
      <c r="F135" s="78"/>
      <c r="G135" s="655"/>
      <c r="H135" s="655"/>
      <c r="I135" s="78"/>
      <c r="J135" s="655"/>
      <c r="K135" s="78"/>
      <c r="L135" s="78"/>
      <c r="M135" s="655"/>
      <c r="N135" s="666"/>
    </row>
    <row r="136" spans="1:14" ht="15.75">
      <c r="A136" s="73"/>
      <c r="B136" s="22"/>
      <c r="C136" s="78"/>
      <c r="D136" s="78"/>
      <c r="E136" s="655"/>
      <c r="F136" s="78"/>
      <c r="G136" s="655"/>
      <c r="H136" s="655"/>
      <c r="I136" s="78"/>
      <c r="J136" s="655"/>
      <c r="K136" s="78"/>
      <c r="L136" s="78"/>
      <c r="M136" s="655"/>
      <c r="N136" s="78"/>
    </row>
    <row r="137" spans="1:14" ht="15.75">
      <c r="A137" s="73"/>
      <c r="B137" s="22"/>
      <c r="C137" s="328"/>
      <c r="D137" s="78"/>
      <c r="E137" s="655"/>
      <c r="F137" s="78"/>
      <c r="G137" s="655"/>
      <c r="H137" s="655"/>
      <c r="I137" s="78"/>
      <c r="J137" s="655"/>
      <c r="K137" s="78"/>
      <c r="L137" s="78"/>
      <c r="M137" s="655"/>
      <c r="N137" s="78"/>
    </row>
    <row r="138" spans="1:14" ht="15.75">
      <c r="A138" s="73"/>
      <c r="B138" s="22"/>
      <c r="C138" s="328"/>
      <c r="D138" s="78"/>
      <c r="E138" s="655"/>
      <c r="F138" s="78"/>
      <c r="G138" s="655"/>
      <c r="H138" s="655"/>
      <c r="I138" s="78"/>
      <c r="J138" s="655"/>
      <c r="K138" s="78"/>
      <c r="L138" s="78"/>
      <c r="M138" s="655"/>
      <c r="N138" s="78"/>
    </row>
    <row r="139" spans="1:14" ht="15.75">
      <c r="A139" s="73"/>
      <c r="B139" s="22"/>
      <c r="C139" s="328"/>
      <c r="D139" s="78"/>
      <c r="E139" s="655"/>
      <c r="F139" s="78"/>
      <c r="G139" s="655"/>
      <c r="H139" s="655"/>
      <c r="I139" s="78"/>
      <c r="J139" s="655"/>
      <c r="K139" s="78"/>
      <c r="L139" s="78"/>
      <c r="M139" s="655"/>
      <c r="N139" s="78"/>
    </row>
    <row r="140" spans="1:14" ht="15.75">
      <c r="A140" s="73"/>
      <c r="B140" s="23"/>
      <c r="C140" s="78"/>
      <c r="D140" s="78"/>
      <c r="E140" s="655"/>
      <c r="F140" s="78"/>
      <c r="G140" s="655"/>
      <c r="H140" s="655"/>
      <c r="I140" s="78"/>
      <c r="J140" s="655"/>
      <c r="K140" s="78"/>
      <c r="L140" s="78"/>
      <c r="M140" s="655"/>
      <c r="N140" s="78"/>
    </row>
    <row r="141" spans="1:14" ht="15.75">
      <c r="A141" s="73"/>
      <c r="B141" s="1"/>
      <c r="C141" s="179"/>
      <c r="D141" s="179"/>
      <c r="E141" s="178"/>
      <c r="F141" s="179"/>
      <c r="G141" s="178"/>
      <c r="H141" s="178"/>
      <c r="I141" s="78"/>
      <c r="J141" s="178"/>
      <c r="K141" s="179"/>
      <c r="L141" s="179"/>
      <c r="M141" s="178"/>
      <c r="N141" s="179"/>
    </row>
    <row r="142" spans="1:14" ht="15.75">
      <c r="A142" s="73"/>
      <c r="B142" s="1"/>
      <c r="C142" s="1"/>
      <c r="D142" s="1"/>
      <c r="E142" s="73"/>
      <c r="F142" s="1"/>
      <c r="G142" s="73"/>
      <c r="H142" s="73"/>
      <c r="I142" s="1"/>
      <c r="J142" s="73"/>
      <c r="K142" s="1"/>
      <c r="L142" s="1"/>
      <c r="M142" s="73"/>
      <c r="N142" s="1"/>
    </row>
    <row r="143" spans="1:14" ht="15.75">
      <c r="A143" s="73"/>
      <c r="B143" s="1"/>
      <c r="C143" s="1"/>
      <c r="D143" s="1"/>
      <c r="E143" s="73"/>
      <c r="F143" s="1"/>
      <c r="G143" s="73"/>
      <c r="H143" s="73"/>
      <c r="I143" s="1"/>
      <c r="J143" s="73"/>
      <c r="K143" s="1"/>
      <c r="L143" s="1"/>
      <c r="M143" s="73"/>
      <c r="N143" s="1"/>
    </row>
    <row r="144" spans="1:14" ht="15.75">
      <c r="A144" s="73"/>
      <c r="B144" s="1"/>
      <c r="C144" s="1"/>
      <c r="D144" s="1"/>
      <c r="E144" s="73"/>
      <c r="F144" s="1"/>
      <c r="G144" s="73"/>
      <c r="H144" s="73"/>
      <c r="I144" s="1"/>
      <c r="J144" s="73"/>
      <c r="K144" s="1"/>
      <c r="L144" s="1"/>
      <c r="M144" s="73"/>
      <c r="N144" s="1"/>
    </row>
    <row r="145" spans="1:14" ht="15.75">
      <c r="A145" s="73"/>
      <c r="B145" s="1"/>
      <c r="C145" s="1"/>
      <c r="D145" s="1"/>
      <c r="E145" s="73"/>
      <c r="F145" s="1"/>
      <c r="G145" s="73"/>
      <c r="H145" s="73"/>
      <c r="I145" s="1"/>
      <c r="J145" s="73"/>
      <c r="K145" s="1"/>
      <c r="L145" s="1"/>
      <c r="M145" s="73"/>
      <c r="N145" s="1"/>
    </row>
    <row r="146" spans="1:14" ht="15.75">
      <c r="A146" s="73"/>
      <c r="B146" s="1"/>
      <c r="C146" s="1"/>
      <c r="D146" s="1"/>
      <c r="E146" s="73"/>
      <c r="F146" s="1"/>
      <c r="G146" s="73"/>
      <c r="H146" s="73"/>
      <c r="I146" s="1"/>
      <c r="J146" s="73"/>
      <c r="K146" s="1"/>
      <c r="L146" s="1"/>
      <c r="M146" s="73"/>
      <c r="N146" s="1"/>
    </row>
  </sheetData>
  <mergeCells count="4">
    <mergeCell ref="B1:N1"/>
    <mergeCell ref="B3:N3"/>
    <mergeCell ref="B5:N5"/>
    <mergeCell ref="B6:N6"/>
  </mergeCells>
  <phoneticPr fontId="36" type="noConversion"/>
  <pageMargins left="0.7" right="0.7" top="0.75" bottom="0.75" header="0.3" footer="0.3"/>
  <pageSetup scale="61" fitToHeight="0" orientation="landscape" r:id="rId1"/>
  <rowBreaks count="2" manualBreakCount="2">
    <brk id="46" max="15" man="1"/>
    <brk id="99"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T17"/>
  <sheetViews>
    <sheetView zoomScaleNormal="100" workbookViewId="0">
      <selection activeCell="A9" sqref="A9:I10"/>
    </sheetView>
  </sheetViews>
  <sheetFormatPr defaultColWidth="8.88671875" defaultRowHeight="15.75"/>
  <cols>
    <col min="1" max="1" width="5.88671875" style="1" customWidth="1"/>
    <col min="2" max="8" width="7.88671875" style="1" customWidth="1"/>
    <col min="9" max="9" width="12.109375" style="1" customWidth="1"/>
    <col min="10" max="11" width="8.88671875" style="1"/>
    <col min="12" max="12" width="9.88671875" style="1" customWidth="1"/>
    <col min="13" max="16384" width="8.88671875" style="1"/>
  </cols>
  <sheetData>
    <row r="1" spans="1:20" ht="16.5">
      <c r="A1" s="783" t="str">
        <f>+Operations!B1</f>
        <v>BAINBRIDGE DISPOSAL, INC.</v>
      </c>
      <c r="B1" s="783"/>
      <c r="C1" s="783"/>
      <c r="D1" s="783"/>
      <c r="E1" s="783"/>
      <c r="F1" s="783"/>
      <c r="G1" s="783"/>
      <c r="H1" s="783"/>
      <c r="I1" s="783"/>
    </row>
    <row r="3" spans="1:20" ht="16.5">
      <c r="A3" s="783" t="s">
        <v>106</v>
      </c>
      <c r="B3" s="783"/>
      <c r="C3" s="783"/>
      <c r="D3" s="783"/>
      <c r="E3" s="783"/>
      <c r="F3" s="783"/>
      <c r="G3" s="783"/>
      <c r="H3" s="783"/>
      <c r="I3" s="783"/>
    </row>
    <row r="5" spans="1:20">
      <c r="A5" s="784" t="s">
        <v>607</v>
      </c>
      <c r="B5" s="784"/>
      <c r="C5" s="784"/>
      <c r="D5" s="784"/>
      <c r="E5" s="784"/>
      <c r="F5" s="784"/>
      <c r="G5" s="784"/>
      <c r="H5" s="784"/>
      <c r="I5" s="784"/>
    </row>
    <row r="6" spans="1:20">
      <c r="A6" s="784" t="s">
        <v>847</v>
      </c>
      <c r="B6" s="784"/>
      <c r="C6" s="784"/>
      <c r="D6" s="784"/>
      <c r="E6" s="784"/>
      <c r="F6" s="784"/>
      <c r="G6" s="784"/>
      <c r="H6" s="784"/>
      <c r="I6" s="784"/>
    </row>
    <row r="7" spans="1:20">
      <c r="A7" s="799" t="s">
        <v>197</v>
      </c>
      <c r="B7" s="799"/>
      <c r="C7" s="799"/>
      <c r="D7" s="799"/>
      <c r="E7" s="799"/>
      <c r="F7" s="799"/>
      <c r="G7" s="799"/>
      <c r="H7" s="799"/>
      <c r="I7" s="799"/>
    </row>
    <row r="8" spans="1:20">
      <c r="D8" s="36"/>
    </row>
    <row r="9" spans="1:20" ht="89.45" customHeight="1">
      <c r="A9" s="800" t="s">
        <v>1299</v>
      </c>
      <c r="B9" s="800"/>
      <c r="C9" s="800"/>
      <c r="D9" s="800"/>
      <c r="E9" s="800"/>
      <c r="F9" s="800"/>
      <c r="G9" s="800"/>
      <c r="H9" s="800"/>
      <c r="I9" s="800"/>
      <c r="K9" s="60"/>
      <c r="L9" s="61"/>
      <c r="M9" s="60"/>
    </row>
    <row r="10" spans="1:20" ht="17.25" customHeight="1">
      <c r="A10" s="800"/>
      <c r="B10" s="800"/>
      <c r="C10" s="800"/>
      <c r="D10" s="800"/>
      <c r="E10" s="800"/>
      <c r="F10" s="800"/>
      <c r="G10" s="800"/>
      <c r="H10" s="800"/>
      <c r="I10" s="800"/>
      <c r="K10" s="60"/>
      <c r="L10" s="61"/>
      <c r="M10" s="60"/>
    </row>
    <row r="11" spans="1:20" ht="12" customHeight="1">
      <c r="A11" s="665"/>
      <c r="B11" s="665"/>
      <c r="C11" s="665"/>
      <c r="D11" s="665"/>
      <c r="E11" s="665"/>
      <c r="F11" s="665"/>
      <c r="G11" s="665"/>
      <c r="H11" s="665"/>
      <c r="I11" s="665"/>
      <c r="K11" s="60"/>
      <c r="L11" s="61"/>
      <c r="M11" s="60"/>
    </row>
    <row r="12" spans="1:20" ht="12.95" customHeight="1">
      <c r="D12" s="37"/>
    </row>
    <row r="13" spans="1:20" ht="79.349999999999994" customHeight="1">
      <c r="A13" s="798" t="s">
        <v>1286</v>
      </c>
      <c r="B13" s="798"/>
      <c r="C13" s="798"/>
      <c r="D13" s="798"/>
      <c r="E13" s="798"/>
      <c r="F13" s="798"/>
      <c r="G13" s="798"/>
      <c r="H13" s="798"/>
      <c r="I13" s="798"/>
      <c r="K13" s="60"/>
      <c r="L13" s="62"/>
      <c r="M13" s="60"/>
      <c r="N13" s="62"/>
    </row>
    <row r="14" spans="1:20" ht="12.95" customHeight="1">
      <c r="D14" s="37"/>
    </row>
    <row r="15" spans="1:20" s="63" customFormat="1" ht="62.1" customHeight="1">
      <c r="A15" s="798" t="s">
        <v>1285</v>
      </c>
      <c r="B15" s="798"/>
      <c r="C15" s="798"/>
      <c r="D15" s="798"/>
      <c r="E15" s="798"/>
      <c r="F15" s="798"/>
      <c r="G15" s="798"/>
      <c r="H15" s="798"/>
      <c r="I15" s="798"/>
      <c r="K15" s="1"/>
      <c r="L15" s="1"/>
      <c r="M15" s="1"/>
      <c r="N15" s="1"/>
      <c r="O15" s="1"/>
      <c r="P15" s="1"/>
      <c r="Q15" s="1"/>
      <c r="R15" s="1"/>
      <c r="S15" s="1"/>
      <c r="T15" s="1"/>
    </row>
    <row r="16" spans="1:20" ht="18.75">
      <c r="D16" s="38"/>
    </row>
    <row r="17" spans="11:20">
      <c r="K17" s="63"/>
      <c r="L17" s="63"/>
      <c r="M17" s="63"/>
      <c r="N17" s="63"/>
      <c r="O17" s="63"/>
      <c r="P17" s="63"/>
      <c r="Q17" s="63"/>
      <c r="R17" s="63"/>
      <c r="S17" s="63"/>
      <c r="T17" s="63"/>
    </row>
  </sheetData>
  <mergeCells count="8">
    <mergeCell ref="A15:I15"/>
    <mergeCell ref="A13:I13"/>
    <mergeCell ref="A1:I1"/>
    <mergeCell ref="A3:I3"/>
    <mergeCell ref="A5:I5"/>
    <mergeCell ref="A7:I7"/>
    <mergeCell ref="A6:I6"/>
    <mergeCell ref="A9:I10"/>
  </mergeCells>
  <pageMargins left="0.9" right="0.7" top="0.75" bottom="0.5" header="0" footer="0.25"/>
  <pageSetup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G41"/>
  <sheetViews>
    <sheetView topLeftCell="A4" zoomScaleNormal="100" workbookViewId="0">
      <selection activeCell="B9" sqref="B9:E9"/>
    </sheetView>
  </sheetViews>
  <sheetFormatPr defaultColWidth="8" defaultRowHeight="15.75"/>
  <cols>
    <col min="1" max="1" width="5.6640625" style="8" customWidth="1"/>
    <col min="2" max="2" width="19.5546875" style="4" customWidth="1"/>
    <col min="3" max="3" width="17.33203125" style="4" customWidth="1"/>
    <col min="4" max="5" width="14.88671875" style="4" customWidth="1"/>
    <col min="6" max="6" width="8.88671875" style="4" customWidth="1"/>
    <col min="7" max="7" width="6.5546875" style="4" customWidth="1"/>
    <col min="8" max="8" width="9" style="4" bestFit="1" customWidth="1"/>
    <col min="9" max="16384" width="8" style="4"/>
  </cols>
  <sheetData>
    <row r="1" spans="1:7" ht="16.5" customHeight="1">
      <c r="A1" s="801" t="str">
        <f>+Operations!B1</f>
        <v>BAINBRIDGE DISPOSAL, INC.</v>
      </c>
      <c r="B1" s="801"/>
      <c r="C1" s="801"/>
      <c r="D1" s="801"/>
      <c r="E1" s="801"/>
      <c r="F1" s="801"/>
      <c r="G1" s="801"/>
    </row>
    <row r="2" spans="1:7" ht="13.5" customHeight="1">
      <c r="A2" s="172"/>
      <c r="B2" s="172"/>
      <c r="C2" s="172"/>
      <c r="D2" s="172"/>
      <c r="E2" s="172"/>
      <c r="F2" s="172"/>
      <c r="G2" s="172"/>
    </row>
    <row r="3" spans="1:7" ht="16.5">
      <c r="A3" s="802" t="s">
        <v>90</v>
      </c>
      <c r="B3" s="802"/>
      <c r="C3" s="802"/>
      <c r="D3" s="802"/>
      <c r="E3" s="802"/>
      <c r="F3" s="802"/>
      <c r="G3" s="802"/>
    </row>
    <row r="4" spans="1:7" ht="15.75" customHeight="1">
      <c r="A4" s="40"/>
      <c r="B4" s="40"/>
      <c r="C4" s="40"/>
      <c r="D4" s="40"/>
      <c r="E4" s="40"/>
      <c r="F4" s="40"/>
      <c r="G4" s="40"/>
    </row>
    <row r="5" spans="1:7" ht="15.75" customHeight="1">
      <c r="A5" s="784" t="s">
        <v>607</v>
      </c>
      <c r="B5" s="784"/>
      <c r="C5" s="784"/>
      <c r="D5" s="784"/>
      <c r="E5" s="784"/>
      <c r="F5" s="784"/>
      <c r="G5" s="784"/>
    </row>
    <row r="6" spans="1:7" ht="15.75" customHeight="1">
      <c r="A6" s="784" t="s">
        <v>847</v>
      </c>
      <c r="B6" s="784"/>
      <c r="C6" s="784"/>
      <c r="D6" s="784"/>
      <c r="E6" s="784"/>
      <c r="F6" s="784"/>
      <c r="G6" s="784"/>
    </row>
    <row r="7" spans="1:7" ht="15.75" customHeight="1">
      <c r="A7" s="799" t="s">
        <v>197</v>
      </c>
      <c r="B7" s="799"/>
      <c r="C7" s="799"/>
      <c r="D7" s="799"/>
      <c r="E7" s="799"/>
      <c r="F7" s="799"/>
      <c r="G7" s="799"/>
    </row>
    <row r="8" spans="1:7" ht="15.75" customHeight="1">
      <c r="A8" s="174"/>
      <c r="B8" s="174"/>
      <c r="C8" s="174"/>
      <c r="D8" s="174"/>
      <c r="E8" s="174"/>
      <c r="F8" s="174"/>
      <c r="G8" s="174"/>
    </row>
    <row r="9" spans="1:7" ht="15.75" customHeight="1">
      <c r="A9" s="229" t="s">
        <v>44</v>
      </c>
      <c r="B9" s="805" t="s">
        <v>1236</v>
      </c>
      <c r="C9" s="805"/>
      <c r="D9" s="805"/>
      <c r="E9" s="805"/>
      <c r="F9" s="192"/>
      <c r="G9" s="192"/>
    </row>
    <row r="10" spans="1:7" ht="15.75" customHeight="1">
      <c r="A10" s="190"/>
      <c r="B10" s="803" t="s">
        <v>548</v>
      </c>
      <c r="C10" s="803"/>
      <c r="D10" s="228">
        <f>+Operations!C114</f>
        <v>15800.210000000001</v>
      </c>
      <c r="E10" s="193"/>
      <c r="F10" s="193"/>
      <c r="G10" s="193"/>
    </row>
    <row r="11" spans="1:7" ht="15.75" customHeight="1">
      <c r="A11" s="190"/>
      <c r="B11" s="193"/>
      <c r="C11" s="193"/>
      <c r="D11" s="193"/>
      <c r="E11" s="193"/>
      <c r="F11" s="193"/>
      <c r="G11" s="193"/>
    </row>
    <row r="12" spans="1:7" ht="15.75" customHeight="1">
      <c r="A12" s="230" t="s">
        <v>45</v>
      </c>
      <c r="B12" s="805" t="s">
        <v>1245</v>
      </c>
      <c r="C12" s="805"/>
      <c r="D12" s="805"/>
      <c r="E12" s="805"/>
      <c r="F12" s="192"/>
      <c r="G12" s="192"/>
    </row>
    <row r="13" spans="1:7" ht="15.75" customHeight="1">
      <c r="A13" s="192"/>
      <c r="B13" s="193"/>
      <c r="C13" s="193"/>
      <c r="D13" s="194" t="s">
        <v>0</v>
      </c>
      <c r="E13" s="194"/>
      <c r="F13" s="193"/>
      <c r="G13" s="193"/>
    </row>
    <row r="14" spans="1:7" ht="15.75" customHeight="1">
      <c r="A14" s="192"/>
      <c r="B14" s="804" t="s">
        <v>499</v>
      </c>
      <c r="C14" s="804"/>
      <c r="D14" s="408">
        <f>+'WP-3 - Labor Analysis'!U14</f>
        <v>3532.6591217790965</v>
      </c>
      <c r="E14" s="409"/>
      <c r="F14" s="193"/>
      <c r="G14" s="193"/>
    </row>
    <row r="15" spans="1:7" ht="15.75" customHeight="1">
      <c r="A15" s="192"/>
      <c r="B15" s="806" t="s">
        <v>500</v>
      </c>
      <c r="C15" s="806"/>
      <c r="D15" s="408">
        <f>+'WP-3 - Labor Analysis'!U19</f>
        <v>6611.7422575519886</v>
      </c>
      <c r="E15" s="409"/>
      <c r="F15" s="193"/>
      <c r="G15" s="193"/>
    </row>
    <row r="16" spans="1:7" ht="15.75" customHeight="1">
      <c r="A16" s="192"/>
      <c r="B16" s="804" t="s">
        <v>9</v>
      </c>
      <c r="C16" s="804"/>
      <c r="D16" s="408">
        <f>+'WP-3 - Labor Analysis'!U35</f>
        <v>37481.077151320438</v>
      </c>
      <c r="E16" s="409"/>
      <c r="F16" s="193"/>
      <c r="G16" s="193"/>
    </row>
    <row r="17" spans="1:7" ht="15.75" customHeight="1">
      <c r="A17" s="192"/>
      <c r="B17" s="804" t="s">
        <v>990</v>
      </c>
      <c r="C17" s="804"/>
      <c r="D17" s="408">
        <f>+'WP-3 - Labor Analysis'!U41</f>
        <v>10336.298911872171</v>
      </c>
      <c r="E17" s="409"/>
      <c r="F17" s="193"/>
      <c r="G17" s="193"/>
    </row>
    <row r="18" spans="1:7" ht="15.75" customHeight="1">
      <c r="A18" s="192"/>
      <c r="B18" s="804" t="s">
        <v>1082</v>
      </c>
      <c r="C18" s="804"/>
      <c r="D18" s="408">
        <f>+'WP-3 - Labor Analysis'!U53</f>
        <v>1622.4064114837331</v>
      </c>
      <c r="E18" s="409"/>
      <c r="F18" s="193"/>
      <c r="G18" s="193"/>
    </row>
    <row r="19" spans="1:7" ht="15.75" customHeight="1">
      <c r="A19" s="192"/>
      <c r="B19" s="804" t="s">
        <v>992</v>
      </c>
      <c r="C19" s="804"/>
      <c r="D19" s="408">
        <f>+'WP-3 - Labor Analysis'!U56</f>
        <v>3052.9152904263797</v>
      </c>
      <c r="E19" s="409"/>
      <c r="F19" s="193"/>
      <c r="G19" s="193"/>
    </row>
    <row r="20" spans="1:7" ht="15.75" customHeight="1" thickBot="1">
      <c r="A20" s="192"/>
      <c r="B20" s="330"/>
      <c r="C20" s="330"/>
      <c r="D20" s="410">
        <f>SUM(D14:D19)</f>
        <v>62637.099144433814</v>
      </c>
      <c r="E20" s="311" t="s">
        <v>89</v>
      </c>
      <c r="F20" s="193"/>
      <c r="G20" s="193"/>
    </row>
    <row r="21" spans="1:7" ht="15.75" customHeight="1" thickTop="1">
      <c r="A21" s="192"/>
      <c r="B21" s="194"/>
      <c r="C21" s="194"/>
      <c r="D21" s="195"/>
      <c r="E21" s="193"/>
      <c r="F21" s="193"/>
      <c r="G21" s="193"/>
    </row>
    <row r="22" spans="1:7" ht="15.75" customHeight="1">
      <c r="A22" s="230" t="s">
        <v>46</v>
      </c>
      <c r="B22" s="805" t="s">
        <v>1246</v>
      </c>
      <c r="C22" s="805"/>
      <c r="D22" s="805"/>
      <c r="E22" s="805"/>
      <c r="F22" s="192"/>
      <c r="G22" s="192"/>
    </row>
    <row r="23" spans="1:7" ht="15.75" customHeight="1">
      <c r="A23" s="230"/>
      <c r="B23" s="808" t="s">
        <v>1237</v>
      </c>
      <c r="C23" s="808"/>
      <c r="D23" s="309">
        <f>-'WP-4 - Vehicle License'!E40</f>
        <v>9664</v>
      </c>
      <c r="E23" s="191"/>
      <c r="F23" s="192"/>
      <c r="G23" s="192"/>
    </row>
    <row r="24" spans="1:7" ht="15.75" customHeight="1">
      <c r="A24" s="230"/>
      <c r="B24" s="808" t="s">
        <v>547</v>
      </c>
      <c r="C24" s="808"/>
      <c r="D24" s="195">
        <f>+'WP-11 - Non-Regulated'!N57</f>
        <v>0.87226151155039422</v>
      </c>
      <c r="E24" s="191"/>
      <c r="F24" s="192"/>
      <c r="G24" s="192"/>
    </row>
    <row r="25" spans="1:7" ht="15.75" customHeight="1" thickBot="1">
      <c r="A25" s="192"/>
      <c r="B25" s="808"/>
      <c r="C25" s="808"/>
      <c r="D25" s="312">
        <f>+D23*D24</f>
        <v>8429.5352476230091</v>
      </c>
      <c r="E25" s="311" t="s">
        <v>89</v>
      </c>
      <c r="F25" s="193"/>
      <c r="G25" s="193"/>
    </row>
    <row r="26" spans="1:7" ht="15.75" customHeight="1" thickTop="1">
      <c r="A26" s="192"/>
      <c r="B26" s="193"/>
      <c r="C26" s="193"/>
      <c r="D26" s="193"/>
      <c r="E26" s="193"/>
      <c r="F26" s="193"/>
      <c r="G26" s="193"/>
    </row>
    <row r="27" spans="1:7">
      <c r="A27" s="230" t="s">
        <v>47</v>
      </c>
      <c r="B27" s="809" t="s">
        <v>1247</v>
      </c>
      <c r="C27" s="809"/>
      <c r="D27" s="809"/>
      <c r="E27" s="809"/>
      <c r="F27" s="196"/>
      <c r="G27" s="196"/>
    </row>
    <row r="28" spans="1:7">
      <c r="A28" s="192"/>
      <c r="B28" s="807" t="s">
        <v>1238</v>
      </c>
      <c r="C28" s="807"/>
      <c r="D28" s="310">
        <f>+'WP-5 - Dues &amp; Sub'!C26</f>
        <v>1638.0000000000002</v>
      </c>
      <c r="E28" s="196"/>
      <c r="F28" s="196"/>
      <c r="G28" s="196"/>
    </row>
    <row r="29" spans="1:7">
      <c r="A29" s="192"/>
      <c r="B29" s="807" t="s">
        <v>547</v>
      </c>
      <c r="C29" s="807"/>
      <c r="D29" s="195">
        <f>+'WP-11 - Non-Regulated'!N57</f>
        <v>0.87226151155039422</v>
      </c>
      <c r="E29" s="196"/>
      <c r="F29" s="196"/>
      <c r="G29" s="196"/>
    </row>
    <row r="30" spans="1:7" ht="16.5" thickBot="1">
      <c r="A30" s="192"/>
      <c r="B30" s="196"/>
      <c r="C30" s="196"/>
      <c r="D30" s="231">
        <f>+D28*D29</f>
        <v>1428.764355919546</v>
      </c>
      <c r="E30" s="311" t="s">
        <v>89</v>
      </c>
      <c r="F30" s="182"/>
      <c r="G30" s="182"/>
    </row>
    <row r="31" spans="1:7" ht="16.5" thickTop="1">
      <c r="A31" s="192"/>
      <c r="B31" s="196"/>
      <c r="C31" s="196"/>
      <c r="D31" s="643"/>
      <c r="E31" s="311"/>
      <c r="F31" s="182"/>
      <c r="G31" s="182"/>
    </row>
    <row r="32" spans="1:7">
      <c r="A32" s="230" t="s">
        <v>48</v>
      </c>
      <c r="B32" s="667" t="s">
        <v>1275</v>
      </c>
      <c r="C32" s="667"/>
      <c r="D32" s="668">
        <f>-'WP-2, pg 2 -  Depr'!N353</f>
        <v>-40316.666666650679</v>
      </c>
      <c r="E32" s="667"/>
      <c r="F32" s="182"/>
      <c r="G32" s="182"/>
    </row>
    <row r="33" spans="1:7">
      <c r="A33" s="192"/>
      <c r="B33" s="196" t="s">
        <v>547</v>
      </c>
      <c r="C33" s="196"/>
      <c r="D33" s="313">
        <f>+'WP-11 - Non-Regulated'!N57</f>
        <v>0.87226151155039422</v>
      </c>
      <c r="E33" s="196"/>
      <c r="F33" s="196"/>
      <c r="G33" s="196"/>
    </row>
    <row r="34" spans="1:7">
      <c r="A34" s="192"/>
      <c r="B34" s="196"/>
      <c r="C34" s="196"/>
      <c r="D34" s="644">
        <f>+D32*D33</f>
        <v>-35166.676607326117</v>
      </c>
      <c r="E34" s="645" t="s">
        <v>89</v>
      </c>
      <c r="F34" s="196"/>
      <c r="G34" s="196"/>
    </row>
    <row r="35" spans="1:7">
      <c r="A35" s="192"/>
      <c r="B35" s="196"/>
      <c r="C35" s="196"/>
      <c r="D35" s="196"/>
      <c r="E35" s="196"/>
      <c r="F35" s="196"/>
      <c r="G35" s="196"/>
    </row>
    <row r="36" spans="1:7">
      <c r="A36" s="230" t="s">
        <v>573</v>
      </c>
      <c r="B36" s="809" t="s">
        <v>1248</v>
      </c>
      <c r="C36" s="809"/>
      <c r="D36" s="809"/>
      <c r="E36" s="809"/>
      <c r="F36" s="196"/>
      <c r="G36" s="196"/>
    </row>
    <row r="37" spans="1:7">
      <c r="A37" s="192"/>
      <c r="B37" s="807" t="s">
        <v>853</v>
      </c>
      <c r="C37" s="807"/>
      <c r="D37" s="322">
        <f>+Operations!C115</f>
        <v>7200</v>
      </c>
      <c r="E37" s="311" t="s">
        <v>89</v>
      </c>
      <c r="F37" s="196"/>
      <c r="G37" s="196"/>
    </row>
    <row r="38" spans="1:7" ht="16.5" thickTop="1">
      <c r="A38" s="192"/>
      <c r="B38" s="196"/>
      <c r="C38" s="196"/>
      <c r="D38" s="196"/>
      <c r="E38" s="196"/>
      <c r="F38" s="196"/>
      <c r="G38" s="196"/>
    </row>
    <row r="39" spans="1:7">
      <c r="A39" s="192" t="s">
        <v>592</v>
      </c>
      <c r="B39" s="196"/>
      <c r="C39" s="196" t="s">
        <v>850</v>
      </c>
      <c r="D39" s="197">
        <f>+D37+D30+D25+D20+D10+D34</f>
        <v>60328.932140650264</v>
      </c>
      <c r="E39" s="196"/>
      <c r="F39" s="196"/>
      <c r="G39" s="196"/>
    </row>
    <row r="40" spans="1:7">
      <c r="A40" s="192"/>
      <c r="B40" s="196"/>
      <c r="C40" s="196" t="s">
        <v>849</v>
      </c>
      <c r="D40" s="197">
        <f>+'Sch 1, pg 2 - Restated'!N105</f>
        <v>-60328.932140650249</v>
      </c>
      <c r="E40" s="196"/>
      <c r="F40" s="196"/>
      <c r="G40" s="196"/>
    </row>
    <row r="41" spans="1:7">
      <c r="A41" s="192"/>
      <c r="B41" s="196"/>
      <c r="C41" s="196"/>
      <c r="D41" s="197">
        <f>+D39+D40</f>
        <v>0</v>
      </c>
      <c r="E41" s="196"/>
      <c r="F41" s="196"/>
      <c r="G41" s="196"/>
    </row>
  </sheetData>
  <mergeCells count="23">
    <mergeCell ref="B37:C37"/>
    <mergeCell ref="B17:C17"/>
    <mergeCell ref="B18:C18"/>
    <mergeCell ref="B19:C19"/>
    <mergeCell ref="B23:C23"/>
    <mergeCell ref="B24:C24"/>
    <mergeCell ref="B36:E36"/>
    <mergeCell ref="B22:E22"/>
    <mergeCell ref="B27:E27"/>
    <mergeCell ref="B25:C25"/>
    <mergeCell ref="B28:C28"/>
    <mergeCell ref="B29:C29"/>
    <mergeCell ref="A1:G1"/>
    <mergeCell ref="A3:G3"/>
    <mergeCell ref="B10:C10"/>
    <mergeCell ref="B14:C14"/>
    <mergeCell ref="B16:C16"/>
    <mergeCell ref="A5:G5"/>
    <mergeCell ref="A6:G6"/>
    <mergeCell ref="A7:G7"/>
    <mergeCell ref="B9:E9"/>
    <mergeCell ref="B12:E12"/>
    <mergeCell ref="B15:C15"/>
  </mergeCells>
  <phoneticPr fontId="8" type="noConversion"/>
  <pageMargins left="0.9" right="0.7" top="0.75" bottom="0.5" header="0" footer="0.25"/>
  <pageSetup scale="84" fitToHeight="0" orientation="portrait" r:id="rId1"/>
  <headerFooter scaleWithDoc="0" alignWithMargins="0">
    <oddFooter xml:space="preserve">&amp;C&amp;"Times New Roman,Regular"&amp;10See accompanying summary of significant forecast assumptions.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Q117"/>
  <sheetViews>
    <sheetView zoomScaleNormal="100" workbookViewId="0">
      <selection sqref="A1:N1"/>
    </sheetView>
  </sheetViews>
  <sheetFormatPr defaultColWidth="8" defaultRowHeight="15.75"/>
  <cols>
    <col min="1" max="1" width="35.109375" style="89" bestFit="1" customWidth="1"/>
    <col min="2" max="2" width="10.88671875" style="89" customWidth="1"/>
    <col min="3" max="3" width="0.44140625" style="89" customWidth="1"/>
    <col min="4" max="4" width="10.88671875" style="89" customWidth="1"/>
    <col min="5" max="5" width="0.44140625" style="89" customWidth="1"/>
    <col min="6" max="6" width="10.88671875" style="89" customWidth="1"/>
    <col min="7" max="7" width="0.44140625" style="89" customWidth="1"/>
    <col min="8" max="8" width="10.88671875" style="89" customWidth="1"/>
    <col min="9" max="9" width="0.44140625" style="89" customWidth="1"/>
    <col min="10" max="10" width="10.88671875" style="89" customWidth="1"/>
    <col min="11" max="11" width="0.44140625" style="89" customWidth="1"/>
    <col min="12" max="12" width="10.88671875" style="89" customWidth="1"/>
    <col min="13" max="13" width="0.44140625" style="89" customWidth="1"/>
    <col min="14" max="14" width="10.88671875" style="89" customWidth="1"/>
    <col min="15" max="16384" width="8" style="87"/>
  </cols>
  <sheetData>
    <row r="1" spans="1:17" ht="16.5">
      <c r="A1" s="810" t="s">
        <v>601</v>
      </c>
      <c r="B1" s="810"/>
      <c r="C1" s="810"/>
      <c r="D1" s="810"/>
      <c r="E1" s="810"/>
      <c r="F1" s="810"/>
      <c r="G1" s="810"/>
      <c r="H1" s="810"/>
      <c r="I1" s="810"/>
      <c r="J1" s="810"/>
      <c r="K1" s="810"/>
      <c r="L1" s="810"/>
      <c r="M1" s="810"/>
      <c r="N1" s="810"/>
    </row>
    <row r="2" spans="1:17" ht="13.5" customHeight="1">
      <c r="A2" s="88"/>
      <c r="P2" s="90"/>
      <c r="Q2" s="91"/>
    </row>
    <row r="3" spans="1:17" ht="16.5">
      <c r="A3" s="810" t="s">
        <v>95</v>
      </c>
      <c r="B3" s="810"/>
      <c r="C3" s="810"/>
      <c r="D3" s="810"/>
      <c r="E3" s="810"/>
      <c r="F3" s="810"/>
      <c r="G3" s="810"/>
      <c r="H3" s="810"/>
      <c r="I3" s="810"/>
      <c r="J3" s="810"/>
      <c r="K3" s="810"/>
      <c r="L3" s="810"/>
      <c r="M3" s="810"/>
      <c r="N3" s="810"/>
      <c r="P3" s="90"/>
      <c r="Q3" s="91"/>
    </row>
    <row r="4" spans="1:17">
      <c r="A4" s="92"/>
      <c r="B4" s="92"/>
      <c r="C4" s="92"/>
      <c r="D4" s="92"/>
      <c r="E4" s="92"/>
      <c r="F4" s="92"/>
      <c r="G4" s="92"/>
      <c r="H4" s="92"/>
      <c r="I4" s="92"/>
      <c r="J4" s="92"/>
      <c r="K4" s="92"/>
      <c r="L4" s="92"/>
      <c r="M4" s="92"/>
      <c r="N4" s="92"/>
      <c r="P4" s="90"/>
      <c r="Q4" s="91"/>
    </row>
    <row r="5" spans="1:17">
      <c r="A5" s="811" t="str">
        <f>+Operations!B5</f>
        <v>For the Twelve Months Ended December 31, 2022 Historical and December 31, 2024 Forecasted</v>
      </c>
      <c r="B5" s="811"/>
      <c r="C5" s="811"/>
      <c r="D5" s="811"/>
      <c r="E5" s="811"/>
      <c r="F5" s="811"/>
      <c r="G5" s="811"/>
      <c r="H5" s="811"/>
      <c r="I5" s="811"/>
      <c r="J5" s="811"/>
      <c r="K5" s="811"/>
      <c r="L5" s="811"/>
      <c r="M5" s="811"/>
      <c r="N5" s="811"/>
      <c r="P5" s="90"/>
      <c r="Q5" s="91"/>
    </row>
    <row r="6" spans="1:17">
      <c r="A6" s="811" t="str">
        <f>+Operations!B6</f>
        <v>(See Independent Accountants’ Compilation Report)</v>
      </c>
      <c r="B6" s="811"/>
      <c r="C6" s="811"/>
      <c r="D6" s="811"/>
      <c r="E6" s="811"/>
      <c r="F6" s="811"/>
      <c r="G6" s="811"/>
      <c r="H6" s="811"/>
      <c r="I6" s="811"/>
      <c r="J6" s="811"/>
      <c r="K6" s="811"/>
      <c r="L6" s="811"/>
      <c r="M6" s="811"/>
      <c r="N6" s="811"/>
    </row>
    <row r="7" spans="1:17">
      <c r="A7" s="92"/>
      <c r="B7" s="92"/>
      <c r="C7" s="92"/>
      <c r="D7" s="92"/>
      <c r="E7" s="92"/>
      <c r="F7" s="92"/>
      <c r="G7" s="92"/>
      <c r="H7" s="92"/>
      <c r="I7" s="92"/>
      <c r="J7" s="92"/>
      <c r="K7" s="92"/>
      <c r="L7" s="92"/>
      <c r="M7" s="92"/>
      <c r="N7" s="92"/>
    </row>
    <row r="8" spans="1:17" ht="12.95" customHeight="1">
      <c r="A8" s="93"/>
      <c r="B8" s="94" t="s">
        <v>44</v>
      </c>
      <c r="C8" s="94"/>
      <c r="D8" s="94" t="s">
        <v>45</v>
      </c>
      <c r="E8" s="94"/>
      <c r="F8" s="94" t="s">
        <v>46</v>
      </c>
      <c r="G8" s="94"/>
      <c r="H8" s="94" t="s">
        <v>47</v>
      </c>
      <c r="I8" s="94"/>
      <c r="J8" s="94" t="s">
        <v>48</v>
      </c>
      <c r="K8" s="94"/>
      <c r="L8" s="94" t="s">
        <v>573</v>
      </c>
      <c r="M8" s="94"/>
      <c r="N8" s="95"/>
    </row>
    <row r="9" spans="1:17" ht="12.95" customHeight="1">
      <c r="A9" s="93"/>
      <c r="B9" s="94" t="s">
        <v>21</v>
      </c>
      <c r="C9" s="94"/>
      <c r="D9" s="94" t="s">
        <v>21</v>
      </c>
      <c r="E9" s="94"/>
      <c r="F9" s="94" t="s">
        <v>21</v>
      </c>
      <c r="G9" s="94"/>
      <c r="H9" s="94" t="s">
        <v>21</v>
      </c>
      <c r="I9" s="94"/>
      <c r="J9" s="94" t="s">
        <v>1287</v>
      </c>
      <c r="K9" s="94"/>
      <c r="L9" s="94" t="s">
        <v>21</v>
      </c>
      <c r="M9" s="94"/>
      <c r="N9" s="94" t="s">
        <v>0</v>
      </c>
    </row>
    <row r="10" spans="1:17" ht="12.95" customHeight="1">
      <c r="A10" s="93"/>
      <c r="B10" s="94" t="s">
        <v>23</v>
      </c>
      <c r="C10" s="94"/>
      <c r="D10" s="94" t="s">
        <v>40</v>
      </c>
      <c r="E10" s="94"/>
      <c r="F10" s="94" t="s">
        <v>978</v>
      </c>
      <c r="G10" s="94"/>
      <c r="H10" s="94" t="s">
        <v>162</v>
      </c>
      <c r="I10" s="94"/>
      <c r="J10" s="94" t="s">
        <v>139</v>
      </c>
      <c r="K10" s="94"/>
      <c r="L10" s="94" t="s">
        <v>598</v>
      </c>
      <c r="M10" s="94"/>
      <c r="N10" s="94" t="s">
        <v>24</v>
      </c>
    </row>
    <row r="11" spans="1:17" ht="12.95" customHeight="1">
      <c r="A11" s="93"/>
      <c r="B11" s="96" t="s">
        <v>8</v>
      </c>
      <c r="C11" s="94"/>
      <c r="D11" s="96" t="s">
        <v>75</v>
      </c>
      <c r="E11" s="94"/>
      <c r="F11" s="96" t="s">
        <v>1243</v>
      </c>
      <c r="G11" s="94"/>
      <c r="H11" s="96" t="s">
        <v>852</v>
      </c>
      <c r="I11" s="96"/>
      <c r="J11" s="96" t="s">
        <v>1288</v>
      </c>
      <c r="K11" s="96"/>
      <c r="L11" s="96" t="s">
        <v>263</v>
      </c>
      <c r="M11" s="96"/>
      <c r="N11" s="96" t="s">
        <v>28</v>
      </c>
    </row>
    <row r="12" spans="1:17" ht="15" customHeight="1">
      <c r="A12" s="97" t="str">
        <f>+Operations!B11</f>
        <v>REVENUES</v>
      </c>
      <c r="B12" s="93"/>
      <c r="C12" s="93"/>
      <c r="D12" s="93"/>
      <c r="E12" s="93"/>
      <c r="F12" s="93"/>
      <c r="G12" s="93"/>
      <c r="H12" s="93"/>
      <c r="I12" s="93"/>
      <c r="J12" s="93"/>
      <c r="K12" s="93"/>
      <c r="L12" s="93"/>
      <c r="M12" s="93"/>
      <c r="N12" s="93"/>
    </row>
    <row r="13" spans="1:17" ht="15" customHeight="1">
      <c r="A13" s="24" t="s">
        <v>455</v>
      </c>
      <c r="B13" s="99">
        <v>0</v>
      </c>
      <c r="C13" s="93"/>
      <c r="D13" s="99">
        <v>0</v>
      </c>
      <c r="E13" s="93"/>
      <c r="F13" s="99">
        <v>0</v>
      </c>
      <c r="G13" s="99"/>
      <c r="H13" s="99">
        <v>0</v>
      </c>
      <c r="I13" s="93"/>
      <c r="J13" s="99">
        <v>0</v>
      </c>
      <c r="K13" s="93"/>
      <c r="L13" s="99">
        <v>0</v>
      </c>
      <c r="M13" s="93"/>
      <c r="N13" s="99">
        <f t="shared" ref="N13:N37" si="0">SUM(B13:L13)</f>
        <v>0</v>
      </c>
    </row>
    <row r="14" spans="1:17" ht="15" customHeight="1">
      <c r="A14" s="24" t="s">
        <v>456</v>
      </c>
      <c r="B14" s="100">
        <v>0</v>
      </c>
      <c r="C14" s="93"/>
      <c r="D14" s="100">
        <v>0</v>
      </c>
      <c r="E14" s="93"/>
      <c r="F14" s="100">
        <v>0</v>
      </c>
      <c r="G14" s="93"/>
      <c r="H14" s="100">
        <v>0</v>
      </c>
      <c r="I14" s="93"/>
      <c r="J14" s="100">
        <v>0</v>
      </c>
      <c r="K14" s="93"/>
      <c r="L14" s="100">
        <v>0</v>
      </c>
      <c r="M14" s="93"/>
      <c r="N14" s="100">
        <f t="shared" si="0"/>
        <v>0</v>
      </c>
    </row>
    <row r="15" spans="1:17" ht="15" customHeight="1">
      <c r="A15" s="24" t="s">
        <v>457</v>
      </c>
      <c r="B15" s="100">
        <v>0</v>
      </c>
      <c r="C15" s="93"/>
      <c r="D15" s="100">
        <v>0</v>
      </c>
      <c r="E15" s="93"/>
      <c r="F15" s="100">
        <v>0</v>
      </c>
      <c r="G15" s="93"/>
      <c r="H15" s="100">
        <v>0</v>
      </c>
      <c r="I15" s="93"/>
      <c r="J15" s="100">
        <v>0</v>
      </c>
      <c r="K15" s="93"/>
      <c r="L15" s="100">
        <v>0</v>
      </c>
      <c r="M15" s="93"/>
      <c r="N15" s="100">
        <f t="shared" si="0"/>
        <v>0</v>
      </c>
    </row>
    <row r="16" spans="1:17" ht="15" customHeight="1">
      <c r="A16" s="24" t="s">
        <v>458</v>
      </c>
      <c r="B16" s="100">
        <v>0</v>
      </c>
      <c r="C16" s="93"/>
      <c r="D16" s="100">
        <v>0</v>
      </c>
      <c r="E16" s="93"/>
      <c r="F16" s="100">
        <v>0</v>
      </c>
      <c r="G16" s="93"/>
      <c r="H16" s="100">
        <v>0</v>
      </c>
      <c r="I16" s="93"/>
      <c r="J16" s="100">
        <v>0</v>
      </c>
      <c r="K16" s="93"/>
      <c r="L16" s="100">
        <v>0</v>
      </c>
      <c r="M16" s="93"/>
      <c r="N16" s="100">
        <f t="shared" si="0"/>
        <v>0</v>
      </c>
    </row>
    <row r="17" spans="1:14" ht="15" customHeight="1">
      <c r="A17" s="24" t="s">
        <v>459</v>
      </c>
      <c r="B17" s="100">
        <v>0</v>
      </c>
      <c r="C17" s="93"/>
      <c r="D17" s="100">
        <v>0</v>
      </c>
      <c r="E17" s="93"/>
      <c r="F17" s="100">
        <v>0</v>
      </c>
      <c r="G17" s="93"/>
      <c r="H17" s="100">
        <v>0</v>
      </c>
      <c r="I17" s="93"/>
      <c r="J17" s="100">
        <v>0</v>
      </c>
      <c r="K17" s="93"/>
      <c r="L17" s="100">
        <v>0</v>
      </c>
      <c r="M17" s="93"/>
      <c r="N17" s="100">
        <f t="shared" si="0"/>
        <v>0</v>
      </c>
    </row>
    <row r="18" spans="1:14" ht="15" customHeight="1">
      <c r="A18" s="24" t="s">
        <v>460</v>
      </c>
      <c r="B18" s="100">
        <v>0</v>
      </c>
      <c r="C18" s="93"/>
      <c r="D18" s="100">
        <v>0</v>
      </c>
      <c r="E18" s="93"/>
      <c r="F18" s="100">
        <v>0</v>
      </c>
      <c r="G18" s="93"/>
      <c r="H18" s="100">
        <v>0</v>
      </c>
      <c r="I18" s="93"/>
      <c r="J18" s="100">
        <v>0</v>
      </c>
      <c r="K18" s="93"/>
      <c r="L18" s="100">
        <v>0</v>
      </c>
      <c r="M18" s="93"/>
      <c r="N18" s="100">
        <f t="shared" si="0"/>
        <v>0</v>
      </c>
    </row>
    <row r="19" spans="1:14" ht="15" customHeight="1">
      <c r="A19" s="24" t="s">
        <v>603</v>
      </c>
      <c r="B19" s="100">
        <v>0</v>
      </c>
      <c r="C19" s="93"/>
      <c r="D19" s="100">
        <v>0</v>
      </c>
      <c r="E19" s="93"/>
      <c r="F19" s="100">
        <v>0</v>
      </c>
      <c r="G19" s="93"/>
      <c r="H19" s="100">
        <v>0</v>
      </c>
      <c r="I19" s="93"/>
      <c r="J19" s="100">
        <v>0</v>
      </c>
      <c r="K19" s="93"/>
      <c r="L19" s="100">
        <v>0</v>
      </c>
      <c r="M19" s="93"/>
      <c r="N19" s="100">
        <f t="shared" si="0"/>
        <v>0</v>
      </c>
    </row>
    <row r="20" spans="1:14" ht="15" customHeight="1">
      <c r="A20" s="24" t="s">
        <v>604</v>
      </c>
      <c r="B20" s="100">
        <v>0</v>
      </c>
      <c r="C20" s="93"/>
      <c r="D20" s="100">
        <v>0</v>
      </c>
      <c r="E20" s="93"/>
      <c r="F20" s="100">
        <v>0</v>
      </c>
      <c r="G20" s="93"/>
      <c r="H20" s="100">
        <v>0</v>
      </c>
      <c r="I20" s="93"/>
      <c r="J20" s="100">
        <v>0</v>
      </c>
      <c r="K20" s="93"/>
      <c r="L20" s="100">
        <v>0</v>
      </c>
      <c r="M20" s="93"/>
      <c r="N20" s="100">
        <f t="shared" si="0"/>
        <v>0</v>
      </c>
    </row>
    <row r="21" spans="1:14" ht="15" customHeight="1">
      <c r="A21" s="24" t="s">
        <v>463</v>
      </c>
      <c r="B21" s="100">
        <v>0</v>
      </c>
      <c r="C21" s="93"/>
      <c r="D21" s="100">
        <v>0</v>
      </c>
      <c r="E21" s="93"/>
      <c r="F21" s="100">
        <v>0</v>
      </c>
      <c r="G21" s="93"/>
      <c r="H21" s="100">
        <v>0</v>
      </c>
      <c r="I21" s="93"/>
      <c r="J21" s="100">
        <v>0</v>
      </c>
      <c r="K21" s="93"/>
      <c r="L21" s="100">
        <v>0</v>
      </c>
      <c r="M21" s="93"/>
      <c r="N21" s="100">
        <f t="shared" si="0"/>
        <v>0</v>
      </c>
    </row>
    <row r="22" spans="1:14" ht="15" customHeight="1">
      <c r="A22" s="24" t="s">
        <v>464</v>
      </c>
      <c r="B22" s="100">
        <v>0</v>
      </c>
      <c r="C22" s="93"/>
      <c r="D22" s="100">
        <v>0</v>
      </c>
      <c r="E22" s="93"/>
      <c r="F22" s="100">
        <v>0</v>
      </c>
      <c r="G22" s="93"/>
      <c r="H22" s="100">
        <v>0</v>
      </c>
      <c r="I22" s="93"/>
      <c r="J22" s="100">
        <v>0</v>
      </c>
      <c r="K22" s="93"/>
      <c r="L22" s="100">
        <v>0</v>
      </c>
      <c r="M22" s="93"/>
      <c r="N22" s="100">
        <f t="shared" si="0"/>
        <v>0</v>
      </c>
    </row>
    <row r="23" spans="1:14" ht="15" customHeight="1">
      <c r="A23" s="24" t="s">
        <v>465</v>
      </c>
      <c r="B23" s="100">
        <v>0</v>
      </c>
      <c r="C23" s="93"/>
      <c r="D23" s="100">
        <v>0</v>
      </c>
      <c r="E23" s="93"/>
      <c r="F23" s="100">
        <v>0</v>
      </c>
      <c r="G23" s="93"/>
      <c r="H23" s="100">
        <v>0</v>
      </c>
      <c r="I23" s="93"/>
      <c r="J23" s="100">
        <v>0</v>
      </c>
      <c r="K23" s="93"/>
      <c r="L23" s="100">
        <v>0</v>
      </c>
      <c r="M23" s="93"/>
      <c r="N23" s="100">
        <f t="shared" si="0"/>
        <v>0</v>
      </c>
    </row>
    <row r="24" spans="1:14" ht="15" customHeight="1">
      <c r="A24" s="24" t="s">
        <v>466</v>
      </c>
      <c r="B24" s="100">
        <v>0</v>
      </c>
      <c r="C24" s="93"/>
      <c r="D24" s="100">
        <v>0</v>
      </c>
      <c r="E24" s="93"/>
      <c r="F24" s="100">
        <v>0</v>
      </c>
      <c r="G24" s="93"/>
      <c r="H24" s="100">
        <v>0</v>
      </c>
      <c r="I24" s="93"/>
      <c r="J24" s="100">
        <v>0</v>
      </c>
      <c r="K24" s="93"/>
      <c r="L24" s="100">
        <v>0</v>
      </c>
      <c r="M24" s="93"/>
      <c r="N24" s="100">
        <f t="shared" si="0"/>
        <v>0</v>
      </c>
    </row>
    <row r="25" spans="1:14" ht="15" customHeight="1">
      <c r="A25" s="24" t="s">
        <v>467</v>
      </c>
      <c r="B25" s="100">
        <v>0</v>
      </c>
      <c r="C25" s="93"/>
      <c r="D25" s="100">
        <v>0</v>
      </c>
      <c r="E25" s="93"/>
      <c r="F25" s="100">
        <v>0</v>
      </c>
      <c r="G25" s="93"/>
      <c r="H25" s="100">
        <v>0</v>
      </c>
      <c r="I25" s="93"/>
      <c r="J25" s="100">
        <v>0</v>
      </c>
      <c r="K25" s="93"/>
      <c r="L25" s="100">
        <v>0</v>
      </c>
      <c r="M25" s="93"/>
      <c r="N25" s="100">
        <f t="shared" si="0"/>
        <v>0</v>
      </c>
    </row>
    <row r="26" spans="1:14" ht="15" customHeight="1">
      <c r="A26" s="24" t="s">
        <v>468</v>
      </c>
      <c r="B26" s="100">
        <v>0</v>
      </c>
      <c r="C26" s="93"/>
      <c r="D26" s="100">
        <v>0</v>
      </c>
      <c r="E26" s="93"/>
      <c r="F26" s="100">
        <v>0</v>
      </c>
      <c r="G26" s="93"/>
      <c r="H26" s="100">
        <v>0</v>
      </c>
      <c r="I26" s="93"/>
      <c r="J26" s="100">
        <v>0</v>
      </c>
      <c r="K26" s="93"/>
      <c r="L26" s="100">
        <v>0</v>
      </c>
      <c r="M26" s="93"/>
      <c r="N26" s="100">
        <f t="shared" si="0"/>
        <v>0</v>
      </c>
    </row>
    <row r="27" spans="1:14" ht="15" customHeight="1">
      <c r="A27" s="24" t="s">
        <v>469</v>
      </c>
      <c r="B27" s="100">
        <v>0</v>
      </c>
      <c r="C27" s="93"/>
      <c r="D27" s="100">
        <v>0</v>
      </c>
      <c r="E27" s="93"/>
      <c r="F27" s="100">
        <v>0</v>
      </c>
      <c r="G27" s="93"/>
      <c r="H27" s="100">
        <v>0</v>
      </c>
      <c r="I27" s="93"/>
      <c r="J27" s="100">
        <v>0</v>
      </c>
      <c r="K27" s="93"/>
      <c r="L27" s="100">
        <v>0</v>
      </c>
      <c r="M27" s="93"/>
      <c r="N27" s="100">
        <f t="shared" si="0"/>
        <v>0</v>
      </c>
    </row>
    <row r="28" spans="1:14" ht="15" customHeight="1">
      <c r="A28" s="24" t="s">
        <v>470</v>
      </c>
      <c r="B28" s="100">
        <v>0</v>
      </c>
      <c r="C28" s="93"/>
      <c r="D28" s="100">
        <v>0</v>
      </c>
      <c r="E28" s="93"/>
      <c r="F28" s="100">
        <v>0</v>
      </c>
      <c r="G28" s="93"/>
      <c r="H28" s="100">
        <v>0</v>
      </c>
      <c r="I28" s="93"/>
      <c r="J28" s="100">
        <v>0</v>
      </c>
      <c r="K28" s="93"/>
      <c r="L28" s="100">
        <v>0</v>
      </c>
      <c r="M28" s="93"/>
      <c r="N28" s="100">
        <f t="shared" si="0"/>
        <v>0</v>
      </c>
    </row>
    <row r="29" spans="1:14" ht="15" customHeight="1">
      <c r="A29" s="24" t="s">
        <v>471</v>
      </c>
      <c r="B29" s="100">
        <v>0</v>
      </c>
      <c r="C29" s="100"/>
      <c r="D29" s="100">
        <v>0</v>
      </c>
      <c r="E29" s="100"/>
      <c r="F29" s="100">
        <v>0</v>
      </c>
      <c r="G29" s="100"/>
      <c r="H29" s="100">
        <v>0</v>
      </c>
      <c r="I29" s="100"/>
      <c r="J29" s="100">
        <v>0</v>
      </c>
      <c r="K29" s="100"/>
      <c r="L29" s="100">
        <v>0</v>
      </c>
      <c r="M29" s="100"/>
      <c r="N29" s="100">
        <f t="shared" si="0"/>
        <v>0</v>
      </c>
    </row>
    <row r="30" spans="1:14" ht="15" customHeight="1">
      <c r="A30" s="24" t="s">
        <v>472</v>
      </c>
      <c r="B30" s="100">
        <v>0</v>
      </c>
      <c r="C30" s="100"/>
      <c r="D30" s="100">
        <v>0</v>
      </c>
      <c r="E30" s="100"/>
      <c r="F30" s="100">
        <v>0</v>
      </c>
      <c r="G30" s="100"/>
      <c r="H30" s="100">
        <v>0</v>
      </c>
      <c r="I30" s="100"/>
      <c r="J30" s="100">
        <v>0</v>
      </c>
      <c r="K30" s="100"/>
      <c r="L30" s="100">
        <v>0</v>
      </c>
      <c r="M30" s="100"/>
      <c r="N30" s="100">
        <f t="shared" si="0"/>
        <v>0</v>
      </c>
    </row>
    <row r="31" spans="1:14" ht="15" customHeight="1">
      <c r="A31" s="24" t="s">
        <v>473</v>
      </c>
      <c r="B31" s="100">
        <v>0</v>
      </c>
      <c r="C31" s="100"/>
      <c r="D31" s="100">
        <v>0</v>
      </c>
      <c r="E31" s="100"/>
      <c r="F31" s="100">
        <v>0</v>
      </c>
      <c r="G31" s="100"/>
      <c r="H31" s="100">
        <v>0</v>
      </c>
      <c r="I31" s="100"/>
      <c r="J31" s="100">
        <v>0</v>
      </c>
      <c r="K31" s="100"/>
      <c r="L31" s="100">
        <v>0</v>
      </c>
      <c r="M31" s="100"/>
      <c r="N31" s="100">
        <f t="shared" si="0"/>
        <v>0</v>
      </c>
    </row>
    <row r="32" spans="1:14" ht="15" customHeight="1">
      <c r="A32" s="24" t="s">
        <v>474</v>
      </c>
      <c r="B32" s="100">
        <v>0</v>
      </c>
      <c r="C32" s="100"/>
      <c r="D32" s="100">
        <v>0</v>
      </c>
      <c r="E32" s="100"/>
      <c r="F32" s="100">
        <v>0</v>
      </c>
      <c r="G32" s="100"/>
      <c r="H32" s="100">
        <v>0</v>
      </c>
      <c r="I32" s="100"/>
      <c r="J32" s="100">
        <v>0</v>
      </c>
      <c r="K32" s="100"/>
      <c r="L32" s="100">
        <v>0</v>
      </c>
      <c r="M32" s="100"/>
      <c r="N32" s="100">
        <f t="shared" si="0"/>
        <v>0</v>
      </c>
    </row>
    <row r="33" spans="1:17" ht="15" customHeight="1">
      <c r="A33" s="24" t="s">
        <v>475</v>
      </c>
      <c r="B33" s="100">
        <v>0</v>
      </c>
      <c r="C33" s="100"/>
      <c r="D33" s="100">
        <v>0</v>
      </c>
      <c r="E33" s="100"/>
      <c r="F33" s="100">
        <v>0</v>
      </c>
      <c r="G33" s="100"/>
      <c r="H33" s="100">
        <v>0</v>
      </c>
      <c r="I33" s="100"/>
      <c r="J33" s="100">
        <v>0</v>
      </c>
      <c r="K33" s="100"/>
      <c r="L33" s="100">
        <v>0</v>
      </c>
      <c r="M33" s="100"/>
      <c r="N33" s="100">
        <f t="shared" si="0"/>
        <v>0</v>
      </c>
    </row>
    <row r="34" spans="1:17" ht="15" customHeight="1">
      <c r="A34" s="24" t="s">
        <v>476</v>
      </c>
      <c r="B34" s="100">
        <v>0</v>
      </c>
      <c r="C34" s="100"/>
      <c r="D34" s="100">
        <v>0</v>
      </c>
      <c r="E34" s="100"/>
      <c r="F34" s="100">
        <v>0</v>
      </c>
      <c r="G34" s="100"/>
      <c r="H34" s="100">
        <v>0</v>
      </c>
      <c r="I34" s="100"/>
      <c r="J34" s="100">
        <v>0</v>
      </c>
      <c r="K34" s="100"/>
      <c r="L34" s="100">
        <v>0</v>
      </c>
      <c r="M34" s="100"/>
      <c r="N34" s="100">
        <f t="shared" si="0"/>
        <v>0</v>
      </c>
    </row>
    <row r="35" spans="1:17" ht="15" customHeight="1">
      <c r="A35" s="24" t="s">
        <v>477</v>
      </c>
      <c r="B35" s="100">
        <v>0</v>
      </c>
      <c r="C35" s="100"/>
      <c r="D35" s="100">
        <v>0</v>
      </c>
      <c r="E35" s="100"/>
      <c r="F35" s="100">
        <v>0</v>
      </c>
      <c r="G35" s="100"/>
      <c r="H35" s="100">
        <v>0</v>
      </c>
      <c r="I35" s="100"/>
      <c r="J35" s="100">
        <v>0</v>
      </c>
      <c r="K35" s="100"/>
      <c r="L35" s="100">
        <v>0</v>
      </c>
      <c r="M35" s="100"/>
      <c r="N35" s="100">
        <f t="shared" si="0"/>
        <v>0</v>
      </c>
    </row>
    <row r="36" spans="1:17" ht="15" customHeight="1">
      <c r="A36" s="24" t="s">
        <v>478</v>
      </c>
      <c r="B36" s="100">
        <v>0</v>
      </c>
      <c r="C36" s="100"/>
      <c r="D36" s="100">
        <v>0</v>
      </c>
      <c r="E36" s="100"/>
      <c r="F36" s="100">
        <v>0</v>
      </c>
      <c r="G36" s="100"/>
      <c r="H36" s="100">
        <v>0</v>
      </c>
      <c r="I36" s="100"/>
      <c r="J36" s="100">
        <v>0</v>
      </c>
      <c r="K36" s="100"/>
      <c r="L36" s="100">
        <v>0</v>
      </c>
      <c r="M36" s="100"/>
      <c r="N36" s="100">
        <f t="shared" si="0"/>
        <v>0</v>
      </c>
    </row>
    <row r="37" spans="1:17" ht="15" customHeight="1">
      <c r="A37" s="93"/>
      <c r="B37" s="102">
        <f>SUM(B13:B36)</f>
        <v>0</v>
      </c>
      <c r="C37" s="100"/>
      <c r="D37" s="102">
        <f>SUM(D13:D36)</f>
        <v>0</v>
      </c>
      <c r="E37" s="100"/>
      <c r="F37" s="102">
        <f>SUM(F13:F36)</f>
        <v>0</v>
      </c>
      <c r="G37" s="100"/>
      <c r="H37" s="102">
        <f>SUM(H13:H36)</f>
        <v>0</v>
      </c>
      <c r="I37" s="100"/>
      <c r="J37" s="102">
        <f>SUM(J13:J36)</f>
        <v>0</v>
      </c>
      <c r="K37" s="100"/>
      <c r="L37" s="102">
        <f>SUM(L13:L36)</f>
        <v>0</v>
      </c>
      <c r="M37" s="100"/>
      <c r="N37" s="102">
        <f t="shared" si="0"/>
        <v>0</v>
      </c>
    </row>
    <row r="38" spans="1:17" ht="15" customHeight="1">
      <c r="A38" s="93"/>
      <c r="B38" s="100"/>
      <c r="C38" s="100"/>
      <c r="D38" s="100"/>
      <c r="E38" s="100"/>
      <c r="F38" s="100"/>
      <c r="G38" s="100"/>
      <c r="H38" s="100"/>
      <c r="I38" s="100"/>
      <c r="J38" s="100"/>
      <c r="K38" s="100"/>
      <c r="L38" s="100"/>
      <c r="M38" s="100"/>
      <c r="N38" s="100"/>
    </row>
    <row r="39" spans="1:17" ht="15" customHeight="1">
      <c r="A39" s="97" t="str">
        <f>+Operations!B47</f>
        <v>OPERATING EXPENSES</v>
      </c>
      <c r="B39" s="100"/>
      <c r="C39" s="100"/>
      <c r="D39" s="100"/>
      <c r="E39" s="100"/>
      <c r="F39" s="100"/>
      <c r="G39" s="100"/>
      <c r="H39" s="100"/>
      <c r="I39" s="100"/>
      <c r="J39" s="100"/>
      <c r="K39" s="100"/>
      <c r="L39" s="100"/>
      <c r="M39" s="100"/>
      <c r="N39" s="100"/>
    </row>
    <row r="40" spans="1:17" ht="15" customHeight="1">
      <c r="A40" s="24" t="s">
        <v>14</v>
      </c>
      <c r="B40" s="100">
        <v>0</v>
      </c>
      <c r="C40" s="100"/>
      <c r="D40" s="100">
        <v>0</v>
      </c>
      <c r="E40" s="100"/>
      <c r="F40" s="100">
        <v>0</v>
      </c>
      <c r="G40" s="100"/>
      <c r="H40" s="100">
        <v>0</v>
      </c>
      <c r="I40" s="100"/>
      <c r="J40" s="100">
        <v>0</v>
      </c>
      <c r="K40" s="100"/>
      <c r="L40" s="100">
        <v>0</v>
      </c>
      <c r="M40" s="100"/>
      <c r="N40" s="100">
        <f>SUM(B40:L40)</f>
        <v>0</v>
      </c>
      <c r="Q40" s="98"/>
    </row>
    <row r="41" spans="1:17" ht="15" customHeight="1">
      <c r="A41" s="24" t="s">
        <v>222</v>
      </c>
      <c r="B41" s="100">
        <v>0</v>
      </c>
      <c r="C41" s="100"/>
      <c r="D41" s="100">
        <v>0</v>
      </c>
      <c r="E41" s="100"/>
      <c r="F41" s="100">
        <v>0</v>
      </c>
      <c r="G41" s="100"/>
      <c r="H41" s="100">
        <v>0</v>
      </c>
      <c r="I41" s="100"/>
      <c r="J41" s="100">
        <v>0</v>
      </c>
      <c r="K41" s="100"/>
      <c r="L41" s="100">
        <v>0</v>
      </c>
      <c r="M41" s="100"/>
      <c r="N41" s="100">
        <f t="shared" ref="N41:N104" si="1">SUM(B41:L41)</f>
        <v>0</v>
      </c>
      <c r="Q41" s="98"/>
    </row>
    <row r="42" spans="1:17" ht="15" customHeight="1">
      <c r="A42" s="24" t="s">
        <v>223</v>
      </c>
      <c r="B42" s="100">
        <v>0</v>
      </c>
      <c r="C42" s="100"/>
      <c r="D42" s="100">
        <v>0</v>
      </c>
      <c r="E42" s="100"/>
      <c r="F42" s="100">
        <v>0</v>
      </c>
      <c r="G42" s="100"/>
      <c r="H42" s="100">
        <v>0</v>
      </c>
      <c r="I42" s="100"/>
      <c r="J42" s="100">
        <v>0</v>
      </c>
      <c r="K42" s="100"/>
      <c r="L42" s="100">
        <v>0</v>
      </c>
      <c r="M42" s="100"/>
      <c r="N42" s="100">
        <f t="shared" si="1"/>
        <v>0</v>
      </c>
      <c r="Q42" s="98"/>
    </row>
    <row r="43" spans="1:17" ht="15" customHeight="1">
      <c r="A43" s="24" t="s">
        <v>224</v>
      </c>
      <c r="B43" s="100">
        <v>0</v>
      </c>
      <c r="C43" s="100"/>
      <c r="D43" s="100">
        <v>0</v>
      </c>
      <c r="E43" s="100"/>
      <c r="F43" s="100">
        <v>0</v>
      </c>
      <c r="G43" s="100"/>
      <c r="H43" s="100">
        <v>0</v>
      </c>
      <c r="I43" s="100"/>
      <c r="J43" s="100">
        <v>0</v>
      </c>
      <c r="K43" s="100"/>
      <c r="L43" s="100">
        <v>0</v>
      </c>
      <c r="M43" s="100"/>
      <c r="N43" s="100">
        <f t="shared" si="1"/>
        <v>0</v>
      </c>
      <c r="Q43" s="98"/>
    </row>
    <row r="44" spans="1:17" ht="15" customHeight="1">
      <c r="A44" s="24" t="s">
        <v>225</v>
      </c>
      <c r="B44" s="100">
        <v>0</v>
      </c>
      <c r="C44" s="100"/>
      <c r="D44" s="100">
        <v>0</v>
      </c>
      <c r="E44" s="100"/>
      <c r="F44" s="100">
        <v>0</v>
      </c>
      <c r="G44" s="100"/>
      <c r="H44" s="100">
        <v>0</v>
      </c>
      <c r="I44" s="100"/>
      <c r="J44" s="100">
        <v>0</v>
      </c>
      <c r="K44" s="100"/>
      <c r="L44" s="100">
        <v>0</v>
      </c>
      <c r="M44" s="100"/>
      <c r="N44" s="100">
        <f t="shared" si="1"/>
        <v>0</v>
      </c>
      <c r="Q44" s="98"/>
    </row>
    <row r="45" spans="1:17" ht="15" customHeight="1">
      <c r="A45" s="24" t="s">
        <v>226</v>
      </c>
      <c r="B45" s="100">
        <v>0</v>
      </c>
      <c r="C45" s="100"/>
      <c r="D45" s="100">
        <v>0</v>
      </c>
      <c r="E45" s="100"/>
      <c r="F45" s="100">
        <v>0</v>
      </c>
      <c r="G45" s="100"/>
      <c r="H45" s="100">
        <f>-'Sch 1 - Restated Exp'!D30</f>
        <v>-1428.764355919546</v>
      </c>
      <c r="I45" s="100"/>
      <c r="J45" s="100">
        <v>0</v>
      </c>
      <c r="K45" s="100"/>
      <c r="L45" s="100">
        <v>0</v>
      </c>
      <c r="M45" s="100"/>
      <c r="N45" s="100">
        <f t="shared" si="1"/>
        <v>-1428.764355919546</v>
      </c>
      <c r="Q45" s="98"/>
    </row>
    <row r="46" spans="1:17" ht="15" customHeight="1">
      <c r="A46" s="24" t="s">
        <v>269</v>
      </c>
      <c r="B46" s="100">
        <v>0</v>
      </c>
      <c r="C46" s="100"/>
      <c r="D46" s="100">
        <v>0</v>
      </c>
      <c r="E46" s="100"/>
      <c r="F46" s="100">
        <v>0</v>
      </c>
      <c r="G46" s="100"/>
      <c r="H46" s="100">
        <v>0</v>
      </c>
      <c r="I46" s="100"/>
      <c r="J46" s="100">
        <v>0</v>
      </c>
      <c r="K46" s="100"/>
      <c r="L46" s="100">
        <v>0</v>
      </c>
      <c r="M46" s="100"/>
      <c r="N46" s="100">
        <f t="shared" si="1"/>
        <v>0</v>
      </c>
    </row>
    <row r="47" spans="1:17" ht="15" customHeight="1">
      <c r="A47" s="24" t="s">
        <v>270</v>
      </c>
      <c r="B47" s="100">
        <v>0</v>
      </c>
      <c r="C47" s="100"/>
      <c r="D47" s="100">
        <v>0</v>
      </c>
      <c r="E47" s="100"/>
      <c r="F47" s="100">
        <v>0</v>
      </c>
      <c r="G47" s="100"/>
      <c r="H47" s="100">
        <v>0</v>
      </c>
      <c r="I47" s="100"/>
      <c r="J47" s="100">
        <v>0</v>
      </c>
      <c r="K47" s="100"/>
      <c r="L47" s="100">
        <v>0</v>
      </c>
      <c r="M47" s="100"/>
      <c r="N47" s="100">
        <f t="shared" si="1"/>
        <v>0</v>
      </c>
    </row>
    <row r="48" spans="1:17" ht="15" customHeight="1">
      <c r="A48" s="24" t="s">
        <v>271</v>
      </c>
      <c r="B48" s="100">
        <v>0</v>
      </c>
      <c r="C48" s="100"/>
      <c r="D48" s="100">
        <v>0</v>
      </c>
      <c r="E48" s="100"/>
      <c r="F48" s="100">
        <v>0</v>
      </c>
      <c r="G48" s="100"/>
      <c r="H48" s="100">
        <v>0</v>
      </c>
      <c r="I48" s="100"/>
      <c r="J48" s="100">
        <v>0</v>
      </c>
      <c r="K48" s="100"/>
      <c r="L48" s="100">
        <v>0</v>
      </c>
      <c r="M48" s="100"/>
      <c r="N48" s="100">
        <f t="shared" si="1"/>
        <v>0</v>
      </c>
    </row>
    <row r="49" spans="1:14" ht="15" customHeight="1">
      <c r="A49" s="24" t="s">
        <v>272</v>
      </c>
      <c r="B49" s="100">
        <v>0</v>
      </c>
      <c r="C49" s="100"/>
      <c r="D49" s="100">
        <v>0</v>
      </c>
      <c r="E49" s="100"/>
      <c r="F49" s="100">
        <v>0</v>
      </c>
      <c r="G49" s="100"/>
      <c r="H49" s="100">
        <v>0</v>
      </c>
      <c r="I49" s="100"/>
      <c r="J49" s="100">
        <v>0</v>
      </c>
      <c r="K49" s="100"/>
      <c r="L49" s="100">
        <v>0</v>
      </c>
      <c r="M49" s="100"/>
      <c r="N49" s="100">
        <f t="shared" si="1"/>
        <v>0</v>
      </c>
    </row>
    <row r="50" spans="1:14" ht="15" customHeight="1">
      <c r="A50" s="24" t="s">
        <v>273</v>
      </c>
      <c r="B50" s="100">
        <v>0</v>
      </c>
      <c r="C50" s="100"/>
      <c r="D50" s="100">
        <v>0</v>
      </c>
      <c r="E50" s="100"/>
      <c r="F50" s="100">
        <v>0</v>
      </c>
      <c r="G50" s="100"/>
      <c r="H50" s="100">
        <v>0</v>
      </c>
      <c r="I50" s="100"/>
      <c r="J50" s="100">
        <v>0</v>
      </c>
      <c r="K50" s="100"/>
      <c r="L50" s="100">
        <v>0</v>
      </c>
      <c r="M50" s="100"/>
      <c r="N50" s="100">
        <f t="shared" si="1"/>
        <v>0</v>
      </c>
    </row>
    <row r="51" spans="1:14" ht="15" customHeight="1">
      <c r="A51" s="24" t="s">
        <v>274</v>
      </c>
      <c r="B51" s="100">
        <v>0</v>
      </c>
      <c r="C51" s="100"/>
      <c r="D51" s="100">
        <v>0</v>
      </c>
      <c r="E51" s="100"/>
      <c r="F51" s="100">
        <v>0</v>
      </c>
      <c r="G51" s="103"/>
      <c r="H51" s="100">
        <v>0</v>
      </c>
      <c r="I51" s="100"/>
      <c r="J51" s="100">
        <v>0</v>
      </c>
      <c r="K51" s="100"/>
      <c r="L51" s="100">
        <v>0</v>
      </c>
      <c r="M51" s="100"/>
      <c r="N51" s="100">
        <f t="shared" si="1"/>
        <v>0</v>
      </c>
    </row>
    <row r="52" spans="1:14" ht="15" customHeight="1">
      <c r="A52" s="24" t="s">
        <v>227</v>
      </c>
      <c r="B52" s="100">
        <v>0</v>
      </c>
      <c r="C52" s="100"/>
      <c r="D52" s="100">
        <v>0</v>
      </c>
      <c r="E52" s="100"/>
      <c r="F52" s="100">
        <v>0</v>
      </c>
      <c r="G52" s="100"/>
      <c r="H52" s="100">
        <v>0</v>
      </c>
      <c r="I52" s="100"/>
      <c r="J52" s="100">
        <v>0</v>
      </c>
      <c r="K52" s="100"/>
      <c r="L52" s="100">
        <v>0</v>
      </c>
      <c r="M52" s="100"/>
      <c r="N52" s="100">
        <f t="shared" si="1"/>
        <v>0</v>
      </c>
    </row>
    <row r="53" spans="1:14" ht="15" customHeight="1">
      <c r="A53" s="24" t="s">
        <v>228</v>
      </c>
      <c r="B53" s="100">
        <v>0</v>
      </c>
      <c r="C53" s="100"/>
      <c r="D53" s="100">
        <v>0</v>
      </c>
      <c r="E53" s="100"/>
      <c r="F53" s="100">
        <v>0</v>
      </c>
      <c r="G53" s="100"/>
      <c r="H53" s="100">
        <v>0</v>
      </c>
      <c r="I53" s="100"/>
      <c r="J53" s="100">
        <v>0</v>
      </c>
      <c r="K53" s="100"/>
      <c r="L53" s="100">
        <v>0</v>
      </c>
      <c r="M53" s="100"/>
      <c r="N53" s="100">
        <f t="shared" si="1"/>
        <v>0</v>
      </c>
    </row>
    <row r="54" spans="1:14" ht="15" customHeight="1">
      <c r="A54" s="24" t="s">
        <v>229</v>
      </c>
      <c r="B54" s="100">
        <v>0</v>
      </c>
      <c r="C54" s="100"/>
      <c r="D54" s="100">
        <v>0</v>
      </c>
      <c r="E54" s="100"/>
      <c r="F54" s="100">
        <v>0</v>
      </c>
      <c r="G54" s="100"/>
      <c r="H54" s="100">
        <v>0</v>
      </c>
      <c r="I54" s="100"/>
      <c r="J54" s="100">
        <v>0</v>
      </c>
      <c r="K54" s="100"/>
      <c r="L54" s="100">
        <v>0</v>
      </c>
      <c r="M54" s="100"/>
      <c r="N54" s="100">
        <f t="shared" si="1"/>
        <v>0</v>
      </c>
    </row>
    <row r="55" spans="1:14" ht="15" customHeight="1">
      <c r="A55" s="24" t="s">
        <v>12</v>
      </c>
      <c r="B55" s="100">
        <v>0</v>
      </c>
      <c r="C55" s="100"/>
      <c r="D55" s="100">
        <v>0</v>
      </c>
      <c r="E55" s="100"/>
      <c r="F55" s="100">
        <v>0</v>
      </c>
      <c r="G55" s="100"/>
      <c r="H55" s="100">
        <v>0</v>
      </c>
      <c r="I55" s="100"/>
      <c r="J55" s="100">
        <v>0</v>
      </c>
      <c r="K55" s="100"/>
      <c r="L55" s="100">
        <v>0</v>
      </c>
      <c r="M55" s="100"/>
      <c r="N55" s="100">
        <f t="shared" si="1"/>
        <v>0</v>
      </c>
    </row>
    <row r="56" spans="1:14" ht="15" customHeight="1">
      <c r="A56" s="24" t="s">
        <v>75</v>
      </c>
      <c r="B56" s="100">
        <v>0</v>
      </c>
      <c r="C56" s="100"/>
      <c r="D56" s="100">
        <v>0</v>
      </c>
      <c r="E56" s="100"/>
      <c r="F56" s="100">
        <v>0</v>
      </c>
      <c r="G56" s="100"/>
      <c r="H56" s="100">
        <v>0</v>
      </c>
      <c r="I56" s="100"/>
      <c r="J56" s="100">
        <v>0</v>
      </c>
      <c r="K56" s="100"/>
      <c r="L56" s="100">
        <v>0</v>
      </c>
      <c r="M56" s="100"/>
      <c r="N56" s="100">
        <f t="shared" si="1"/>
        <v>0</v>
      </c>
    </row>
    <row r="57" spans="1:14" ht="15" customHeight="1">
      <c r="A57" s="24" t="s">
        <v>230</v>
      </c>
      <c r="B57" s="100">
        <v>0</v>
      </c>
      <c r="C57" s="100"/>
      <c r="D57" s="100">
        <v>0</v>
      </c>
      <c r="E57" s="100"/>
      <c r="F57" s="100">
        <v>0</v>
      </c>
      <c r="G57" s="100"/>
      <c r="H57" s="100">
        <v>0</v>
      </c>
      <c r="I57" s="100"/>
      <c r="J57" s="100">
        <v>0</v>
      </c>
      <c r="K57" s="100"/>
      <c r="L57" s="100">
        <v>0</v>
      </c>
      <c r="M57" s="100"/>
      <c r="N57" s="100">
        <f t="shared" si="1"/>
        <v>0</v>
      </c>
    </row>
    <row r="58" spans="1:14" ht="15" customHeight="1">
      <c r="A58" s="24" t="s">
        <v>499</v>
      </c>
      <c r="B58" s="100">
        <v>0</v>
      </c>
      <c r="C58" s="100"/>
      <c r="D58" s="100">
        <f>-'Sch 1 - Restated Exp'!D14</f>
        <v>-3532.6591217790965</v>
      </c>
      <c r="E58" s="100"/>
      <c r="F58" s="100">
        <v>0</v>
      </c>
      <c r="G58" s="100"/>
      <c r="H58" s="100">
        <v>0</v>
      </c>
      <c r="I58" s="100"/>
      <c r="J58" s="100">
        <v>0</v>
      </c>
      <c r="K58" s="100"/>
      <c r="L58" s="100">
        <v>0</v>
      </c>
      <c r="M58" s="100"/>
      <c r="N58" s="100">
        <f t="shared" si="1"/>
        <v>-3532.6591217790965</v>
      </c>
    </row>
    <row r="59" spans="1:14" ht="15" customHeight="1">
      <c r="A59" s="24" t="s">
        <v>500</v>
      </c>
      <c r="B59" s="100">
        <v>0</v>
      </c>
      <c r="C59" s="100"/>
      <c r="D59" s="100">
        <f>-'Sch 1 - Restated Exp'!D15</f>
        <v>-6611.7422575519886</v>
      </c>
      <c r="E59" s="100"/>
      <c r="F59" s="100">
        <v>0</v>
      </c>
      <c r="G59" s="100"/>
      <c r="H59" s="100">
        <v>0</v>
      </c>
      <c r="I59" s="100"/>
      <c r="J59" s="100">
        <v>0</v>
      </c>
      <c r="K59" s="100"/>
      <c r="L59" s="100">
        <v>0</v>
      </c>
      <c r="M59" s="100"/>
      <c r="N59" s="100">
        <f t="shared" si="1"/>
        <v>-6611.7422575519886</v>
      </c>
    </row>
    <row r="60" spans="1:14" ht="15" customHeight="1">
      <c r="A60" s="24" t="s">
        <v>1081</v>
      </c>
      <c r="B60" s="100">
        <v>0</v>
      </c>
      <c r="C60" s="100"/>
      <c r="D60" s="100">
        <f>-'Sch 1 - Restated Exp'!D16</f>
        <v>-37481.077151320438</v>
      </c>
      <c r="E60" s="100"/>
      <c r="F60" s="100">
        <v>0</v>
      </c>
      <c r="G60" s="100"/>
      <c r="H60" s="100">
        <v>0</v>
      </c>
      <c r="I60" s="100"/>
      <c r="J60" s="100">
        <v>0</v>
      </c>
      <c r="K60" s="100"/>
      <c r="L60" s="100">
        <v>0</v>
      </c>
      <c r="M60" s="100"/>
      <c r="N60" s="100">
        <f t="shared" si="1"/>
        <v>-37481.077151320438</v>
      </c>
    </row>
    <row r="61" spans="1:14" ht="15" customHeight="1">
      <c r="A61" s="24" t="s">
        <v>990</v>
      </c>
      <c r="B61" s="100">
        <v>0</v>
      </c>
      <c r="C61" s="100"/>
      <c r="D61" s="100">
        <f>-'Sch 1 - Restated Exp'!D17</f>
        <v>-10336.298911872171</v>
      </c>
      <c r="E61" s="100"/>
      <c r="F61" s="100">
        <v>0</v>
      </c>
      <c r="G61" s="100"/>
      <c r="H61" s="100">
        <v>0</v>
      </c>
      <c r="I61" s="100"/>
      <c r="J61" s="100">
        <v>0</v>
      </c>
      <c r="K61" s="100"/>
      <c r="L61" s="100">
        <v>0</v>
      </c>
      <c r="M61" s="100"/>
      <c r="N61" s="100">
        <f t="shared" si="1"/>
        <v>-10336.298911872171</v>
      </c>
    </row>
    <row r="62" spans="1:14" ht="15" customHeight="1">
      <c r="A62" s="24" t="s">
        <v>1082</v>
      </c>
      <c r="B62" s="100">
        <v>0</v>
      </c>
      <c r="C62" s="100"/>
      <c r="D62" s="100">
        <f>-'Sch 1 - Restated Exp'!D18</f>
        <v>-1622.4064114837331</v>
      </c>
      <c r="E62" s="100"/>
      <c r="F62" s="100">
        <v>0</v>
      </c>
      <c r="G62" s="100"/>
      <c r="H62" s="100">
        <v>0</v>
      </c>
      <c r="I62" s="100"/>
      <c r="J62" s="100">
        <v>0</v>
      </c>
      <c r="K62" s="100"/>
      <c r="L62" s="100">
        <v>0</v>
      </c>
      <c r="M62" s="100"/>
      <c r="N62" s="100">
        <f t="shared" si="1"/>
        <v>-1622.4064114837331</v>
      </c>
    </row>
    <row r="63" spans="1:14" ht="15" customHeight="1">
      <c r="A63" s="24" t="s">
        <v>992</v>
      </c>
      <c r="B63" s="100">
        <v>0</v>
      </c>
      <c r="C63" s="100"/>
      <c r="D63" s="100">
        <f>-'Sch 1 - Restated Exp'!D19</f>
        <v>-3052.9152904263797</v>
      </c>
      <c r="E63" s="100"/>
      <c r="F63" s="100">
        <v>0</v>
      </c>
      <c r="G63" s="100"/>
      <c r="H63" s="100">
        <v>0</v>
      </c>
      <c r="I63" s="100"/>
      <c r="J63" s="100">
        <v>0</v>
      </c>
      <c r="K63" s="100"/>
      <c r="L63" s="100">
        <v>0</v>
      </c>
      <c r="M63" s="100"/>
      <c r="N63" s="100">
        <f t="shared" si="1"/>
        <v>-3052.9152904263797</v>
      </c>
    </row>
    <row r="64" spans="1:14" ht="15" customHeight="1">
      <c r="A64" s="24" t="s">
        <v>231</v>
      </c>
      <c r="B64" s="100">
        <v>0</v>
      </c>
      <c r="C64" s="100"/>
      <c r="D64" s="100">
        <v>0</v>
      </c>
      <c r="E64" s="100"/>
      <c r="F64" s="100">
        <v>0</v>
      </c>
      <c r="G64" s="100"/>
      <c r="H64" s="100">
        <v>0</v>
      </c>
      <c r="I64" s="100"/>
      <c r="J64" s="100">
        <v>0</v>
      </c>
      <c r="K64" s="100"/>
      <c r="L64" s="100">
        <v>0</v>
      </c>
      <c r="M64" s="100"/>
      <c r="N64" s="100">
        <f t="shared" si="1"/>
        <v>0</v>
      </c>
    </row>
    <row r="65" spans="1:14" ht="15" customHeight="1">
      <c r="A65" s="24" t="s">
        <v>232</v>
      </c>
      <c r="B65" s="100">
        <v>0</v>
      </c>
      <c r="C65" s="100"/>
      <c r="D65" s="100">
        <v>0</v>
      </c>
      <c r="E65" s="100"/>
      <c r="F65" s="100">
        <v>0</v>
      </c>
      <c r="G65" s="100"/>
      <c r="H65" s="100">
        <v>0</v>
      </c>
      <c r="I65" s="100"/>
      <c r="J65" s="100">
        <v>0</v>
      </c>
      <c r="K65" s="100"/>
      <c r="L65" s="100">
        <v>0</v>
      </c>
      <c r="M65" s="100"/>
      <c r="N65" s="100">
        <f t="shared" si="1"/>
        <v>0</v>
      </c>
    </row>
    <row r="66" spans="1:14" ht="15" customHeight="1">
      <c r="A66" s="24" t="s">
        <v>233</v>
      </c>
      <c r="B66" s="100">
        <v>0</v>
      </c>
      <c r="C66" s="100"/>
      <c r="D66" s="100">
        <v>0</v>
      </c>
      <c r="E66" s="100"/>
      <c r="F66" s="100">
        <v>0</v>
      </c>
      <c r="G66" s="100"/>
      <c r="H66" s="100">
        <v>0</v>
      </c>
      <c r="I66" s="100"/>
      <c r="J66" s="100">
        <v>0</v>
      </c>
      <c r="K66" s="100"/>
      <c r="L66" s="100">
        <v>0</v>
      </c>
      <c r="M66" s="100"/>
      <c r="N66" s="100">
        <f t="shared" si="1"/>
        <v>0</v>
      </c>
    </row>
    <row r="67" spans="1:14" ht="15" customHeight="1">
      <c r="A67" s="24" t="s">
        <v>234</v>
      </c>
      <c r="B67" s="100">
        <v>0</v>
      </c>
      <c r="C67" s="100"/>
      <c r="D67" s="100">
        <v>0</v>
      </c>
      <c r="E67" s="100"/>
      <c r="F67" s="100">
        <v>0</v>
      </c>
      <c r="G67" s="100"/>
      <c r="H67" s="100">
        <v>0</v>
      </c>
      <c r="I67" s="100"/>
      <c r="J67" s="100">
        <v>0</v>
      </c>
      <c r="K67" s="100"/>
      <c r="L67" s="100">
        <v>0</v>
      </c>
      <c r="M67" s="100"/>
      <c r="N67" s="100">
        <f t="shared" si="1"/>
        <v>0</v>
      </c>
    </row>
    <row r="68" spans="1:14" ht="15" customHeight="1">
      <c r="A68" s="24" t="s">
        <v>235</v>
      </c>
      <c r="B68" s="100">
        <v>0</v>
      </c>
      <c r="C68" s="100"/>
      <c r="D68" s="100">
        <v>0</v>
      </c>
      <c r="E68" s="100"/>
      <c r="F68" s="100">
        <v>0</v>
      </c>
      <c r="G68" s="100"/>
      <c r="H68" s="100">
        <v>0</v>
      </c>
      <c r="I68" s="100"/>
      <c r="J68" s="100">
        <v>0</v>
      </c>
      <c r="K68" s="100"/>
      <c r="L68" s="100">
        <v>0</v>
      </c>
      <c r="M68" s="100"/>
      <c r="N68" s="100">
        <f t="shared" si="1"/>
        <v>0</v>
      </c>
    </row>
    <row r="69" spans="1:14" ht="15" customHeight="1">
      <c r="A69" s="24" t="s">
        <v>236</v>
      </c>
      <c r="B69" s="100">
        <v>0</v>
      </c>
      <c r="C69" s="100"/>
      <c r="D69" s="100">
        <v>0</v>
      </c>
      <c r="E69" s="100"/>
      <c r="F69" s="100">
        <v>0</v>
      </c>
      <c r="G69" s="103"/>
      <c r="H69" s="100">
        <v>0</v>
      </c>
      <c r="I69" s="100"/>
      <c r="J69" s="100">
        <v>0</v>
      </c>
      <c r="K69" s="100"/>
      <c r="L69" s="100">
        <v>0</v>
      </c>
      <c r="M69" s="100"/>
      <c r="N69" s="100">
        <f t="shared" si="1"/>
        <v>0</v>
      </c>
    </row>
    <row r="70" spans="1:14" ht="15" customHeight="1">
      <c r="A70" s="24" t="s">
        <v>237</v>
      </c>
      <c r="B70" s="100">
        <v>0</v>
      </c>
      <c r="C70" s="100"/>
      <c r="D70" s="100">
        <v>0</v>
      </c>
      <c r="E70" s="100"/>
      <c r="F70" s="100">
        <v>0</v>
      </c>
      <c r="G70" s="103"/>
      <c r="H70" s="100">
        <v>0</v>
      </c>
      <c r="I70" s="100"/>
      <c r="J70" s="100">
        <v>0</v>
      </c>
      <c r="K70" s="100"/>
      <c r="L70" s="100">
        <v>0</v>
      </c>
      <c r="M70" s="100"/>
      <c r="N70" s="100">
        <f t="shared" si="1"/>
        <v>0</v>
      </c>
    </row>
    <row r="71" spans="1:14" ht="15" customHeight="1">
      <c r="A71" s="24" t="s">
        <v>238</v>
      </c>
      <c r="B71" s="100">
        <v>0</v>
      </c>
      <c r="C71" s="100"/>
      <c r="D71" s="100">
        <v>0</v>
      </c>
      <c r="E71" s="100"/>
      <c r="F71" s="100">
        <v>0</v>
      </c>
      <c r="G71" s="100"/>
      <c r="H71" s="100">
        <v>0</v>
      </c>
      <c r="I71" s="100"/>
      <c r="J71" s="100">
        <v>0</v>
      </c>
      <c r="K71" s="100"/>
      <c r="L71" s="100">
        <v>0</v>
      </c>
      <c r="M71" s="100"/>
      <c r="N71" s="100">
        <f t="shared" si="1"/>
        <v>0</v>
      </c>
    </row>
    <row r="72" spans="1:14" ht="15" customHeight="1">
      <c r="A72" s="24" t="s">
        <v>239</v>
      </c>
      <c r="B72" s="100">
        <v>0</v>
      </c>
      <c r="C72" s="100"/>
      <c r="D72" s="100">
        <v>0</v>
      </c>
      <c r="E72" s="100"/>
      <c r="F72" s="100">
        <v>0</v>
      </c>
      <c r="G72" s="100"/>
      <c r="H72" s="100">
        <v>0</v>
      </c>
      <c r="I72" s="100"/>
      <c r="J72" s="100">
        <v>0</v>
      </c>
      <c r="K72" s="100"/>
      <c r="L72" s="100">
        <v>0</v>
      </c>
      <c r="M72" s="100"/>
      <c r="N72" s="100">
        <f t="shared" si="1"/>
        <v>0</v>
      </c>
    </row>
    <row r="73" spans="1:14" ht="15" customHeight="1">
      <c r="A73" s="24" t="s">
        <v>240</v>
      </c>
      <c r="B73" s="100">
        <v>0</v>
      </c>
      <c r="C73" s="100"/>
      <c r="D73" s="100">
        <v>0</v>
      </c>
      <c r="E73" s="100"/>
      <c r="F73" s="100">
        <v>0</v>
      </c>
      <c r="G73" s="100"/>
      <c r="H73" s="100">
        <v>0</v>
      </c>
      <c r="I73" s="100"/>
      <c r="J73" s="100">
        <v>0</v>
      </c>
      <c r="K73" s="100"/>
      <c r="L73" s="100">
        <v>0</v>
      </c>
      <c r="M73" s="100"/>
      <c r="N73" s="100">
        <f t="shared" si="1"/>
        <v>0</v>
      </c>
    </row>
    <row r="74" spans="1:14" ht="15" customHeight="1">
      <c r="A74" s="24" t="s">
        <v>43</v>
      </c>
      <c r="B74" s="100">
        <v>0</v>
      </c>
      <c r="C74" s="100"/>
      <c r="D74" s="100">
        <v>0</v>
      </c>
      <c r="E74" s="100"/>
      <c r="F74" s="100">
        <v>0</v>
      </c>
      <c r="G74" s="100"/>
      <c r="H74" s="100">
        <v>0</v>
      </c>
      <c r="I74" s="100"/>
      <c r="J74" s="100">
        <v>0</v>
      </c>
      <c r="K74" s="100"/>
      <c r="L74" s="100">
        <v>0</v>
      </c>
      <c r="M74" s="100"/>
      <c r="N74" s="100">
        <f t="shared" si="1"/>
        <v>0</v>
      </c>
    </row>
    <row r="75" spans="1:14" ht="15" customHeight="1">
      <c r="A75" s="24" t="s">
        <v>275</v>
      </c>
      <c r="B75" s="100">
        <v>0</v>
      </c>
      <c r="C75" s="100"/>
      <c r="D75" s="100">
        <v>0</v>
      </c>
      <c r="E75" s="100"/>
      <c r="F75" s="100">
        <v>0</v>
      </c>
      <c r="G75" s="100"/>
      <c r="H75" s="100">
        <v>0</v>
      </c>
      <c r="I75" s="100"/>
      <c r="J75" s="100">
        <v>0</v>
      </c>
      <c r="K75" s="100"/>
      <c r="L75" s="100">
        <v>0</v>
      </c>
      <c r="M75" s="100"/>
      <c r="N75" s="100">
        <f t="shared" si="1"/>
        <v>0</v>
      </c>
    </row>
    <row r="76" spans="1:14" ht="15" customHeight="1">
      <c r="A76" s="24" t="s">
        <v>276</v>
      </c>
      <c r="B76" s="100">
        <v>0</v>
      </c>
      <c r="C76" s="100"/>
      <c r="D76" s="100">
        <v>0</v>
      </c>
      <c r="E76" s="100"/>
      <c r="F76" s="100">
        <v>0</v>
      </c>
      <c r="G76" s="103"/>
      <c r="H76" s="100">
        <v>0</v>
      </c>
      <c r="I76" s="100"/>
      <c r="J76" s="100">
        <v>0</v>
      </c>
      <c r="K76" s="100"/>
      <c r="L76" s="100">
        <v>0</v>
      </c>
      <c r="M76" s="100"/>
      <c r="N76" s="100">
        <f t="shared" si="1"/>
        <v>0</v>
      </c>
    </row>
    <row r="77" spans="1:14" ht="15" customHeight="1">
      <c r="A77" s="24" t="s">
        <v>277</v>
      </c>
      <c r="B77" s="100">
        <v>0</v>
      </c>
      <c r="C77" s="100"/>
      <c r="D77" s="100">
        <v>0</v>
      </c>
      <c r="E77" s="100"/>
      <c r="F77" s="100">
        <v>0</v>
      </c>
      <c r="G77" s="100"/>
      <c r="H77" s="100">
        <v>0</v>
      </c>
      <c r="I77" s="100"/>
      <c r="J77" s="100">
        <v>0</v>
      </c>
      <c r="K77" s="100"/>
      <c r="L77" s="100">
        <v>0</v>
      </c>
      <c r="M77" s="100"/>
      <c r="N77" s="100">
        <f t="shared" si="1"/>
        <v>0</v>
      </c>
    </row>
    <row r="78" spans="1:14" ht="15" customHeight="1">
      <c r="A78" s="24" t="s">
        <v>278</v>
      </c>
      <c r="B78" s="100">
        <v>0</v>
      </c>
      <c r="C78" s="100"/>
      <c r="D78" s="100">
        <v>0</v>
      </c>
      <c r="E78" s="100"/>
      <c r="F78" s="100">
        <v>0</v>
      </c>
      <c r="G78" s="100"/>
      <c r="H78" s="100">
        <v>0</v>
      </c>
      <c r="I78" s="100"/>
      <c r="J78" s="100">
        <v>0</v>
      </c>
      <c r="K78" s="100"/>
      <c r="L78" s="100">
        <v>0</v>
      </c>
      <c r="M78" s="100"/>
      <c r="N78" s="100">
        <f t="shared" si="1"/>
        <v>0</v>
      </c>
    </row>
    <row r="79" spans="1:14" ht="15" customHeight="1">
      <c r="A79" s="24" t="s">
        <v>279</v>
      </c>
      <c r="B79" s="100">
        <v>0</v>
      </c>
      <c r="C79" s="100"/>
      <c r="D79" s="100">
        <v>0</v>
      </c>
      <c r="E79" s="100"/>
      <c r="F79" s="100">
        <v>0</v>
      </c>
      <c r="G79" s="100"/>
      <c r="H79" s="100">
        <v>0</v>
      </c>
      <c r="I79" s="100"/>
      <c r="J79" s="100">
        <v>0</v>
      </c>
      <c r="K79" s="100"/>
      <c r="L79" s="100">
        <v>0</v>
      </c>
      <c r="M79" s="100"/>
      <c r="N79" s="100">
        <f t="shared" si="1"/>
        <v>0</v>
      </c>
    </row>
    <row r="80" spans="1:14" ht="15" customHeight="1">
      <c r="A80" s="24" t="s">
        <v>241</v>
      </c>
      <c r="B80" s="100">
        <v>0</v>
      </c>
      <c r="C80" s="100"/>
      <c r="D80" s="100">
        <v>0</v>
      </c>
      <c r="E80" s="100"/>
      <c r="F80" s="100">
        <v>0</v>
      </c>
      <c r="G80" s="103"/>
      <c r="H80" s="100">
        <v>0</v>
      </c>
      <c r="I80" s="100"/>
      <c r="J80" s="100">
        <v>0</v>
      </c>
      <c r="K80" s="100"/>
      <c r="L80" s="100">
        <v>0</v>
      </c>
      <c r="M80" s="100"/>
      <c r="N80" s="100">
        <f t="shared" si="1"/>
        <v>0</v>
      </c>
    </row>
    <row r="81" spans="1:14" ht="15" customHeight="1">
      <c r="A81" s="24" t="s">
        <v>242</v>
      </c>
      <c r="B81" s="100">
        <v>0</v>
      </c>
      <c r="C81" s="100"/>
      <c r="D81" s="100">
        <v>0</v>
      </c>
      <c r="E81" s="100"/>
      <c r="F81" s="100">
        <v>0</v>
      </c>
      <c r="G81" s="100"/>
      <c r="H81" s="100">
        <v>0</v>
      </c>
      <c r="I81" s="100"/>
      <c r="J81" s="100">
        <v>0</v>
      </c>
      <c r="K81" s="100"/>
      <c r="L81" s="100">
        <v>0</v>
      </c>
      <c r="M81" s="100"/>
      <c r="N81" s="100">
        <f t="shared" si="1"/>
        <v>0</v>
      </c>
    </row>
    <row r="82" spans="1:14" ht="15" customHeight="1">
      <c r="A82" s="24" t="s">
        <v>243</v>
      </c>
      <c r="B82" s="100">
        <v>0</v>
      </c>
      <c r="C82" s="100"/>
      <c r="D82" s="100">
        <v>0</v>
      </c>
      <c r="E82" s="100"/>
      <c r="F82" s="100">
        <v>0</v>
      </c>
      <c r="G82" s="100"/>
      <c r="H82" s="100">
        <v>0</v>
      </c>
      <c r="I82" s="100"/>
      <c r="J82" s="100">
        <v>0</v>
      </c>
      <c r="K82" s="100"/>
      <c r="L82" s="100">
        <v>0</v>
      </c>
      <c r="M82" s="100"/>
      <c r="N82" s="100">
        <f t="shared" si="1"/>
        <v>0</v>
      </c>
    </row>
    <row r="83" spans="1:14" ht="15" customHeight="1">
      <c r="A83" s="24" t="s">
        <v>244</v>
      </c>
      <c r="B83" s="100">
        <v>0</v>
      </c>
      <c r="C83" s="100"/>
      <c r="D83" s="100">
        <v>0</v>
      </c>
      <c r="E83" s="100"/>
      <c r="F83" s="100">
        <v>0</v>
      </c>
      <c r="G83" s="100"/>
      <c r="H83" s="100">
        <v>0</v>
      </c>
      <c r="I83" s="100"/>
      <c r="J83" s="100">
        <v>0</v>
      </c>
      <c r="K83" s="100"/>
      <c r="L83" s="100">
        <v>0</v>
      </c>
      <c r="M83" s="100"/>
      <c r="N83" s="100">
        <f t="shared" si="1"/>
        <v>0</v>
      </c>
    </row>
    <row r="84" spans="1:14" ht="15" customHeight="1">
      <c r="A84" s="24" t="s">
        <v>245</v>
      </c>
      <c r="B84" s="100">
        <v>0</v>
      </c>
      <c r="C84" s="100"/>
      <c r="D84" s="100">
        <v>0</v>
      </c>
      <c r="E84" s="100"/>
      <c r="F84" s="100">
        <v>0</v>
      </c>
      <c r="G84" s="100"/>
      <c r="H84" s="100">
        <v>0</v>
      </c>
      <c r="I84" s="100"/>
      <c r="J84" s="100">
        <v>0</v>
      </c>
      <c r="K84" s="100"/>
      <c r="L84" s="100">
        <v>0</v>
      </c>
      <c r="M84" s="100"/>
      <c r="N84" s="100">
        <f t="shared" si="1"/>
        <v>0</v>
      </c>
    </row>
    <row r="85" spans="1:14" ht="15" customHeight="1">
      <c r="A85" s="24" t="s">
        <v>246</v>
      </c>
      <c r="B85" s="100">
        <v>0</v>
      </c>
      <c r="C85" s="100"/>
      <c r="D85" s="100">
        <v>0</v>
      </c>
      <c r="E85" s="100"/>
      <c r="F85" s="100">
        <v>0</v>
      </c>
      <c r="G85" s="100"/>
      <c r="H85" s="100">
        <v>0</v>
      </c>
      <c r="I85" s="100"/>
      <c r="J85" s="100">
        <v>0</v>
      </c>
      <c r="K85" s="100"/>
      <c r="L85" s="100">
        <v>0</v>
      </c>
      <c r="M85" s="100"/>
      <c r="N85" s="100">
        <f t="shared" si="1"/>
        <v>0</v>
      </c>
    </row>
    <row r="86" spans="1:14" ht="15" customHeight="1">
      <c r="A86" s="24" t="s">
        <v>247</v>
      </c>
      <c r="B86" s="100">
        <v>0</v>
      </c>
      <c r="C86" s="100"/>
      <c r="D86" s="100">
        <v>0</v>
      </c>
      <c r="E86" s="100"/>
      <c r="F86" s="100">
        <v>0</v>
      </c>
      <c r="G86" s="103"/>
      <c r="H86" s="100">
        <v>0</v>
      </c>
      <c r="I86" s="100"/>
      <c r="J86" s="100">
        <v>0</v>
      </c>
      <c r="K86" s="100"/>
      <c r="L86" s="100">
        <v>0</v>
      </c>
      <c r="M86" s="100"/>
      <c r="N86" s="100">
        <f t="shared" si="1"/>
        <v>0</v>
      </c>
    </row>
    <row r="87" spans="1:14" ht="15" customHeight="1">
      <c r="A87" s="24" t="s">
        <v>248</v>
      </c>
      <c r="B87" s="100">
        <v>0</v>
      </c>
      <c r="C87" s="100"/>
      <c r="D87" s="100">
        <v>0</v>
      </c>
      <c r="E87" s="100"/>
      <c r="F87" s="100">
        <v>0</v>
      </c>
      <c r="G87" s="103"/>
      <c r="H87" s="100">
        <v>0</v>
      </c>
      <c r="I87" s="100"/>
      <c r="J87" s="100">
        <v>0</v>
      </c>
      <c r="K87" s="100"/>
      <c r="L87" s="100">
        <v>0</v>
      </c>
      <c r="M87" s="100"/>
      <c r="N87" s="100">
        <f t="shared" si="1"/>
        <v>0</v>
      </c>
    </row>
    <row r="88" spans="1:14" ht="15" customHeight="1">
      <c r="A88" s="24" t="s">
        <v>249</v>
      </c>
      <c r="B88" s="100">
        <v>0</v>
      </c>
      <c r="C88" s="100"/>
      <c r="D88" s="100">
        <v>0</v>
      </c>
      <c r="E88" s="100"/>
      <c r="F88" s="100">
        <v>0</v>
      </c>
      <c r="G88" s="100"/>
      <c r="H88" s="100">
        <v>0</v>
      </c>
      <c r="I88" s="100"/>
      <c r="J88" s="100">
        <v>0</v>
      </c>
      <c r="K88" s="100"/>
      <c r="L88" s="100">
        <v>0</v>
      </c>
      <c r="M88" s="100"/>
      <c r="N88" s="100">
        <f t="shared" si="1"/>
        <v>0</v>
      </c>
    </row>
    <row r="89" spans="1:14" ht="15" customHeight="1">
      <c r="A89" s="24" t="s">
        <v>250</v>
      </c>
      <c r="B89" s="100">
        <v>0</v>
      </c>
      <c r="C89" s="100"/>
      <c r="D89" s="100">
        <v>0</v>
      </c>
      <c r="E89" s="100"/>
      <c r="F89" s="100">
        <v>0</v>
      </c>
      <c r="G89" s="100"/>
      <c r="H89" s="100">
        <v>0</v>
      </c>
      <c r="I89" s="100"/>
      <c r="J89" s="100">
        <v>0</v>
      </c>
      <c r="K89" s="100"/>
      <c r="L89" s="100">
        <v>0</v>
      </c>
      <c r="M89" s="100"/>
      <c r="N89" s="100">
        <f t="shared" si="1"/>
        <v>0</v>
      </c>
    </row>
    <row r="90" spans="1:14" ht="15" customHeight="1">
      <c r="A90" s="24" t="s">
        <v>251</v>
      </c>
      <c r="B90" s="100">
        <v>0</v>
      </c>
      <c r="C90" s="100"/>
      <c r="D90" s="100">
        <v>0</v>
      </c>
      <c r="E90" s="100"/>
      <c r="F90" s="100">
        <v>0</v>
      </c>
      <c r="G90" s="100"/>
      <c r="H90" s="100">
        <v>0</v>
      </c>
      <c r="I90" s="100"/>
      <c r="J90" s="100">
        <v>0</v>
      </c>
      <c r="K90" s="100"/>
      <c r="L90" s="100">
        <v>0</v>
      </c>
      <c r="M90" s="100"/>
      <c r="N90" s="100">
        <f t="shared" si="1"/>
        <v>0</v>
      </c>
    </row>
    <row r="91" spans="1:14" ht="15" customHeight="1">
      <c r="A91" s="24" t="s">
        <v>252</v>
      </c>
      <c r="B91" s="100">
        <v>0</v>
      </c>
      <c r="C91" s="100"/>
      <c r="D91" s="100">
        <v>0</v>
      </c>
      <c r="E91" s="100"/>
      <c r="F91" s="100">
        <v>0</v>
      </c>
      <c r="G91" s="100"/>
      <c r="H91" s="100">
        <v>0</v>
      </c>
      <c r="I91" s="100"/>
      <c r="J91" s="100">
        <v>0</v>
      </c>
      <c r="K91" s="100"/>
      <c r="L91" s="100">
        <v>0</v>
      </c>
      <c r="M91" s="100"/>
      <c r="N91" s="100">
        <f t="shared" si="1"/>
        <v>0</v>
      </c>
    </row>
    <row r="92" spans="1:14" ht="15" customHeight="1">
      <c r="A92" s="24" t="s">
        <v>253</v>
      </c>
      <c r="B92" s="100">
        <v>0</v>
      </c>
      <c r="C92" s="100"/>
      <c r="D92" s="100">
        <v>0</v>
      </c>
      <c r="E92" s="100"/>
      <c r="F92" s="100">
        <v>0</v>
      </c>
      <c r="G92" s="100"/>
      <c r="H92" s="100">
        <v>0</v>
      </c>
      <c r="I92" s="100"/>
      <c r="J92" s="100">
        <v>0</v>
      </c>
      <c r="K92" s="100"/>
      <c r="L92" s="100">
        <v>0</v>
      </c>
      <c r="M92" s="100"/>
      <c r="N92" s="100">
        <f t="shared" si="1"/>
        <v>0</v>
      </c>
    </row>
    <row r="93" spans="1:14" ht="15" customHeight="1">
      <c r="A93" s="24" t="s">
        <v>13</v>
      </c>
      <c r="B93" s="100">
        <v>0</v>
      </c>
      <c r="C93" s="100"/>
      <c r="D93" s="100">
        <v>0</v>
      </c>
      <c r="E93" s="100"/>
      <c r="F93" s="100">
        <v>0</v>
      </c>
      <c r="G93" s="100"/>
      <c r="H93" s="100">
        <v>0</v>
      </c>
      <c r="I93" s="100"/>
      <c r="J93" s="100">
        <v>0</v>
      </c>
      <c r="K93" s="100"/>
      <c r="L93" s="100">
        <v>0</v>
      </c>
      <c r="M93" s="100"/>
      <c r="N93" s="100">
        <f t="shared" si="1"/>
        <v>0</v>
      </c>
    </row>
    <row r="94" spans="1:14" ht="15" customHeight="1">
      <c r="A94" s="24" t="s">
        <v>254</v>
      </c>
      <c r="B94" s="100">
        <v>0</v>
      </c>
      <c r="C94" s="100"/>
      <c r="D94" s="100">
        <v>0</v>
      </c>
      <c r="E94" s="100"/>
      <c r="F94" s="100">
        <f>-'Sch 1 - Restated Exp'!D25</f>
        <v>-8429.5352476230091</v>
      </c>
      <c r="G94" s="103"/>
      <c r="H94" s="100">
        <v>0</v>
      </c>
      <c r="I94" s="100"/>
      <c r="J94" s="100"/>
      <c r="K94" s="100"/>
      <c r="L94" s="100">
        <v>0</v>
      </c>
      <c r="M94" s="100"/>
      <c r="N94" s="100">
        <f t="shared" si="1"/>
        <v>-8429.5352476230091</v>
      </c>
    </row>
    <row r="95" spans="1:14" ht="15" customHeight="1">
      <c r="A95" s="24" t="s">
        <v>255</v>
      </c>
      <c r="B95" s="100">
        <v>0</v>
      </c>
      <c r="C95" s="100"/>
      <c r="D95" s="100">
        <v>0</v>
      </c>
      <c r="E95" s="100"/>
      <c r="F95" s="100">
        <v>0</v>
      </c>
      <c r="G95" s="103"/>
      <c r="H95" s="100">
        <v>0</v>
      </c>
      <c r="I95" s="100"/>
      <c r="J95" s="100">
        <v>0</v>
      </c>
      <c r="K95" s="100"/>
      <c r="L95" s="100">
        <v>0</v>
      </c>
      <c r="M95" s="100"/>
      <c r="N95" s="100">
        <f t="shared" si="1"/>
        <v>0</v>
      </c>
    </row>
    <row r="96" spans="1:14" ht="15" customHeight="1">
      <c r="A96" s="24" t="s">
        <v>256</v>
      </c>
      <c r="B96" s="100">
        <v>0</v>
      </c>
      <c r="C96" s="100"/>
      <c r="D96" s="100">
        <v>0</v>
      </c>
      <c r="E96" s="100"/>
      <c r="F96" s="100">
        <v>0</v>
      </c>
      <c r="G96" s="100"/>
      <c r="H96" s="100">
        <v>0</v>
      </c>
      <c r="I96" s="100"/>
      <c r="J96" s="100">
        <v>0</v>
      </c>
      <c r="K96" s="100"/>
      <c r="L96" s="100">
        <v>0</v>
      </c>
      <c r="M96" s="100"/>
      <c r="N96" s="100">
        <f t="shared" si="1"/>
        <v>0</v>
      </c>
    </row>
    <row r="97" spans="1:14" ht="15" customHeight="1">
      <c r="A97" s="24" t="s">
        <v>257</v>
      </c>
      <c r="B97" s="100">
        <v>0</v>
      </c>
      <c r="C97" s="100"/>
      <c r="D97" s="100">
        <v>0</v>
      </c>
      <c r="E97" s="100"/>
      <c r="F97" s="100">
        <v>0</v>
      </c>
      <c r="G97" s="100"/>
      <c r="H97" s="100">
        <v>0</v>
      </c>
      <c r="I97" s="100"/>
      <c r="J97" s="100">
        <v>0</v>
      </c>
      <c r="K97" s="100"/>
      <c r="L97" s="100">
        <v>0</v>
      </c>
      <c r="M97" s="100"/>
      <c r="N97" s="100">
        <f t="shared" si="1"/>
        <v>0</v>
      </c>
    </row>
    <row r="98" spans="1:14" ht="15" customHeight="1">
      <c r="A98" s="24" t="s">
        <v>258</v>
      </c>
      <c r="B98" s="100">
        <f>-'Sch 1 - Restated Exp'!D10</f>
        <v>-15800.210000000001</v>
      </c>
      <c r="C98" s="100"/>
      <c r="D98" s="100">
        <v>0</v>
      </c>
      <c r="E98" s="100"/>
      <c r="F98" s="100">
        <v>0</v>
      </c>
      <c r="G98" s="103"/>
      <c r="H98" s="100">
        <v>0</v>
      </c>
      <c r="I98" s="100"/>
      <c r="J98" s="100">
        <v>0</v>
      </c>
      <c r="K98" s="100"/>
      <c r="L98" s="100">
        <v>0</v>
      </c>
      <c r="M98" s="100"/>
      <c r="N98" s="100">
        <f t="shared" si="1"/>
        <v>-15800.210000000001</v>
      </c>
    </row>
    <row r="99" spans="1:14" ht="15" customHeight="1">
      <c r="A99" s="24" t="s">
        <v>263</v>
      </c>
      <c r="B99" s="100">
        <v>0</v>
      </c>
      <c r="C99" s="100"/>
      <c r="D99" s="100">
        <v>0</v>
      </c>
      <c r="E99" s="100"/>
      <c r="F99" s="100">
        <v>0</v>
      </c>
      <c r="G99" s="100"/>
      <c r="H99" s="100">
        <v>0</v>
      </c>
      <c r="I99" s="100"/>
      <c r="J99" s="100">
        <v>0</v>
      </c>
      <c r="K99" s="100"/>
      <c r="L99" s="100">
        <f>-'Sch 1 - Restated Exp'!D37</f>
        <v>-7200</v>
      </c>
      <c r="M99" s="100"/>
      <c r="N99" s="100">
        <f t="shared" si="1"/>
        <v>-7200</v>
      </c>
    </row>
    <row r="100" spans="1:14" ht="15" customHeight="1">
      <c r="A100" s="24" t="s">
        <v>264</v>
      </c>
      <c r="B100" s="100">
        <v>0</v>
      </c>
      <c r="C100" s="100"/>
      <c r="D100" s="100">
        <v>0</v>
      </c>
      <c r="E100" s="100"/>
      <c r="F100" s="100">
        <v>0</v>
      </c>
      <c r="G100" s="100"/>
      <c r="H100" s="100">
        <v>0</v>
      </c>
      <c r="I100" s="100"/>
      <c r="J100" s="100">
        <v>0</v>
      </c>
      <c r="K100" s="100"/>
      <c r="L100" s="100">
        <v>0</v>
      </c>
      <c r="M100" s="100"/>
      <c r="N100" s="100">
        <f t="shared" si="1"/>
        <v>0</v>
      </c>
    </row>
    <row r="101" spans="1:14" ht="15" customHeight="1">
      <c r="A101" s="24" t="s">
        <v>265</v>
      </c>
      <c r="B101" s="100">
        <v>0</v>
      </c>
      <c r="C101" s="100"/>
      <c r="D101" s="100">
        <v>0</v>
      </c>
      <c r="E101" s="100"/>
      <c r="F101" s="100">
        <v>0</v>
      </c>
      <c r="G101" s="100"/>
      <c r="H101" s="100">
        <v>0</v>
      </c>
      <c r="I101" s="100"/>
      <c r="J101" s="100">
        <v>0</v>
      </c>
      <c r="K101" s="100"/>
      <c r="L101" s="100">
        <v>0</v>
      </c>
      <c r="M101" s="100"/>
      <c r="N101" s="100">
        <f t="shared" si="1"/>
        <v>0</v>
      </c>
    </row>
    <row r="102" spans="1:14" ht="15" customHeight="1">
      <c r="A102" s="24" t="s">
        <v>266</v>
      </c>
      <c r="B102" s="100">
        <v>0</v>
      </c>
      <c r="C102" s="100"/>
      <c r="D102" s="100">
        <v>0</v>
      </c>
      <c r="E102" s="100"/>
      <c r="F102" s="100">
        <v>0</v>
      </c>
      <c r="G102" s="103"/>
      <c r="H102" s="100">
        <v>0</v>
      </c>
      <c r="I102" s="100"/>
      <c r="J102" s="100">
        <f>-'Sch 1 - Restated Exp'!D34</f>
        <v>35166.676607326117</v>
      </c>
      <c r="K102" s="100"/>
      <c r="L102" s="100">
        <v>0</v>
      </c>
      <c r="M102" s="100"/>
      <c r="N102" s="100">
        <f t="shared" si="1"/>
        <v>35166.676607326117</v>
      </c>
    </row>
    <row r="103" spans="1:14" ht="15" customHeight="1">
      <c r="A103" s="24" t="s">
        <v>69</v>
      </c>
      <c r="B103" s="100">
        <v>0</v>
      </c>
      <c r="C103" s="100"/>
      <c r="D103" s="100">
        <v>0</v>
      </c>
      <c r="E103" s="100"/>
      <c r="F103" s="100">
        <v>0</v>
      </c>
      <c r="G103" s="103"/>
      <c r="H103" s="100">
        <v>0</v>
      </c>
      <c r="I103" s="100"/>
      <c r="J103" s="100">
        <v>0</v>
      </c>
      <c r="K103" s="100"/>
      <c r="L103" s="100">
        <v>0</v>
      </c>
      <c r="M103" s="100"/>
      <c r="N103" s="100">
        <f t="shared" si="1"/>
        <v>0</v>
      </c>
    </row>
    <row r="104" spans="1:14" ht="15" customHeight="1">
      <c r="A104" s="98"/>
      <c r="B104" s="101"/>
      <c r="C104" s="100"/>
      <c r="D104" s="101"/>
      <c r="E104" s="100"/>
      <c r="F104" s="101"/>
      <c r="G104" s="100"/>
      <c r="H104" s="100"/>
      <c r="I104" s="100"/>
      <c r="J104" s="100">
        <v>0</v>
      </c>
      <c r="K104" s="100"/>
      <c r="L104" s="100">
        <v>0</v>
      </c>
      <c r="M104" s="100"/>
      <c r="N104" s="100">
        <f t="shared" si="1"/>
        <v>0</v>
      </c>
    </row>
    <row r="105" spans="1:14" ht="15" customHeight="1">
      <c r="A105" s="93"/>
      <c r="B105" s="104">
        <f>SUM(B40:B104)</f>
        <v>-15800.210000000001</v>
      </c>
      <c r="C105" s="100"/>
      <c r="D105" s="104">
        <f>SUM(D40:D104)</f>
        <v>-62637.099144433814</v>
      </c>
      <c r="E105" s="100"/>
      <c r="F105" s="104">
        <f>SUM(F40:F104)</f>
        <v>-8429.5352476230091</v>
      </c>
      <c r="G105" s="100"/>
      <c r="H105" s="104">
        <f>SUM(H40:H104)</f>
        <v>-1428.764355919546</v>
      </c>
      <c r="I105" s="100"/>
      <c r="J105" s="104">
        <f>SUM(J40:J104)</f>
        <v>35166.676607326117</v>
      </c>
      <c r="K105" s="100"/>
      <c r="L105" s="104">
        <f>SUM(L40:L104)</f>
        <v>-7200</v>
      </c>
      <c r="M105" s="100"/>
      <c r="N105" s="104">
        <f>SUM(B105:L105)</f>
        <v>-60328.932140650249</v>
      </c>
    </row>
    <row r="106" spans="1:14" ht="15" customHeight="1">
      <c r="A106" s="93"/>
      <c r="B106" s="100"/>
      <c r="C106" s="100"/>
      <c r="D106" s="100"/>
      <c r="E106" s="100"/>
      <c r="F106" s="100"/>
      <c r="G106" s="100"/>
      <c r="H106" s="100"/>
      <c r="I106" s="100"/>
      <c r="J106" s="100"/>
      <c r="K106" s="100"/>
      <c r="L106" s="100"/>
      <c r="M106" s="100"/>
      <c r="N106" s="100"/>
    </row>
    <row r="107" spans="1:14" ht="15" customHeight="1" thickBot="1">
      <c r="A107" s="93" t="s">
        <v>39</v>
      </c>
      <c r="B107" s="105">
        <f>+B37-B105</f>
        <v>15800.210000000001</v>
      </c>
      <c r="C107" s="100"/>
      <c r="D107" s="105">
        <f>+D37-D105</f>
        <v>62637.099144433814</v>
      </c>
      <c r="E107" s="100"/>
      <c r="F107" s="105">
        <f>+F37-F105</f>
        <v>8429.5352476230091</v>
      </c>
      <c r="G107" s="100"/>
      <c r="H107" s="105">
        <f>+H37-H105</f>
        <v>1428.764355919546</v>
      </c>
      <c r="I107" s="100"/>
      <c r="J107" s="105">
        <f>+J37-J105</f>
        <v>-35166.676607326117</v>
      </c>
      <c r="K107" s="100"/>
      <c r="L107" s="105">
        <f>+L37-L105</f>
        <v>7200</v>
      </c>
      <c r="M107" s="100"/>
      <c r="N107" s="105">
        <f>+N37-N105</f>
        <v>60328.932140650249</v>
      </c>
    </row>
    <row r="108" spans="1:14" ht="15" customHeight="1" thickTop="1">
      <c r="A108" s="93"/>
      <c r="B108" s="100"/>
      <c r="C108" s="100"/>
      <c r="D108" s="100"/>
      <c r="E108" s="100"/>
      <c r="F108" s="100"/>
      <c r="G108" s="100"/>
      <c r="H108" s="100"/>
      <c r="I108" s="100"/>
      <c r="J108" s="100"/>
      <c r="K108" s="100"/>
      <c r="L108" s="100"/>
      <c r="M108" s="100"/>
      <c r="N108" s="100"/>
    </row>
    <row r="109" spans="1:14" ht="15" customHeight="1"/>
    <row r="110" spans="1:14" ht="15" customHeight="1"/>
    <row r="111" spans="1:14" ht="15" customHeight="1"/>
    <row r="112" spans="1:14" ht="15" customHeight="1"/>
    <row r="113" ht="15" customHeight="1"/>
    <row r="114" ht="15" customHeight="1"/>
    <row r="115" ht="15" customHeight="1"/>
    <row r="116" ht="15" customHeight="1"/>
    <row r="117" ht="15" customHeight="1"/>
  </sheetData>
  <mergeCells count="4">
    <mergeCell ref="A1:N1"/>
    <mergeCell ref="A5:N5"/>
    <mergeCell ref="A3:N3"/>
    <mergeCell ref="A6:N6"/>
  </mergeCells>
  <phoneticPr fontId="8" type="noConversion"/>
  <pageMargins left="0.25" right="0.25" top="0.75" bottom="0.5" header="0" footer="0.25"/>
  <pageSetup scale="75" fitToHeight="0" orientation="portrait" r:id="rId1"/>
  <headerFooter scaleWithDoc="0" alignWithMargins="0">
    <oddFooter xml:space="preserve">&amp;C&amp;"Times New Roman,Regular"&amp;10See accompanying summary of significant forecast assumptions. &amp;"Arial,Regular"&amp;9
</oddFooter>
  </headerFooter>
  <rowBreaks count="2" manualBreakCount="2">
    <brk id="38" max="17" man="1"/>
    <brk id="86"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pageSetUpPr fitToPage="1"/>
  </sheetPr>
  <dimension ref="A1:L74"/>
  <sheetViews>
    <sheetView zoomScaleNormal="100" workbookViewId="0">
      <selection activeCell="B9" sqref="B9:F9"/>
    </sheetView>
  </sheetViews>
  <sheetFormatPr defaultColWidth="8" defaultRowHeight="15.75"/>
  <cols>
    <col min="1" max="1" width="5.88671875" style="87" customWidth="1"/>
    <col min="2" max="2" width="26.6640625" style="87" customWidth="1"/>
    <col min="3" max="3" width="11.88671875" style="87" customWidth="1"/>
    <col min="4" max="4" width="13.21875" style="87" customWidth="1"/>
    <col min="5" max="5" width="9.88671875" style="87" bestFit="1" customWidth="1"/>
    <col min="6" max="6" width="11.88671875" style="87" customWidth="1"/>
    <col min="7" max="16384" width="8" style="87"/>
  </cols>
  <sheetData>
    <row r="1" spans="1:6" ht="16.5" customHeight="1">
      <c r="A1" s="812" t="s">
        <v>601</v>
      </c>
      <c r="B1" s="812"/>
      <c r="C1" s="812"/>
      <c r="D1" s="812"/>
      <c r="E1" s="812"/>
      <c r="F1" s="812"/>
    </row>
    <row r="2" spans="1:6" ht="13.5" customHeight="1">
      <c r="A2" s="173"/>
      <c r="B2" s="173"/>
      <c r="C2" s="173"/>
      <c r="D2" s="173"/>
      <c r="E2" s="173"/>
      <c r="F2" s="173"/>
    </row>
    <row r="3" spans="1:6" ht="16.5">
      <c r="A3" s="813" t="s">
        <v>92</v>
      </c>
      <c r="B3" s="813"/>
      <c r="C3" s="813"/>
      <c r="D3" s="813"/>
      <c r="E3" s="813"/>
      <c r="F3" s="813"/>
    </row>
    <row r="4" spans="1:6" ht="15.75" customHeight="1">
      <c r="A4" s="106"/>
      <c r="B4" s="106"/>
      <c r="C4" s="106"/>
      <c r="D4" s="106"/>
      <c r="E4" s="106"/>
      <c r="F4" s="106"/>
    </row>
    <row r="5" spans="1:6" ht="15.75" customHeight="1">
      <c r="A5" s="784" t="s">
        <v>607</v>
      </c>
      <c r="B5" s="784"/>
      <c r="C5" s="784"/>
      <c r="D5" s="784"/>
      <c r="E5" s="784"/>
      <c r="F5" s="784"/>
    </row>
    <row r="6" spans="1:6" ht="15.75" customHeight="1">
      <c r="A6" s="784" t="s">
        <v>847</v>
      </c>
      <c r="B6" s="784"/>
      <c r="C6" s="784"/>
      <c r="D6" s="784"/>
      <c r="E6" s="784"/>
      <c r="F6" s="784"/>
    </row>
    <row r="7" spans="1:6" ht="15.75" customHeight="1">
      <c r="A7" s="799" t="s">
        <v>197</v>
      </c>
      <c r="B7" s="799"/>
      <c r="C7" s="799"/>
      <c r="D7" s="799"/>
      <c r="E7" s="799"/>
      <c r="F7" s="799"/>
    </row>
    <row r="8" spans="1:6" ht="15.75" customHeight="1">
      <c r="A8" s="174"/>
      <c r="B8" s="174"/>
      <c r="C8" s="174"/>
      <c r="D8" s="174"/>
      <c r="E8" s="174"/>
      <c r="F8" s="174"/>
    </row>
    <row r="9" spans="1:6" ht="54" customHeight="1">
      <c r="A9" s="624" t="s">
        <v>203</v>
      </c>
      <c r="B9" s="814" t="s">
        <v>1289</v>
      </c>
      <c r="C9" s="814"/>
      <c r="D9" s="814"/>
      <c r="E9" s="814"/>
      <c r="F9" s="814"/>
    </row>
    <row r="10" spans="1:6" ht="15.6" customHeight="1">
      <c r="A10" s="198"/>
      <c r="B10" s="199"/>
      <c r="C10" s="199"/>
    </row>
    <row r="11" spans="1:6" ht="15.6" customHeight="1">
      <c r="A11" s="198"/>
      <c r="B11" s="613" t="s">
        <v>588</v>
      </c>
      <c r="C11" s="199"/>
      <c r="D11" s="412" t="s">
        <v>3</v>
      </c>
      <c r="E11" s="636" t="s">
        <v>1083</v>
      </c>
      <c r="F11" s="412" t="s">
        <v>1199</v>
      </c>
    </row>
    <row r="12" spans="1:6" ht="15.6" customHeight="1">
      <c r="A12" s="198"/>
      <c r="B12" s="98" t="s">
        <v>499</v>
      </c>
      <c r="C12" s="199"/>
      <c r="D12" s="614">
        <f>+'WP-3, pg 2 - Labor Increase'!T77</f>
        <v>8795.4092307692335</v>
      </c>
      <c r="E12" s="637">
        <f>+'WP-11 - Non-Regulated'!$N$57</f>
        <v>0.87226151155039422</v>
      </c>
      <c r="F12" s="615">
        <f>+D12*E12</f>
        <v>7671.8969503350618</v>
      </c>
    </row>
    <row r="13" spans="1:6" ht="15.6" customHeight="1">
      <c r="A13" s="198"/>
      <c r="B13" s="98" t="s">
        <v>500</v>
      </c>
      <c r="C13" s="199"/>
      <c r="D13" s="614">
        <f>+'WP-3, pg 2 - Labor Increase'!T78</f>
        <v>92591.136624999999</v>
      </c>
      <c r="E13" s="637">
        <f>+'WP-11 - Non-Regulated'!$N$57</f>
        <v>0.87226151155039422</v>
      </c>
      <c r="F13" s="615">
        <f t="shared" ref="F13:F16" si="0">+D13*E13</f>
        <v>80763.684788691564</v>
      </c>
    </row>
    <row r="14" spans="1:6" ht="15.6" customHeight="1">
      <c r="A14" s="198"/>
      <c r="B14" s="98" t="s">
        <v>9</v>
      </c>
      <c r="C14" s="199"/>
      <c r="D14" s="614">
        <f>+'WP-3, pg 2 - Labor Increase'!T79</f>
        <v>-72536.612307692281</v>
      </c>
      <c r="E14" s="637">
        <f>+'WP-11 - Non-Regulated'!$N$57</f>
        <v>0.87226151155039422</v>
      </c>
      <c r="F14" s="615">
        <f t="shared" si="0"/>
        <v>-63270.895094252599</v>
      </c>
    </row>
    <row r="15" spans="1:6" ht="15.6" customHeight="1">
      <c r="A15" s="198"/>
      <c r="B15" s="98" t="s">
        <v>990</v>
      </c>
      <c r="C15" s="199"/>
      <c r="D15" s="614">
        <f>+'WP-3, pg 2 - Labor Increase'!T80</f>
        <v>-114391.51899038465</v>
      </c>
      <c r="E15" s="637">
        <f>+'WP-11 - Non-Regulated'!$N$57</f>
        <v>0.87226151155039422</v>
      </c>
      <c r="F15" s="615">
        <f t="shared" si="0"/>
        <v>-99779.319263098543</v>
      </c>
    </row>
    <row r="16" spans="1:6" ht="15.6" customHeight="1">
      <c r="A16" s="198"/>
      <c r="B16" s="98" t="s">
        <v>1089</v>
      </c>
      <c r="C16" s="199"/>
      <c r="D16" s="614">
        <f>+'WP-3, pg 2 - Labor Increase'!T81</f>
        <v>40331.874615384608</v>
      </c>
      <c r="E16" s="637">
        <f>+'WP-11 - Non-Regulated'!$N$57</f>
        <v>0.87226151155039422</v>
      </c>
      <c r="F16" s="615">
        <f t="shared" si="0"/>
        <v>35179.941915676354</v>
      </c>
    </row>
    <row r="17" spans="1:12" ht="15.6" customHeight="1">
      <c r="A17" s="198"/>
      <c r="B17" s="24" t="s">
        <v>992</v>
      </c>
      <c r="C17" s="199"/>
      <c r="D17" s="614">
        <f>+'WP-3, pg 2 - Labor Increase'!T82</f>
        <v>30.483653846153175</v>
      </c>
      <c r="E17" s="637">
        <f>+'WP-11 - Non-Regulated'!$N$57</f>
        <v>0.87226151155039422</v>
      </c>
      <c r="F17" s="615">
        <f>+D17*E17</f>
        <v>26.589717981424556</v>
      </c>
    </row>
    <row r="18" spans="1:12" ht="15.6" customHeight="1">
      <c r="A18" s="198"/>
      <c r="B18" s="199"/>
      <c r="C18" s="199"/>
      <c r="D18" s="614"/>
      <c r="E18" s="614"/>
      <c r="F18" s="614"/>
    </row>
    <row r="19" spans="1:12" ht="15.6" customHeight="1">
      <c r="A19" s="198"/>
      <c r="B19" s="613"/>
      <c r="C19" s="199"/>
      <c r="D19" s="199"/>
      <c r="E19" s="199"/>
      <c r="F19" s="199"/>
    </row>
    <row r="20" spans="1:12" ht="15.6" customHeight="1">
      <c r="A20" s="198"/>
      <c r="B20" s="613" t="s">
        <v>1200</v>
      </c>
      <c r="C20" s="605"/>
      <c r="D20" s="639" t="s">
        <v>3</v>
      </c>
      <c r="E20" s="639" t="s">
        <v>1083</v>
      </c>
      <c r="F20" s="412" t="s">
        <v>1199</v>
      </c>
    </row>
    <row r="21" spans="1:12" ht="15.6" customHeight="1">
      <c r="A21" s="198"/>
      <c r="B21" s="24" t="s">
        <v>1003</v>
      </c>
      <c r="C21" s="199"/>
      <c r="D21" s="614">
        <f>+'WP-3, pg 2 - Labor Increase'!T69</f>
        <v>-2948.0132187403797</v>
      </c>
      <c r="E21" s="638">
        <f>+'WP-11 - Non-Regulated'!$N$57</f>
        <v>0.87226151155039422</v>
      </c>
      <c r="F21" s="616">
        <f>+D21*E21</f>
        <v>-2571.4384662490265</v>
      </c>
      <c r="I21" s="614"/>
      <c r="J21" s="614"/>
      <c r="K21" s="614"/>
      <c r="L21" s="614"/>
    </row>
    <row r="22" spans="1:12" ht="15.6" customHeight="1">
      <c r="A22" s="198"/>
      <c r="B22" s="24" t="s">
        <v>1002</v>
      </c>
      <c r="C22" s="199"/>
      <c r="D22" s="614">
        <f>+'WP-3, pg 2 - Labor Increase'!U69</f>
        <v>-194.71338153846182</v>
      </c>
      <c r="E22" s="638">
        <f>+'WP-11 - Non-Regulated'!$N$57</f>
        <v>0.87226151155039422</v>
      </c>
      <c r="F22" s="616">
        <f t="shared" ref="F22:F25" si="1">+D22*E22</f>
        <v>-169.84098849982732</v>
      </c>
    </row>
    <row r="23" spans="1:12" ht="15.6" customHeight="1">
      <c r="A23" s="198"/>
      <c r="B23" s="24" t="s">
        <v>1001</v>
      </c>
      <c r="C23" s="199"/>
      <c r="D23" s="614">
        <f>+'WP-3, pg 2 - Labor Increase'!V69</f>
        <v>115.55442765384487</v>
      </c>
      <c r="E23" s="638">
        <f>+'WP-11 - Non-Regulated'!$N$57</f>
        <v>0.87226151155039422</v>
      </c>
      <c r="F23" s="616">
        <f t="shared" si="1"/>
        <v>100.7936797316834</v>
      </c>
    </row>
    <row r="24" spans="1:12" ht="15.6" customHeight="1">
      <c r="A24" s="198"/>
      <c r="B24" s="24" t="s">
        <v>231</v>
      </c>
      <c r="C24" s="199"/>
      <c r="D24" s="614">
        <f>+'WP-3, pg 2 - Labor Increase'!W69</f>
        <v>-13204.62758700001</v>
      </c>
      <c r="E24" s="638">
        <f>+'WP-11 - Non-Regulated'!$N$57</f>
        <v>0.87226151155039422</v>
      </c>
      <c r="F24" s="616">
        <f t="shared" si="1"/>
        <v>-11517.888418496663</v>
      </c>
    </row>
    <row r="25" spans="1:12" ht="15.6" customHeight="1">
      <c r="A25" s="198"/>
      <c r="B25" s="24" t="s">
        <v>233</v>
      </c>
      <c r="C25" s="199"/>
      <c r="D25" s="614">
        <f>+'WP-3, pg 2 - Labor Increase'!X69</f>
        <v>-2009.6280302884697</v>
      </c>
      <c r="E25" s="638">
        <f>+'WP-11 - Non-Regulated'!$N$57</f>
        <v>0.87226151155039422</v>
      </c>
      <c r="F25" s="616">
        <f t="shared" si="1"/>
        <v>-1752.9211833534621</v>
      </c>
    </row>
    <row r="26" spans="1:12" ht="15.6" customHeight="1">
      <c r="A26" s="198"/>
      <c r="B26" s="87" t="s">
        <v>1264</v>
      </c>
      <c r="C26" s="199"/>
      <c r="D26" s="614"/>
      <c r="E26" s="614"/>
      <c r="F26" s="615">
        <f>+'WP-3, pg 3 - Benefits Analysis'!P55</f>
        <v>-12953.153227444229</v>
      </c>
    </row>
    <row r="27" spans="1:12" ht="15.6" customHeight="1">
      <c r="A27" s="198"/>
      <c r="B27" s="98"/>
      <c r="C27" s="199"/>
      <c r="D27" s="615"/>
      <c r="E27" s="615"/>
      <c r="F27" s="618">
        <f>SUM(F21:F26)+F12+F13+F14+F15+F16+F17</f>
        <v>-68272.549588978276</v>
      </c>
    </row>
    <row r="28" spans="1:12" ht="15.6" customHeight="1">
      <c r="A28" s="198"/>
      <c r="B28" s="613"/>
      <c r="C28" s="199"/>
      <c r="D28" s="615"/>
      <c r="E28" s="615"/>
      <c r="F28" s="617"/>
    </row>
    <row r="29" spans="1:12" ht="15.6" customHeight="1">
      <c r="A29" s="198"/>
      <c r="B29" s="199"/>
      <c r="C29" s="199"/>
      <c r="D29" s="199"/>
      <c r="E29" s="199"/>
      <c r="F29" s="199"/>
    </row>
    <row r="30" spans="1:12" ht="15.6" customHeight="1">
      <c r="A30" s="229" t="s">
        <v>49</v>
      </c>
      <c r="B30" s="815" t="s">
        <v>1249</v>
      </c>
      <c r="C30" s="815"/>
      <c r="D30" s="815"/>
      <c r="E30" s="815"/>
      <c r="F30" s="815"/>
    </row>
    <row r="31" spans="1:12" ht="15.6" customHeight="1">
      <c r="A31" s="190"/>
      <c r="B31" s="818" t="s">
        <v>559</v>
      </c>
      <c r="C31" s="818"/>
      <c r="D31" s="200">
        <f>+'WP-1 Rate Case Cost'!E22</f>
        <v>18805</v>
      </c>
      <c r="E31" s="200"/>
      <c r="F31" s="246"/>
    </row>
    <row r="32" spans="1:12" ht="15.6" customHeight="1">
      <c r="A32" s="190"/>
      <c r="B32" s="818" t="s">
        <v>984</v>
      </c>
      <c r="C32" s="818"/>
      <c r="D32" s="317">
        <v>3</v>
      </c>
      <c r="E32" s="200"/>
      <c r="F32" s="246"/>
    </row>
    <row r="33" spans="1:6" ht="15.6" customHeight="1" thickBot="1">
      <c r="A33" s="190"/>
      <c r="B33" s="318"/>
      <c r="C33" s="246"/>
      <c r="D33" s="319">
        <f>D31/D32</f>
        <v>6268.333333333333</v>
      </c>
      <c r="E33" s="821" t="s">
        <v>89</v>
      </c>
      <c r="F33" s="821"/>
    </row>
    <row r="34" spans="1:6" ht="15.6" customHeight="1" thickTop="1">
      <c r="A34" s="190"/>
      <c r="B34" s="199"/>
      <c r="C34" s="246"/>
      <c r="D34" s="246"/>
      <c r="E34" s="246"/>
      <c r="F34" s="246"/>
    </row>
    <row r="35" spans="1:6" ht="15.6" customHeight="1">
      <c r="A35" s="229" t="s">
        <v>1254</v>
      </c>
      <c r="B35" s="631" t="s">
        <v>1250</v>
      </c>
      <c r="C35" s="198"/>
      <c r="D35" s="198"/>
      <c r="E35" s="198"/>
      <c r="F35" s="198"/>
    </row>
    <row r="36" spans="1:6" ht="15.6" customHeight="1">
      <c r="A36" s="190"/>
      <c r="B36" s="819" t="s">
        <v>591</v>
      </c>
      <c r="C36" s="819"/>
      <c r="D36" s="635">
        <f>+'WP-8 - Fuel'!E41</f>
        <v>-15307.384183439426</v>
      </c>
      <c r="E36" s="199"/>
      <c r="F36" s="199"/>
    </row>
    <row r="37" spans="1:6" ht="15.6" customHeight="1">
      <c r="A37" s="190"/>
      <c r="B37" s="818" t="s">
        <v>547</v>
      </c>
      <c r="C37" s="818"/>
      <c r="D37" s="633">
        <f>'WP-11 - Non-Regulated'!N57</f>
        <v>0.87226151155039422</v>
      </c>
      <c r="E37" s="624"/>
      <c r="F37" s="624"/>
    </row>
    <row r="38" spans="1:6" ht="15.6" customHeight="1" thickBot="1">
      <c r="A38" s="190"/>
      <c r="B38" s="190"/>
      <c r="C38" s="315"/>
      <c r="D38" s="634">
        <f>D36*D37</f>
        <v>-13352.042065729471</v>
      </c>
      <c r="E38" s="821" t="s">
        <v>89</v>
      </c>
      <c r="F38" s="821"/>
    </row>
    <row r="39" spans="1:6" ht="15.6" customHeight="1" thickTop="1">
      <c r="A39" s="190"/>
      <c r="B39" s="190"/>
      <c r="C39" s="315"/>
      <c r="D39" s="632"/>
      <c r="E39" s="627"/>
      <c r="F39" s="627"/>
    </row>
    <row r="40" spans="1:6" ht="15.6" customHeight="1">
      <c r="A40" s="190"/>
      <c r="B40" s="190"/>
      <c r="C40" s="315"/>
      <c r="D40" s="316"/>
      <c r="E40" s="316"/>
      <c r="F40" s="190"/>
    </row>
    <row r="41" spans="1:6" ht="15.6" customHeight="1">
      <c r="A41" s="229" t="s">
        <v>50</v>
      </c>
      <c r="B41" s="640" t="s">
        <v>1251</v>
      </c>
      <c r="C41" s="201"/>
      <c r="D41" s="201"/>
      <c r="E41" s="201"/>
      <c r="F41" s="201"/>
    </row>
    <row r="42" spans="1:6" ht="15.6" customHeight="1">
      <c r="A42" s="229"/>
      <c r="B42" s="640" t="s">
        <v>8</v>
      </c>
      <c r="C42" s="201"/>
      <c r="D42" s="201"/>
      <c r="E42" s="201"/>
      <c r="F42" s="201"/>
    </row>
    <row r="43" spans="1:6">
      <c r="A43" s="229"/>
      <c r="B43" s="201" t="s">
        <v>195</v>
      </c>
      <c r="C43" s="646" t="s">
        <v>0</v>
      </c>
      <c r="D43" s="646" t="s">
        <v>190</v>
      </c>
      <c r="E43" s="646"/>
      <c r="F43" s="646"/>
    </row>
    <row r="44" spans="1:6">
      <c r="A44" s="229"/>
      <c r="B44" s="201" t="s">
        <v>194</v>
      </c>
      <c r="C44" s="647">
        <f>+'WP-10 - Disposal'!N58</f>
        <v>10698</v>
      </c>
      <c r="D44" s="647">
        <f>C44-F44</f>
        <v>10698</v>
      </c>
      <c r="E44" s="647"/>
      <c r="F44" s="647"/>
    </row>
    <row r="45" spans="1:6">
      <c r="A45" s="229"/>
      <c r="B45" s="201" t="s">
        <v>3</v>
      </c>
      <c r="C45" s="200">
        <f>+'WP-10 - Disposal'!N54</f>
        <v>23.373333333333349</v>
      </c>
      <c r="D45" s="200">
        <f>C45</f>
        <v>23.373333333333349</v>
      </c>
      <c r="E45" s="200"/>
      <c r="F45" s="200"/>
    </row>
    <row r="46" spans="1:6">
      <c r="A46" s="229"/>
      <c r="B46" s="607"/>
      <c r="C46" s="607"/>
      <c r="D46" s="648">
        <f>D44*D45</f>
        <v>250047.92000000016</v>
      </c>
      <c r="E46" s="821" t="s">
        <v>89</v>
      </c>
      <c r="F46" s="821"/>
    </row>
    <row r="47" spans="1:6" ht="16.5" thickTop="1">
      <c r="A47" s="229"/>
      <c r="B47" s="201"/>
      <c r="C47" s="201"/>
      <c r="D47" s="201"/>
      <c r="E47" s="201"/>
      <c r="F47" s="201"/>
    </row>
    <row r="48" spans="1:6" ht="15.6" customHeight="1">
      <c r="A48" s="229"/>
      <c r="B48" s="640" t="s">
        <v>1260</v>
      </c>
      <c r="C48" s="201"/>
      <c r="D48" s="646" t="s">
        <v>190</v>
      </c>
      <c r="E48" s="201"/>
      <c r="F48" s="201"/>
    </row>
    <row r="49" spans="1:6">
      <c r="A49" s="229"/>
      <c r="B49" s="201" t="s">
        <v>555</v>
      </c>
      <c r="C49" s="649">
        <f>+Operations!F23/'WP-10 - Disposal'!N52</f>
        <v>1626.9371816638372</v>
      </c>
      <c r="D49" s="650">
        <f>+C49*C51</f>
        <v>38026.945059422782</v>
      </c>
      <c r="E49" s="651"/>
      <c r="F49" s="649"/>
    </row>
    <row r="50" spans="1:6">
      <c r="A50" s="229"/>
      <c r="B50" s="201" t="s">
        <v>556</v>
      </c>
      <c r="C50" s="649">
        <f>+Operations!F18/'WP-10 - Disposal'!N52</f>
        <v>2106.4584040747031</v>
      </c>
      <c r="D50" s="650">
        <f>+C50*C51</f>
        <v>49234.954431239428</v>
      </c>
      <c r="E50" s="201"/>
      <c r="F50" s="201"/>
    </row>
    <row r="51" spans="1:6">
      <c r="A51" s="229"/>
      <c r="B51" s="201" t="s">
        <v>557</v>
      </c>
      <c r="C51" s="649">
        <f>+'WP-10 - Disposal'!N54</f>
        <v>23.373333333333349</v>
      </c>
      <c r="D51" s="201"/>
      <c r="E51" s="201"/>
      <c r="F51" s="201"/>
    </row>
    <row r="52" spans="1:6" ht="16.5" thickBot="1">
      <c r="A52" s="229"/>
      <c r="B52" s="201"/>
      <c r="C52" s="649"/>
      <c r="D52" s="201"/>
      <c r="E52" s="201"/>
      <c r="F52" s="201"/>
    </row>
    <row r="53" spans="1:6" ht="17.25" thickTop="1" thickBot="1">
      <c r="A53" s="229"/>
      <c r="B53" s="607" t="s">
        <v>558</v>
      </c>
      <c r="C53" s="201"/>
      <c r="D53" s="652">
        <f>-SUM(D49:D52)</f>
        <v>-87261.89949066221</v>
      </c>
      <c r="E53" s="821"/>
      <c r="F53" s="821"/>
    </row>
    <row r="54" spans="1:6" ht="16.5" thickTop="1">
      <c r="A54" s="201"/>
      <c r="B54" s="201"/>
      <c r="C54" s="201"/>
      <c r="D54" s="201"/>
      <c r="E54" s="201"/>
      <c r="F54" s="201"/>
    </row>
    <row r="55" spans="1:6" ht="16.5" thickBot="1">
      <c r="A55" s="607" t="s">
        <v>51</v>
      </c>
      <c r="B55" s="640" t="s">
        <v>1252</v>
      </c>
      <c r="C55" s="201"/>
      <c r="D55" s="625">
        <f>'WP-2, pg 2 -  Depr'!C322</f>
        <v>148450.03825447749</v>
      </c>
      <c r="E55" s="820" t="s">
        <v>1253</v>
      </c>
      <c r="F55" s="820"/>
    </row>
    <row r="56" spans="1:6" ht="16.5" thickTop="1">
      <c r="A56" s="201"/>
      <c r="B56" s="201"/>
      <c r="C56" s="200"/>
      <c r="D56" s="201"/>
      <c r="E56" s="201"/>
      <c r="F56" s="201"/>
    </row>
    <row r="57" spans="1:6">
      <c r="A57" s="607" t="s">
        <v>574</v>
      </c>
      <c r="B57" s="640" t="s">
        <v>1280</v>
      </c>
      <c r="C57" s="200"/>
      <c r="D57" s="201"/>
      <c r="E57" s="201"/>
      <c r="F57" s="201"/>
    </row>
    <row r="58" spans="1:6" ht="15" customHeight="1">
      <c r="A58" s="607"/>
      <c r="B58" s="201" t="s">
        <v>1025</v>
      </c>
      <c r="C58" s="651"/>
      <c r="D58" s="656">
        <f>-53294.47-2046.59</f>
        <v>-55341.06</v>
      </c>
      <c r="E58" s="817"/>
      <c r="F58" s="817"/>
    </row>
    <row r="59" spans="1:6" ht="15" customHeight="1">
      <c r="A59" s="201"/>
      <c r="B59" s="201" t="s">
        <v>1267</v>
      </c>
      <c r="C59" s="651"/>
      <c r="D59" s="656">
        <v>-47372.08</v>
      </c>
      <c r="E59" s="817"/>
      <c r="F59" s="817"/>
    </row>
    <row r="60" spans="1:6">
      <c r="A60" s="201"/>
      <c r="C60" s="201"/>
      <c r="D60" s="201"/>
      <c r="E60" s="201"/>
      <c r="F60" s="201"/>
    </row>
    <row r="61" spans="1:6">
      <c r="A61" s="201"/>
      <c r="B61" s="201" t="s">
        <v>1268</v>
      </c>
      <c r="C61" s="201"/>
      <c r="D61" s="201"/>
      <c r="E61" s="201"/>
      <c r="F61" s="201"/>
    </row>
    <row r="62" spans="1:6">
      <c r="A62" s="201"/>
      <c r="B62" s="201"/>
      <c r="C62" s="201"/>
      <c r="D62" s="201"/>
      <c r="E62" s="201"/>
      <c r="F62" s="201"/>
    </row>
    <row r="63" spans="1:6">
      <c r="A63" s="607"/>
      <c r="B63" s="640" t="s">
        <v>1281</v>
      </c>
      <c r="C63" s="200"/>
      <c r="D63" s="201"/>
      <c r="E63" s="201"/>
      <c r="F63" s="201"/>
    </row>
    <row r="64" spans="1:6">
      <c r="A64" s="607"/>
      <c r="B64" s="201" t="s">
        <v>1025</v>
      </c>
      <c r="C64" s="651"/>
      <c r="D64" s="656">
        <f>-13495.76-518.26</f>
        <v>-14014.02</v>
      </c>
      <c r="E64" s="817"/>
      <c r="F64" s="817"/>
    </row>
    <row r="65" spans="1:6">
      <c r="A65" s="201"/>
      <c r="B65" s="201" t="s">
        <v>1267</v>
      </c>
      <c r="C65" s="651"/>
      <c r="D65" s="656">
        <v>-11933.78</v>
      </c>
      <c r="E65" s="817"/>
      <c r="F65" s="817"/>
    </row>
    <row r="66" spans="1:6">
      <c r="A66" s="201"/>
      <c r="C66" s="201"/>
      <c r="D66" s="201"/>
      <c r="E66" s="201"/>
      <c r="F66" s="201"/>
    </row>
    <row r="67" spans="1:6">
      <c r="A67" s="201"/>
      <c r="B67" s="201" t="s">
        <v>1269</v>
      </c>
      <c r="C67" s="201"/>
      <c r="D67" s="201"/>
      <c r="E67" s="201"/>
      <c r="F67" s="201"/>
    </row>
    <row r="68" spans="1:6">
      <c r="A68" s="201"/>
      <c r="B68" s="201"/>
      <c r="C68" s="201"/>
      <c r="D68" s="201"/>
      <c r="E68" s="201"/>
      <c r="F68" s="201"/>
    </row>
    <row r="69" spans="1:6">
      <c r="A69" s="201"/>
      <c r="B69" s="201"/>
      <c r="C69" s="201" t="s">
        <v>31</v>
      </c>
      <c r="D69" s="656">
        <f>+D58+D64</f>
        <v>-69355.08</v>
      </c>
      <c r="E69" s="816" t="s">
        <v>89</v>
      </c>
      <c r="F69" s="816"/>
    </row>
    <row r="70" spans="1:6">
      <c r="A70" s="201"/>
      <c r="B70" s="201"/>
      <c r="C70" s="658" t="s">
        <v>1267</v>
      </c>
      <c r="D70" s="656">
        <f>+D59+D65</f>
        <v>-59305.86</v>
      </c>
      <c r="E70" s="816" t="s">
        <v>89</v>
      </c>
      <c r="F70" s="816"/>
    </row>
    <row r="71" spans="1:6">
      <c r="A71" s="201"/>
      <c r="B71" s="201"/>
      <c r="C71" s="658"/>
      <c r="D71" s="656"/>
      <c r="E71" s="201"/>
      <c r="F71" s="201"/>
    </row>
    <row r="72" spans="1:6">
      <c r="A72" s="201" t="s">
        <v>592</v>
      </c>
      <c r="B72" s="201"/>
      <c r="C72" s="201" t="s">
        <v>850</v>
      </c>
      <c r="D72" s="200">
        <f>+D33+D3+D69+D708+D46+D53+D55++F27+D70+D38</f>
        <v>107218.86044244103</v>
      </c>
      <c r="E72" s="200"/>
      <c r="F72" s="201"/>
    </row>
    <row r="73" spans="1:6">
      <c r="A73" s="201"/>
      <c r="B73" s="201"/>
      <c r="C73" s="201" t="s">
        <v>849</v>
      </c>
      <c r="D73" s="200">
        <f>+'Sch 2, pg 2 - Forecast'!N109</f>
        <v>-107218.86044244104</v>
      </c>
      <c r="E73" s="200"/>
      <c r="F73" s="201"/>
    </row>
    <row r="74" spans="1:6">
      <c r="A74" s="201"/>
      <c r="B74" s="201"/>
      <c r="C74" s="201"/>
      <c r="D74" s="200">
        <f>+D72+D73</f>
        <v>0</v>
      </c>
      <c r="E74" s="200"/>
      <c r="F74" s="201"/>
    </row>
  </sheetData>
  <mergeCells count="22">
    <mergeCell ref="E69:F69"/>
    <mergeCell ref="E70:F70"/>
    <mergeCell ref="E64:F64"/>
    <mergeCell ref="E65:F65"/>
    <mergeCell ref="B31:C31"/>
    <mergeCell ref="B32:C32"/>
    <mergeCell ref="B36:C36"/>
    <mergeCell ref="B37:C37"/>
    <mergeCell ref="E55:F55"/>
    <mergeCell ref="E58:F58"/>
    <mergeCell ref="E59:F59"/>
    <mergeCell ref="E33:F33"/>
    <mergeCell ref="E46:F46"/>
    <mergeCell ref="E53:F53"/>
    <mergeCell ref="E38:F38"/>
    <mergeCell ref="A1:F1"/>
    <mergeCell ref="A3:F3"/>
    <mergeCell ref="B9:F9"/>
    <mergeCell ref="B30:F30"/>
    <mergeCell ref="A5:F5"/>
    <mergeCell ref="A6:F6"/>
    <mergeCell ref="A7:F7"/>
  </mergeCells>
  <phoneticPr fontId="8" type="noConversion"/>
  <pageMargins left="0.9" right="0.7" top="0.75" bottom="0.5" header="0" footer="0.25"/>
  <pageSetup scale="93" fitToHeight="0" orientation="portrait" r:id="rId1"/>
  <headerFooter scaleWithDoc="0" alignWithMargins="0">
    <oddFooter xml:space="preserve">&amp;C&amp;"Times New Roman,Regular"&amp;10See accompanying summary of significant forecast assumptions. </oddFooter>
  </headerFooter>
  <rowBreaks count="1" manualBreakCount="1">
    <brk id="40"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pageSetUpPr fitToPage="1"/>
  </sheetPr>
  <dimension ref="A1:N184"/>
  <sheetViews>
    <sheetView topLeftCell="A21" zoomScaleNormal="100" workbookViewId="0">
      <selection activeCell="A37" sqref="A37"/>
    </sheetView>
  </sheetViews>
  <sheetFormatPr defaultColWidth="8" defaultRowHeight="15.75"/>
  <cols>
    <col min="1" max="1" width="40.88671875" style="89" customWidth="1"/>
    <col min="2" max="2" width="10.88671875" style="89" customWidth="1"/>
    <col min="3" max="3" width="0.88671875" style="89" customWidth="1"/>
    <col min="4" max="4" width="10.88671875" style="89" customWidth="1"/>
    <col min="5" max="5" width="0.88671875" style="89" customWidth="1"/>
    <col min="6" max="6" width="10.88671875" style="89" customWidth="1"/>
    <col min="7" max="7" width="0.88671875" style="89" customWidth="1"/>
    <col min="8" max="8" width="10.88671875" style="89" customWidth="1"/>
    <col min="9" max="9" width="0.88671875" style="89" customWidth="1"/>
    <col min="10" max="10" width="10.88671875" style="89" customWidth="1"/>
    <col min="11" max="11" width="0.88671875" style="89" customWidth="1"/>
    <col min="12" max="12" width="10.88671875" style="89" customWidth="1"/>
    <col min="13" max="13" width="0.88671875" style="89" customWidth="1"/>
    <col min="14" max="14" width="10.88671875" style="89" customWidth="1"/>
    <col min="15" max="16384" width="8" style="87"/>
  </cols>
  <sheetData>
    <row r="1" spans="1:14" ht="16.5" customHeight="1">
      <c r="A1" s="811" t="s">
        <v>601</v>
      </c>
      <c r="B1" s="811"/>
      <c r="C1" s="811"/>
      <c r="D1" s="811"/>
      <c r="E1" s="811"/>
      <c r="F1" s="811"/>
      <c r="G1" s="811"/>
      <c r="H1" s="811"/>
      <c r="I1" s="811"/>
      <c r="J1" s="811"/>
      <c r="K1" s="811"/>
      <c r="L1" s="811"/>
      <c r="M1" s="811"/>
      <c r="N1" s="811"/>
    </row>
    <row r="2" spans="1:14" ht="13.5" customHeight="1">
      <c r="A2" s="88"/>
    </row>
    <row r="3" spans="1:14" ht="16.5" customHeight="1">
      <c r="A3" s="811" t="s">
        <v>96</v>
      </c>
      <c r="B3" s="811"/>
      <c r="C3" s="811"/>
      <c r="D3" s="811"/>
      <c r="E3" s="811"/>
      <c r="F3" s="811"/>
      <c r="G3" s="811"/>
      <c r="H3" s="811"/>
      <c r="I3" s="811"/>
      <c r="J3" s="811"/>
      <c r="K3" s="811"/>
      <c r="L3" s="811"/>
      <c r="M3" s="811"/>
      <c r="N3" s="811"/>
    </row>
    <row r="4" spans="1:14">
      <c r="A4" s="92"/>
      <c r="B4" s="92"/>
      <c r="C4" s="92"/>
      <c r="D4" s="92"/>
      <c r="E4" s="92"/>
      <c r="F4" s="92"/>
      <c r="G4" s="92"/>
      <c r="H4" s="92"/>
      <c r="I4" s="92"/>
      <c r="J4" s="92"/>
      <c r="K4" s="92"/>
      <c r="L4" s="92"/>
      <c r="M4" s="92"/>
      <c r="N4" s="92"/>
    </row>
    <row r="5" spans="1:14">
      <c r="A5" s="784" t="s">
        <v>848</v>
      </c>
      <c r="B5" s="784"/>
      <c r="C5" s="784"/>
      <c r="D5" s="784"/>
      <c r="E5" s="784"/>
      <c r="F5" s="784"/>
      <c r="G5" s="784"/>
      <c r="H5" s="784"/>
      <c r="I5" s="784"/>
      <c r="J5" s="784"/>
      <c r="K5" s="784"/>
      <c r="L5" s="784"/>
      <c r="M5" s="784"/>
      <c r="N5" s="784"/>
    </row>
    <row r="6" spans="1:14">
      <c r="A6" s="799" t="s">
        <v>197</v>
      </c>
      <c r="B6" s="799"/>
      <c r="C6" s="799"/>
      <c r="D6" s="799"/>
      <c r="E6" s="799"/>
      <c r="F6" s="799"/>
      <c r="G6" s="799"/>
      <c r="H6" s="799"/>
      <c r="I6" s="799"/>
      <c r="J6" s="799"/>
      <c r="K6" s="799"/>
      <c r="L6" s="799"/>
      <c r="M6" s="799"/>
      <c r="N6" s="799"/>
    </row>
    <row r="7" spans="1:14">
      <c r="A7" s="174"/>
      <c r="B7" s="174"/>
      <c r="C7" s="174"/>
      <c r="D7" s="174"/>
      <c r="E7" s="174"/>
      <c r="F7" s="174"/>
      <c r="G7" s="174"/>
      <c r="H7" s="174"/>
      <c r="I7" s="174"/>
      <c r="J7" s="174"/>
      <c r="K7" s="174"/>
      <c r="L7" s="174"/>
      <c r="M7" s="174"/>
      <c r="N7" s="174"/>
    </row>
    <row r="8" spans="1:14" ht="12.95" customHeight="1">
      <c r="A8" s="93"/>
      <c r="B8" s="94" t="s">
        <v>74</v>
      </c>
      <c r="C8" s="94"/>
      <c r="D8" s="94" t="s">
        <v>49</v>
      </c>
      <c r="E8" s="94"/>
      <c r="F8" s="94" t="s">
        <v>1254</v>
      </c>
      <c r="G8" s="94"/>
      <c r="H8" s="94" t="s">
        <v>50</v>
      </c>
      <c r="I8" s="94"/>
      <c r="J8" s="94" t="s">
        <v>51</v>
      </c>
      <c r="K8" s="94"/>
      <c r="L8" s="94" t="s">
        <v>574</v>
      </c>
      <c r="M8" s="94"/>
      <c r="N8" s="95" t="s">
        <v>4</v>
      </c>
    </row>
    <row r="9" spans="1:14" ht="12.95" customHeight="1">
      <c r="A9" s="93"/>
      <c r="B9" s="109"/>
      <c r="C9" s="109"/>
      <c r="D9" s="94"/>
      <c r="E9" s="94"/>
      <c r="F9" s="94"/>
      <c r="G9" s="109"/>
      <c r="H9" s="94" t="s">
        <v>3</v>
      </c>
      <c r="I9" s="94"/>
      <c r="J9" s="94" t="s">
        <v>575</v>
      </c>
      <c r="K9" s="94"/>
      <c r="L9" s="94" t="s">
        <v>1266</v>
      </c>
      <c r="M9" s="94"/>
      <c r="N9" s="94" t="s">
        <v>0</v>
      </c>
    </row>
    <row r="10" spans="1:14" ht="12.95" customHeight="1">
      <c r="A10" s="93"/>
      <c r="B10" s="95"/>
      <c r="C10" s="95"/>
      <c r="D10" s="94" t="s">
        <v>101</v>
      </c>
      <c r="E10" s="94"/>
      <c r="F10" s="94" t="s">
        <v>20</v>
      </c>
      <c r="G10" s="94"/>
      <c r="H10" s="314" t="s">
        <v>54</v>
      </c>
      <c r="I10" s="314"/>
      <c r="J10" s="314" t="s">
        <v>576</v>
      </c>
      <c r="K10" s="314"/>
      <c r="L10" s="657" t="s">
        <v>1270</v>
      </c>
      <c r="M10" s="314"/>
      <c r="N10" s="94" t="s">
        <v>25</v>
      </c>
    </row>
    <row r="11" spans="1:14" ht="12.95" customHeight="1">
      <c r="A11" s="93"/>
      <c r="B11" s="96" t="s">
        <v>7</v>
      </c>
      <c r="C11" s="94"/>
      <c r="D11" s="96" t="s">
        <v>29</v>
      </c>
      <c r="E11" s="94"/>
      <c r="F11" s="321" t="s">
        <v>11</v>
      </c>
      <c r="G11" s="94"/>
      <c r="H11" s="96" t="s">
        <v>55</v>
      </c>
      <c r="I11" s="94"/>
      <c r="J11" s="96" t="s">
        <v>42</v>
      </c>
      <c r="K11" s="94"/>
      <c r="L11" s="321" t="s">
        <v>3</v>
      </c>
      <c r="M11" s="94"/>
      <c r="N11" s="96" t="s">
        <v>28</v>
      </c>
    </row>
    <row r="12" spans="1:14" ht="14.1" customHeight="1">
      <c r="A12" s="97" t="str">
        <f>+'Sch 1, pg 2 - Restated'!A12</f>
        <v>REVENUES</v>
      </c>
      <c r="C12" s="99"/>
      <c r="D12" s="99"/>
      <c r="E12" s="99"/>
      <c r="F12" s="99"/>
      <c r="G12" s="99"/>
      <c r="H12" s="99"/>
      <c r="I12" s="99"/>
      <c r="J12" s="99"/>
      <c r="K12" s="99"/>
      <c r="L12" s="99"/>
      <c r="M12" s="99"/>
      <c r="N12" s="99"/>
    </row>
    <row r="13" spans="1:14" ht="14.1" customHeight="1">
      <c r="A13" s="24" t="s">
        <v>455</v>
      </c>
      <c r="B13" s="99">
        <v>0</v>
      </c>
      <c r="C13" s="93"/>
      <c r="D13" s="99">
        <v>0</v>
      </c>
      <c r="E13" s="99">
        <v>0</v>
      </c>
      <c r="F13" s="99">
        <v>0</v>
      </c>
      <c r="G13" s="99">
        <v>0</v>
      </c>
      <c r="H13" s="99">
        <v>0</v>
      </c>
      <c r="I13" s="99">
        <v>0</v>
      </c>
      <c r="J13" s="99">
        <v>0</v>
      </c>
      <c r="K13" s="99">
        <v>0</v>
      </c>
      <c r="L13" s="99">
        <f>-'Sch 2 - Forecast Exp'!D69</f>
        <v>69355.08</v>
      </c>
      <c r="M13" s="93"/>
      <c r="N13" s="99">
        <f>SUM(B13:L13)</f>
        <v>69355.08</v>
      </c>
    </row>
    <row r="14" spans="1:14" ht="14.1" customHeight="1">
      <c r="A14" s="24" t="s">
        <v>456</v>
      </c>
      <c r="B14" s="100">
        <v>0</v>
      </c>
      <c r="C14" s="93"/>
      <c r="D14" s="100">
        <v>0</v>
      </c>
      <c r="E14" s="93"/>
      <c r="F14" s="100">
        <v>0</v>
      </c>
      <c r="G14" s="93"/>
      <c r="H14" s="100">
        <v>0</v>
      </c>
      <c r="I14" s="100"/>
      <c r="J14" s="100">
        <v>0</v>
      </c>
      <c r="K14" s="93"/>
      <c r="L14" s="100">
        <v>0</v>
      </c>
      <c r="M14" s="93"/>
      <c r="N14" s="100">
        <f t="shared" ref="N14:N79" si="0">SUM(B14:L14)</f>
        <v>0</v>
      </c>
    </row>
    <row r="15" spans="1:14" ht="14.1" customHeight="1">
      <c r="A15" s="24" t="s">
        <v>457</v>
      </c>
      <c r="B15" s="100">
        <v>0</v>
      </c>
      <c r="C15" s="93"/>
      <c r="D15" s="100">
        <v>0</v>
      </c>
      <c r="E15" s="93"/>
      <c r="F15" s="100">
        <v>0</v>
      </c>
      <c r="G15" s="93"/>
      <c r="H15" s="100">
        <v>0</v>
      </c>
      <c r="I15" s="100"/>
      <c r="J15" s="100">
        <v>0</v>
      </c>
      <c r="K15" s="93"/>
      <c r="L15" s="100">
        <f>-'Sch 2 - Forecast Exp'!D70</f>
        <v>59305.86</v>
      </c>
      <c r="M15" s="93"/>
      <c r="N15" s="100">
        <f t="shared" si="0"/>
        <v>59305.86</v>
      </c>
    </row>
    <row r="16" spans="1:14" ht="14.1" customHeight="1">
      <c r="A16" s="24" t="s">
        <v>458</v>
      </c>
      <c r="B16" s="100">
        <v>0</v>
      </c>
      <c r="C16" s="93"/>
      <c r="D16" s="100">
        <v>0</v>
      </c>
      <c r="E16" s="93"/>
      <c r="F16" s="100">
        <v>0</v>
      </c>
      <c r="G16" s="93"/>
      <c r="H16" s="100">
        <v>0</v>
      </c>
      <c r="I16" s="100"/>
      <c r="J16" s="100">
        <v>0</v>
      </c>
      <c r="K16" s="93"/>
      <c r="L16" s="100">
        <v>0</v>
      </c>
      <c r="M16" s="93"/>
      <c r="N16" s="100">
        <f t="shared" si="0"/>
        <v>0</v>
      </c>
    </row>
    <row r="17" spans="1:14" ht="14.1" customHeight="1">
      <c r="A17" s="24" t="s">
        <v>459</v>
      </c>
      <c r="B17" s="100">
        <v>0</v>
      </c>
      <c r="C17" s="93"/>
      <c r="D17" s="100">
        <v>0</v>
      </c>
      <c r="E17" s="93"/>
      <c r="F17" s="100">
        <v>0</v>
      </c>
      <c r="G17" s="93"/>
      <c r="H17" s="100">
        <v>0</v>
      </c>
      <c r="I17" s="100"/>
      <c r="J17" s="100">
        <v>0</v>
      </c>
      <c r="K17" s="93"/>
      <c r="L17" s="100">
        <v>0</v>
      </c>
      <c r="M17" s="93"/>
      <c r="N17" s="100">
        <f t="shared" si="0"/>
        <v>0</v>
      </c>
    </row>
    <row r="18" spans="1:14" ht="14.1" customHeight="1">
      <c r="A18" s="24" t="s">
        <v>460</v>
      </c>
      <c r="B18" s="100">
        <v>0</v>
      </c>
      <c r="C18" s="93"/>
      <c r="D18" s="100">
        <v>0</v>
      </c>
      <c r="E18" s="93"/>
      <c r="F18" s="100">
        <v>0</v>
      </c>
      <c r="G18" s="93"/>
      <c r="H18" s="100">
        <v>0</v>
      </c>
      <c r="I18" s="100"/>
      <c r="J18" s="100">
        <v>0</v>
      </c>
      <c r="K18" s="93"/>
      <c r="L18" s="100">
        <v>0</v>
      </c>
      <c r="M18" s="93"/>
      <c r="N18" s="100">
        <f t="shared" si="0"/>
        <v>0</v>
      </c>
    </row>
    <row r="19" spans="1:14" ht="14.1" customHeight="1">
      <c r="A19" s="24" t="s">
        <v>461</v>
      </c>
      <c r="B19" s="100">
        <v>0</v>
      </c>
      <c r="C19" s="93"/>
      <c r="D19" s="100">
        <v>0</v>
      </c>
      <c r="E19" s="93"/>
      <c r="F19" s="100">
        <v>0</v>
      </c>
      <c r="G19" s="93"/>
      <c r="H19" s="100">
        <f>-'Sch 2 - Forecast Exp'!D53</f>
        <v>87261.89949066221</v>
      </c>
      <c r="I19" s="93"/>
      <c r="J19" s="100">
        <v>0</v>
      </c>
      <c r="K19" s="93"/>
      <c r="L19" s="100">
        <v>0</v>
      </c>
      <c r="M19" s="93"/>
      <c r="N19" s="100">
        <f t="shared" si="0"/>
        <v>87261.89949066221</v>
      </c>
    </row>
    <row r="20" spans="1:14" ht="14.1" customHeight="1">
      <c r="A20" s="24" t="s">
        <v>462</v>
      </c>
      <c r="B20" s="100">
        <v>0</v>
      </c>
      <c r="C20" s="100"/>
      <c r="D20" s="100">
        <v>0</v>
      </c>
      <c r="E20" s="100"/>
      <c r="F20" s="100">
        <v>0</v>
      </c>
      <c r="G20" s="100"/>
      <c r="H20" s="100">
        <v>0</v>
      </c>
      <c r="I20" s="100"/>
      <c r="J20" s="100">
        <v>0</v>
      </c>
      <c r="K20" s="100"/>
      <c r="L20" s="100">
        <v>0</v>
      </c>
      <c r="M20" s="100"/>
      <c r="N20" s="100">
        <f t="shared" si="0"/>
        <v>0</v>
      </c>
    </row>
    <row r="21" spans="1:14" ht="14.1" customHeight="1">
      <c r="A21" s="24" t="s">
        <v>463</v>
      </c>
      <c r="B21" s="100">
        <v>0</v>
      </c>
      <c r="C21" s="100"/>
      <c r="D21" s="100">
        <v>0</v>
      </c>
      <c r="E21" s="100"/>
      <c r="F21" s="100">
        <v>0</v>
      </c>
      <c r="G21" s="100"/>
      <c r="H21" s="100">
        <v>0</v>
      </c>
      <c r="I21" s="100"/>
      <c r="J21" s="100">
        <v>0</v>
      </c>
      <c r="K21" s="100"/>
      <c r="L21" s="100">
        <v>0</v>
      </c>
      <c r="M21" s="100"/>
      <c r="N21" s="100">
        <f t="shared" si="0"/>
        <v>0</v>
      </c>
    </row>
    <row r="22" spans="1:14" ht="14.1" customHeight="1">
      <c r="A22" s="24" t="s">
        <v>464</v>
      </c>
      <c r="B22" s="100">
        <v>0</v>
      </c>
      <c r="C22" s="100"/>
      <c r="D22" s="100">
        <v>0</v>
      </c>
      <c r="E22" s="100"/>
      <c r="F22" s="100">
        <v>0</v>
      </c>
      <c r="G22" s="100"/>
      <c r="H22" s="100">
        <v>0</v>
      </c>
      <c r="I22" s="100"/>
      <c r="J22" s="100">
        <v>0</v>
      </c>
      <c r="K22" s="100"/>
      <c r="L22" s="100">
        <v>0</v>
      </c>
      <c r="M22" s="100"/>
      <c r="N22" s="100">
        <f t="shared" si="0"/>
        <v>0</v>
      </c>
    </row>
    <row r="23" spans="1:14" ht="14.1" customHeight="1">
      <c r="A23" s="24" t="s">
        <v>465</v>
      </c>
      <c r="B23" s="100">
        <v>0</v>
      </c>
      <c r="C23" s="100"/>
      <c r="D23" s="100">
        <v>0</v>
      </c>
      <c r="E23" s="100"/>
      <c r="F23" s="100">
        <v>0</v>
      </c>
      <c r="G23" s="100"/>
      <c r="H23" s="100">
        <v>0</v>
      </c>
      <c r="I23" s="100"/>
      <c r="J23" s="100">
        <v>0</v>
      </c>
      <c r="K23" s="100"/>
      <c r="L23" s="100">
        <v>0</v>
      </c>
      <c r="M23" s="100"/>
      <c r="N23" s="100">
        <f t="shared" si="0"/>
        <v>0</v>
      </c>
    </row>
    <row r="24" spans="1:14" ht="14.1" customHeight="1">
      <c r="A24" s="24" t="s">
        <v>466</v>
      </c>
      <c r="B24" s="100">
        <v>0</v>
      </c>
      <c r="C24" s="100"/>
      <c r="D24" s="100">
        <v>0</v>
      </c>
      <c r="E24" s="100"/>
      <c r="F24" s="100">
        <v>0</v>
      </c>
      <c r="G24" s="100"/>
      <c r="H24" s="100">
        <v>0</v>
      </c>
      <c r="I24" s="100"/>
      <c r="J24" s="100">
        <v>0</v>
      </c>
      <c r="K24" s="100"/>
      <c r="L24" s="100">
        <v>0</v>
      </c>
      <c r="M24" s="100"/>
      <c r="N24" s="100">
        <f t="shared" si="0"/>
        <v>0</v>
      </c>
    </row>
    <row r="25" spans="1:14" ht="14.1" customHeight="1">
      <c r="A25" s="24" t="s">
        <v>467</v>
      </c>
      <c r="B25" s="100">
        <v>0</v>
      </c>
      <c r="C25" s="100"/>
      <c r="D25" s="100">
        <v>0</v>
      </c>
      <c r="E25" s="100"/>
      <c r="F25" s="100">
        <v>0</v>
      </c>
      <c r="G25" s="100"/>
      <c r="H25" s="100">
        <v>0</v>
      </c>
      <c r="I25" s="100"/>
      <c r="J25" s="100">
        <v>0</v>
      </c>
      <c r="K25" s="100"/>
      <c r="L25" s="100">
        <v>0</v>
      </c>
      <c r="M25" s="100"/>
      <c r="N25" s="100">
        <f t="shared" si="0"/>
        <v>0</v>
      </c>
    </row>
    <row r="26" spans="1:14" ht="14.1" customHeight="1">
      <c r="A26" s="24" t="s">
        <v>468</v>
      </c>
      <c r="B26" s="100">
        <v>0</v>
      </c>
      <c r="C26" s="100"/>
      <c r="D26" s="100">
        <v>0</v>
      </c>
      <c r="E26" s="100"/>
      <c r="F26" s="100">
        <v>0</v>
      </c>
      <c r="G26" s="100"/>
      <c r="H26" s="100">
        <v>0</v>
      </c>
      <c r="I26" s="100"/>
      <c r="J26" s="100">
        <v>0</v>
      </c>
      <c r="K26" s="100"/>
      <c r="L26" s="100">
        <v>0</v>
      </c>
      <c r="M26" s="100"/>
      <c r="N26" s="100">
        <f t="shared" si="0"/>
        <v>0</v>
      </c>
    </row>
    <row r="27" spans="1:14" ht="14.1" customHeight="1">
      <c r="A27" s="24" t="s">
        <v>469</v>
      </c>
      <c r="B27" s="100">
        <v>0</v>
      </c>
      <c r="C27" s="100"/>
      <c r="D27" s="100">
        <v>0</v>
      </c>
      <c r="E27" s="100"/>
      <c r="F27" s="100">
        <v>0</v>
      </c>
      <c r="G27" s="100"/>
      <c r="H27" s="100">
        <v>0</v>
      </c>
      <c r="I27" s="100"/>
      <c r="J27" s="100">
        <v>0</v>
      </c>
      <c r="K27" s="100"/>
      <c r="L27" s="100">
        <v>0</v>
      </c>
      <c r="M27" s="100"/>
      <c r="N27" s="100">
        <f t="shared" si="0"/>
        <v>0</v>
      </c>
    </row>
    <row r="28" spans="1:14" ht="14.1" customHeight="1">
      <c r="A28" s="24" t="s">
        <v>470</v>
      </c>
      <c r="B28" s="100">
        <v>0</v>
      </c>
      <c r="C28" s="100"/>
      <c r="D28" s="100">
        <v>0</v>
      </c>
      <c r="E28" s="100"/>
      <c r="F28" s="100">
        <v>0</v>
      </c>
      <c r="G28" s="100"/>
      <c r="H28" s="100">
        <v>0</v>
      </c>
      <c r="I28" s="100"/>
      <c r="J28" s="100">
        <v>0</v>
      </c>
      <c r="K28" s="100"/>
      <c r="L28" s="100">
        <v>0</v>
      </c>
      <c r="M28" s="100"/>
      <c r="N28" s="100">
        <f t="shared" si="0"/>
        <v>0</v>
      </c>
    </row>
    <row r="29" spans="1:14" ht="14.1" customHeight="1">
      <c r="A29" s="24" t="s">
        <v>471</v>
      </c>
      <c r="B29" s="100">
        <v>0</v>
      </c>
      <c r="C29" s="100"/>
      <c r="D29" s="100">
        <v>0</v>
      </c>
      <c r="E29" s="100"/>
      <c r="F29" s="100">
        <v>0</v>
      </c>
      <c r="G29" s="100"/>
      <c r="H29" s="100">
        <v>0</v>
      </c>
      <c r="I29" s="100"/>
      <c r="J29" s="100">
        <v>0</v>
      </c>
      <c r="K29" s="100"/>
      <c r="L29" s="100">
        <v>0</v>
      </c>
      <c r="M29" s="100"/>
      <c r="N29" s="100">
        <f t="shared" si="0"/>
        <v>0</v>
      </c>
    </row>
    <row r="30" spans="1:14" ht="14.1" customHeight="1">
      <c r="A30" s="24" t="s">
        <v>472</v>
      </c>
      <c r="B30" s="100">
        <v>0</v>
      </c>
      <c r="C30" s="100"/>
      <c r="D30" s="100">
        <v>0</v>
      </c>
      <c r="E30" s="100"/>
      <c r="F30" s="100">
        <v>0</v>
      </c>
      <c r="G30" s="100"/>
      <c r="H30" s="100">
        <v>0</v>
      </c>
      <c r="I30" s="100"/>
      <c r="J30" s="100">
        <v>0</v>
      </c>
      <c r="K30" s="100"/>
      <c r="L30" s="100">
        <v>0</v>
      </c>
      <c r="M30" s="100"/>
      <c r="N30" s="100">
        <f t="shared" si="0"/>
        <v>0</v>
      </c>
    </row>
    <row r="31" spans="1:14" ht="14.1" customHeight="1">
      <c r="A31" s="24" t="s">
        <v>473</v>
      </c>
      <c r="B31" s="100">
        <v>0</v>
      </c>
      <c r="C31" s="100"/>
      <c r="D31" s="100">
        <v>0</v>
      </c>
      <c r="E31" s="100"/>
      <c r="F31" s="100">
        <v>0</v>
      </c>
      <c r="G31" s="100"/>
      <c r="H31" s="100">
        <v>0</v>
      </c>
      <c r="I31" s="100"/>
      <c r="J31" s="100">
        <v>0</v>
      </c>
      <c r="K31" s="100"/>
      <c r="L31" s="100">
        <v>0</v>
      </c>
      <c r="M31" s="100"/>
      <c r="N31" s="100">
        <f t="shared" si="0"/>
        <v>0</v>
      </c>
    </row>
    <row r="32" spans="1:14" ht="14.1" customHeight="1">
      <c r="A32" s="24" t="s">
        <v>474</v>
      </c>
      <c r="B32" s="100">
        <v>0</v>
      </c>
      <c r="C32" s="100"/>
      <c r="D32" s="100">
        <v>0</v>
      </c>
      <c r="E32" s="100"/>
      <c r="F32" s="100">
        <v>0</v>
      </c>
      <c r="G32" s="100"/>
      <c r="H32" s="100">
        <v>0</v>
      </c>
      <c r="I32" s="100"/>
      <c r="J32" s="100">
        <v>0</v>
      </c>
      <c r="K32" s="100"/>
      <c r="L32" s="100">
        <v>0</v>
      </c>
      <c r="M32" s="100"/>
      <c r="N32" s="100">
        <f t="shared" si="0"/>
        <v>0</v>
      </c>
    </row>
    <row r="33" spans="1:14" ht="14.1" customHeight="1">
      <c r="A33" s="24" t="s">
        <v>475</v>
      </c>
      <c r="B33" s="100">
        <v>0</v>
      </c>
      <c r="C33" s="100"/>
      <c r="D33" s="100">
        <v>0</v>
      </c>
      <c r="E33" s="100"/>
      <c r="F33" s="100">
        <v>0</v>
      </c>
      <c r="G33" s="100"/>
      <c r="H33" s="100">
        <v>0</v>
      </c>
      <c r="I33" s="100"/>
      <c r="J33" s="100">
        <v>0</v>
      </c>
      <c r="K33" s="100"/>
      <c r="L33" s="100">
        <v>0</v>
      </c>
      <c r="M33" s="100"/>
      <c r="N33" s="100">
        <f t="shared" si="0"/>
        <v>0</v>
      </c>
    </row>
    <row r="34" spans="1:14" ht="14.1" customHeight="1">
      <c r="A34" s="24" t="s">
        <v>476</v>
      </c>
      <c r="B34" s="100">
        <v>0</v>
      </c>
      <c r="C34" s="100"/>
      <c r="D34" s="100">
        <v>0</v>
      </c>
      <c r="E34" s="100"/>
      <c r="F34" s="100">
        <v>0</v>
      </c>
      <c r="G34" s="100"/>
      <c r="H34" s="100">
        <v>0</v>
      </c>
      <c r="I34" s="100"/>
      <c r="J34" s="100">
        <v>0</v>
      </c>
      <c r="K34" s="100"/>
      <c r="L34" s="100">
        <v>0</v>
      </c>
      <c r="M34" s="100"/>
      <c r="N34" s="100">
        <f t="shared" si="0"/>
        <v>0</v>
      </c>
    </row>
    <row r="35" spans="1:14" ht="14.1" customHeight="1">
      <c r="A35" s="24" t="s">
        <v>477</v>
      </c>
      <c r="B35" s="100">
        <v>0</v>
      </c>
      <c r="C35" s="100"/>
      <c r="D35" s="100">
        <v>0</v>
      </c>
      <c r="E35" s="100"/>
      <c r="F35" s="100">
        <v>0</v>
      </c>
      <c r="G35" s="100"/>
      <c r="H35" s="100">
        <v>0</v>
      </c>
      <c r="I35" s="100"/>
      <c r="J35" s="100">
        <v>0</v>
      </c>
      <c r="K35" s="103"/>
      <c r="L35" s="100">
        <v>0</v>
      </c>
      <c r="M35" s="103"/>
      <c r="N35" s="100">
        <f t="shared" si="0"/>
        <v>0</v>
      </c>
    </row>
    <row r="36" spans="1:14" ht="14.1" customHeight="1">
      <c r="A36" s="24" t="s">
        <v>478</v>
      </c>
      <c r="B36" s="100">
        <v>0</v>
      </c>
      <c r="C36" s="100"/>
      <c r="D36" s="100">
        <v>0</v>
      </c>
      <c r="E36" s="100"/>
      <c r="F36" s="100">
        <v>0</v>
      </c>
      <c r="G36" s="100"/>
      <c r="H36" s="100">
        <v>0</v>
      </c>
      <c r="I36" s="100"/>
      <c r="J36" s="100">
        <v>0</v>
      </c>
      <c r="K36" s="100"/>
      <c r="L36" s="100">
        <v>0</v>
      </c>
      <c r="M36" s="100"/>
      <c r="N36" s="100">
        <f t="shared" si="0"/>
        <v>0</v>
      </c>
    </row>
    <row r="37" spans="1:14" ht="14.1" customHeight="1">
      <c r="A37" s="98" t="s">
        <v>32</v>
      </c>
      <c r="B37" s="101">
        <v>0</v>
      </c>
      <c r="C37" s="100"/>
      <c r="D37" s="101">
        <v>0</v>
      </c>
      <c r="E37" s="100"/>
      <c r="F37" s="101">
        <v>0</v>
      </c>
      <c r="G37" s="100"/>
      <c r="H37" s="101">
        <v>0</v>
      </c>
      <c r="I37" s="100"/>
      <c r="J37" s="101">
        <v>0</v>
      </c>
      <c r="K37" s="100"/>
      <c r="L37" s="101">
        <v>0</v>
      </c>
      <c r="M37" s="100"/>
      <c r="N37" s="101">
        <f t="shared" si="0"/>
        <v>0</v>
      </c>
    </row>
    <row r="38" spans="1:14" ht="14.1" customHeight="1">
      <c r="A38" s="93"/>
      <c r="B38" s="101">
        <f>SUM(B13:B37)</f>
        <v>0</v>
      </c>
      <c r="C38" s="100"/>
      <c r="D38" s="101">
        <f>SUM(D12:D37)</f>
        <v>0</v>
      </c>
      <c r="E38" s="100"/>
      <c r="F38" s="101">
        <f>SUM(F12:F37)</f>
        <v>0</v>
      </c>
      <c r="G38" s="100"/>
      <c r="H38" s="320">
        <f>SUM(H13:H37)</f>
        <v>87261.89949066221</v>
      </c>
      <c r="I38" s="100"/>
      <c r="J38" s="320">
        <f>SUM(J13:J37)</f>
        <v>0</v>
      </c>
      <c r="K38" s="100"/>
      <c r="L38" s="320">
        <f>SUM(L13:L37)</f>
        <v>128660.94</v>
      </c>
      <c r="M38" s="100"/>
      <c r="N38" s="320">
        <f t="shared" si="0"/>
        <v>215922.83949066221</v>
      </c>
    </row>
    <row r="39" spans="1:14" ht="12" customHeight="1">
      <c r="A39" s="93"/>
      <c r="B39" s="100"/>
      <c r="C39" s="100"/>
      <c r="D39" s="100"/>
      <c r="E39" s="100"/>
      <c r="F39" s="100"/>
      <c r="G39" s="100"/>
      <c r="H39" s="100"/>
      <c r="I39" s="100"/>
      <c r="J39" s="100"/>
      <c r="K39" s="100"/>
      <c r="L39" s="100"/>
      <c r="M39" s="100"/>
      <c r="N39" s="100"/>
    </row>
    <row r="40" spans="1:14" ht="15" customHeight="1">
      <c r="A40" s="97" t="str">
        <f>+'Sch 1, pg 2 - Restated'!A39</f>
        <v>OPERATING EXPENSES</v>
      </c>
      <c r="B40" s="100"/>
      <c r="C40" s="100"/>
      <c r="D40" s="100"/>
      <c r="E40" s="100"/>
      <c r="F40" s="100"/>
      <c r="G40" s="100"/>
      <c r="H40" s="100"/>
      <c r="I40" s="100"/>
      <c r="J40" s="100"/>
      <c r="K40" s="100"/>
      <c r="L40" s="100"/>
      <c r="M40" s="100"/>
      <c r="N40" s="100"/>
    </row>
    <row r="41" spans="1:14" ht="14.1" customHeight="1">
      <c r="A41" s="24" t="s">
        <v>14</v>
      </c>
      <c r="B41" s="100">
        <v>0</v>
      </c>
      <c r="C41" s="100"/>
      <c r="D41" s="100">
        <v>0</v>
      </c>
      <c r="E41" s="100"/>
      <c r="F41" s="100">
        <v>0</v>
      </c>
      <c r="G41" s="100"/>
      <c r="H41" s="100">
        <v>0</v>
      </c>
      <c r="I41" s="100"/>
      <c r="J41" s="100">
        <v>0</v>
      </c>
      <c r="K41" s="100"/>
      <c r="L41" s="100">
        <v>0</v>
      </c>
      <c r="M41" s="100"/>
      <c r="N41" s="100">
        <f t="shared" si="0"/>
        <v>0</v>
      </c>
    </row>
    <row r="42" spans="1:14" ht="14.1" customHeight="1">
      <c r="A42" s="24" t="s">
        <v>222</v>
      </c>
      <c r="B42" s="100">
        <v>0</v>
      </c>
      <c r="C42" s="100"/>
      <c r="D42" s="100">
        <v>0</v>
      </c>
      <c r="E42" s="100"/>
      <c r="F42" s="100">
        <v>0</v>
      </c>
      <c r="G42" s="100"/>
      <c r="H42" s="100">
        <v>0</v>
      </c>
      <c r="I42" s="100"/>
      <c r="J42" s="100">
        <v>0</v>
      </c>
      <c r="K42" s="100"/>
      <c r="L42" s="100">
        <v>0</v>
      </c>
      <c r="M42" s="100"/>
      <c r="N42" s="100">
        <f t="shared" si="0"/>
        <v>0</v>
      </c>
    </row>
    <row r="43" spans="1:14" ht="14.1" customHeight="1">
      <c r="A43" s="24" t="s">
        <v>223</v>
      </c>
      <c r="B43" s="100">
        <v>0</v>
      </c>
      <c r="C43" s="100"/>
      <c r="D43" s="100">
        <v>0</v>
      </c>
      <c r="E43" s="100"/>
      <c r="F43" s="100">
        <v>0</v>
      </c>
      <c r="G43" s="100"/>
      <c r="H43" s="100">
        <v>0</v>
      </c>
      <c r="I43" s="100"/>
      <c r="J43" s="100">
        <v>0</v>
      </c>
      <c r="K43" s="100"/>
      <c r="L43" s="100">
        <v>0</v>
      </c>
      <c r="M43" s="100"/>
      <c r="N43" s="100">
        <f t="shared" si="0"/>
        <v>0</v>
      </c>
    </row>
    <row r="44" spans="1:14" ht="14.1" customHeight="1">
      <c r="A44" s="24" t="s">
        <v>224</v>
      </c>
      <c r="B44" s="100">
        <v>0</v>
      </c>
      <c r="C44" s="100"/>
      <c r="D44" s="100">
        <v>0</v>
      </c>
      <c r="E44" s="100"/>
      <c r="F44" s="100">
        <v>0</v>
      </c>
      <c r="G44" s="100"/>
      <c r="H44" s="100">
        <v>0</v>
      </c>
      <c r="I44" s="100"/>
      <c r="J44" s="100">
        <v>0</v>
      </c>
      <c r="K44" s="100"/>
      <c r="L44" s="100">
        <v>0</v>
      </c>
      <c r="M44" s="100"/>
      <c r="N44" s="100">
        <f t="shared" si="0"/>
        <v>0</v>
      </c>
    </row>
    <row r="45" spans="1:14" ht="14.1" customHeight="1">
      <c r="A45" s="24" t="s">
        <v>225</v>
      </c>
      <c r="B45" s="100">
        <v>0</v>
      </c>
      <c r="C45" s="100"/>
      <c r="D45" s="100">
        <v>0</v>
      </c>
      <c r="E45" s="100"/>
      <c r="F45" s="100">
        <v>0</v>
      </c>
      <c r="G45" s="100"/>
      <c r="H45" s="100">
        <v>0</v>
      </c>
      <c r="I45" s="100"/>
      <c r="J45" s="100">
        <v>0</v>
      </c>
      <c r="K45" s="100"/>
      <c r="L45" s="100">
        <v>0</v>
      </c>
      <c r="M45" s="100"/>
      <c r="N45" s="100">
        <f t="shared" si="0"/>
        <v>0</v>
      </c>
    </row>
    <row r="46" spans="1:14" ht="14.1" customHeight="1">
      <c r="A46" s="24" t="s">
        <v>226</v>
      </c>
      <c r="B46" s="100">
        <v>0</v>
      </c>
      <c r="C46" s="100"/>
      <c r="D46" s="100">
        <v>0</v>
      </c>
      <c r="E46" s="100"/>
      <c r="F46" s="100">
        <v>0</v>
      </c>
      <c r="G46" s="100"/>
      <c r="H46" s="100">
        <v>0</v>
      </c>
      <c r="I46" s="100"/>
      <c r="J46" s="100">
        <v>0</v>
      </c>
      <c r="K46" s="100"/>
      <c r="L46" s="100">
        <v>0</v>
      </c>
      <c r="M46" s="100"/>
      <c r="N46" s="100">
        <f t="shared" si="0"/>
        <v>0</v>
      </c>
    </row>
    <row r="47" spans="1:14" ht="14.1" customHeight="1">
      <c r="A47" s="24" t="s">
        <v>269</v>
      </c>
      <c r="B47" s="100">
        <v>0</v>
      </c>
      <c r="C47" s="100"/>
      <c r="D47" s="100">
        <v>0</v>
      </c>
      <c r="E47" s="100"/>
      <c r="F47" s="100">
        <v>0</v>
      </c>
      <c r="G47" s="100"/>
      <c r="H47" s="100">
        <v>0</v>
      </c>
      <c r="I47" s="100"/>
      <c r="J47" s="100">
        <v>0</v>
      </c>
      <c r="K47" s="100"/>
      <c r="L47" s="100">
        <v>0</v>
      </c>
      <c r="M47" s="100"/>
      <c r="N47" s="100">
        <f t="shared" si="0"/>
        <v>0</v>
      </c>
    </row>
    <row r="48" spans="1:14" ht="14.1" customHeight="1">
      <c r="A48" s="24" t="s">
        <v>270</v>
      </c>
      <c r="B48" s="100">
        <v>0</v>
      </c>
      <c r="C48" s="100"/>
      <c r="D48" s="100">
        <v>0</v>
      </c>
      <c r="E48" s="100"/>
      <c r="F48" s="100">
        <v>0</v>
      </c>
      <c r="G48" s="100"/>
      <c r="H48" s="100"/>
      <c r="I48" s="100"/>
      <c r="J48" s="100">
        <v>0</v>
      </c>
      <c r="K48" s="100"/>
      <c r="L48" s="100">
        <v>0</v>
      </c>
      <c r="M48" s="100"/>
      <c r="N48" s="100">
        <f t="shared" si="0"/>
        <v>0</v>
      </c>
    </row>
    <row r="49" spans="1:14" ht="14.1" customHeight="1">
      <c r="A49" s="24" t="s">
        <v>271</v>
      </c>
      <c r="B49" s="100">
        <v>0</v>
      </c>
      <c r="C49" s="100"/>
      <c r="D49" s="100">
        <v>0</v>
      </c>
      <c r="E49" s="100"/>
      <c r="F49" s="100">
        <v>0</v>
      </c>
      <c r="G49" s="100"/>
      <c r="H49" s="100">
        <v>0</v>
      </c>
      <c r="I49" s="100"/>
      <c r="J49" s="100">
        <v>0</v>
      </c>
      <c r="K49" s="100"/>
      <c r="L49" s="100">
        <v>0</v>
      </c>
      <c r="M49" s="100"/>
      <c r="N49" s="100">
        <f t="shared" si="0"/>
        <v>0</v>
      </c>
    </row>
    <row r="50" spans="1:14" ht="14.1" customHeight="1">
      <c r="A50" s="24" t="s">
        <v>272</v>
      </c>
      <c r="B50" s="100">
        <v>0</v>
      </c>
      <c r="C50" s="100"/>
      <c r="D50" s="100">
        <v>0</v>
      </c>
      <c r="E50" s="100"/>
      <c r="F50" s="100">
        <v>0</v>
      </c>
      <c r="G50" s="100"/>
      <c r="H50" s="100"/>
      <c r="I50" s="100"/>
      <c r="J50" s="100">
        <v>0</v>
      </c>
      <c r="K50" s="100"/>
      <c r="L50" s="100">
        <v>0</v>
      </c>
      <c r="M50" s="100"/>
      <c r="N50" s="100">
        <f t="shared" si="0"/>
        <v>0</v>
      </c>
    </row>
    <row r="51" spans="1:14" ht="14.1" customHeight="1">
      <c r="A51" s="24" t="s">
        <v>273</v>
      </c>
      <c r="B51" s="100">
        <v>0</v>
      </c>
      <c r="C51" s="100"/>
      <c r="D51" s="100">
        <v>0</v>
      </c>
      <c r="E51" s="100"/>
      <c r="F51" s="100">
        <v>0</v>
      </c>
      <c r="G51" s="100"/>
      <c r="H51" s="100">
        <v>0</v>
      </c>
      <c r="I51" s="100"/>
      <c r="J51" s="100">
        <v>0</v>
      </c>
      <c r="K51" s="100"/>
      <c r="L51" s="100">
        <v>0</v>
      </c>
      <c r="M51" s="100"/>
      <c r="N51" s="100">
        <f t="shared" si="0"/>
        <v>0</v>
      </c>
    </row>
    <row r="52" spans="1:14" ht="14.1" customHeight="1">
      <c r="A52" s="24" t="s">
        <v>274</v>
      </c>
      <c r="B52" s="100">
        <v>0</v>
      </c>
      <c r="C52" s="100"/>
      <c r="D52" s="100">
        <v>0</v>
      </c>
      <c r="E52" s="100"/>
      <c r="F52" s="100">
        <v>0</v>
      </c>
      <c r="G52" s="100"/>
      <c r="H52" s="100">
        <v>0</v>
      </c>
      <c r="I52" s="100"/>
      <c r="J52" s="100">
        <v>0</v>
      </c>
      <c r="K52" s="100"/>
      <c r="L52" s="100">
        <v>0</v>
      </c>
      <c r="M52" s="100"/>
      <c r="N52" s="100">
        <f t="shared" si="0"/>
        <v>0</v>
      </c>
    </row>
    <row r="53" spans="1:14" ht="14.1" customHeight="1">
      <c r="A53" s="24" t="s">
        <v>554</v>
      </c>
      <c r="B53" s="100">
        <v>0</v>
      </c>
      <c r="C53" s="100"/>
      <c r="D53" s="100">
        <v>0</v>
      </c>
      <c r="E53" s="100"/>
      <c r="F53" s="100">
        <v>0</v>
      </c>
      <c r="G53" s="103"/>
      <c r="H53" s="100">
        <f>'Sch 2 - Forecast Exp'!D46</f>
        <v>250047.92000000016</v>
      </c>
      <c r="I53" s="100"/>
      <c r="J53" s="100">
        <v>0</v>
      </c>
      <c r="K53" s="100"/>
      <c r="L53" s="100">
        <v>0</v>
      </c>
      <c r="M53" s="100"/>
      <c r="N53" s="100">
        <f t="shared" si="0"/>
        <v>250047.92000000016</v>
      </c>
    </row>
    <row r="54" spans="1:14" ht="14.1" customHeight="1">
      <c r="A54" s="24" t="s">
        <v>228</v>
      </c>
      <c r="B54" s="100">
        <v>0</v>
      </c>
      <c r="C54" s="100"/>
      <c r="D54" s="100">
        <v>0</v>
      </c>
      <c r="E54" s="100"/>
      <c r="F54" s="100">
        <v>0</v>
      </c>
      <c r="G54" s="100"/>
      <c r="H54" s="100">
        <v>0</v>
      </c>
      <c r="I54" s="100"/>
      <c r="J54" s="100">
        <v>0</v>
      </c>
      <c r="K54" s="100"/>
      <c r="L54" s="100">
        <v>0</v>
      </c>
      <c r="M54" s="100"/>
      <c r="N54" s="100">
        <f t="shared" si="0"/>
        <v>0</v>
      </c>
    </row>
    <row r="55" spans="1:14" ht="14.1" customHeight="1">
      <c r="A55" s="24" t="s">
        <v>229</v>
      </c>
      <c r="B55" s="100">
        <v>0</v>
      </c>
      <c r="C55" s="100"/>
      <c r="D55" s="100">
        <v>0</v>
      </c>
      <c r="E55" s="100"/>
      <c r="F55" s="100">
        <f>+'Sch 2 - Forecast Exp'!D38</f>
        <v>-13352.042065729471</v>
      </c>
      <c r="G55" s="100"/>
      <c r="H55" s="100">
        <v>0</v>
      </c>
      <c r="J55" s="100">
        <v>0</v>
      </c>
      <c r="K55" s="103"/>
      <c r="L55" s="100">
        <v>0</v>
      </c>
      <c r="M55" s="103"/>
      <c r="N55" s="100">
        <f t="shared" si="0"/>
        <v>-13352.042065729471</v>
      </c>
    </row>
    <row r="56" spans="1:14" ht="14.1" customHeight="1">
      <c r="A56" s="24" t="s">
        <v>12</v>
      </c>
      <c r="B56" s="100">
        <v>0</v>
      </c>
      <c r="C56" s="100"/>
      <c r="D56" s="100">
        <v>0</v>
      </c>
      <c r="E56" s="100"/>
      <c r="F56" s="100">
        <v>0</v>
      </c>
      <c r="G56" s="100"/>
      <c r="H56" s="100">
        <v>0</v>
      </c>
      <c r="I56" s="100"/>
      <c r="J56" s="100">
        <v>0</v>
      </c>
      <c r="K56" s="100"/>
      <c r="L56" s="100">
        <v>0</v>
      </c>
      <c r="M56" s="100"/>
      <c r="N56" s="100">
        <f t="shared" si="0"/>
        <v>0</v>
      </c>
    </row>
    <row r="57" spans="1:14" ht="14.1" customHeight="1">
      <c r="A57" s="24" t="s">
        <v>75</v>
      </c>
      <c r="B57" s="100">
        <v>0</v>
      </c>
      <c r="C57" s="100"/>
      <c r="D57" s="100">
        <v>0</v>
      </c>
      <c r="E57" s="100"/>
      <c r="F57" s="100">
        <v>0</v>
      </c>
      <c r="G57" s="100"/>
      <c r="H57" s="100">
        <v>0</v>
      </c>
      <c r="I57" s="100"/>
      <c r="J57" s="100">
        <v>0</v>
      </c>
      <c r="K57" s="100"/>
      <c r="L57" s="100">
        <v>0</v>
      </c>
      <c r="M57" s="100"/>
      <c r="N57" s="100">
        <f t="shared" si="0"/>
        <v>0</v>
      </c>
    </row>
    <row r="58" spans="1:14" ht="14.1" customHeight="1">
      <c r="A58" s="24" t="s">
        <v>230</v>
      </c>
      <c r="B58" s="100">
        <v>0</v>
      </c>
      <c r="C58" s="100"/>
      <c r="D58" s="100">
        <v>0</v>
      </c>
      <c r="E58" s="100"/>
      <c r="F58" s="100">
        <v>0</v>
      </c>
      <c r="G58" s="100"/>
      <c r="H58" s="100">
        <v>0</v>
      </c>
      <c r="I58" s="100"/>
      <c r="J58" s="100">
        <v>0</v>
      </c>
      <c r="K58" s="103"/>
      <c r="L58" s="100">
        <v>0</v>
      </c>
      <c r="M58" s="103"/>
      <c r="N58" s="100">
        <f t="shared" si="0"/>
        <v>0</v>
      </c>
    </row>
    <row r="59" spans="1:14" ht="14.1" customHeight="1">
      <c r="A59" s="24" t="s">
        <v>499</v>
      </c>
      <c r="B59" s="100">
        <f>+'Sch 2 - Forecast Exp'!F12</f>
        <v>7671.8969503350618</v>
      </c>
      <c r="C59" s="100"/>
      <c r="D59" s="100">
        <v>0</v>
      </c>
      <c r="E59" s="100"/>
      <c r="F59" s="100">
        <v>0</v>
      </c>
      <c r="G59" s="100"/>
      <c r="H59" s="100">
        <v>0</v>
      </c>
      <c r="I59" s="100"/>
      <c r="J59" s="100">
        <v>0</v>
      </c>
      <c r="K59" s="100"/>
      <c r="L59" s="100">
        <v>0</v>
      </c>
      <c r="M59" s="100"/>
      <c r="N59" s="100">
        <f t="shared" si="0"/>
        <v>7671.8969503350618</v>
      </c>
    </row>
    <row r="60" spans="1:14" ht="14.1" customHeight="1">
      <c r="A60" s="24" t="s">
        <v>500</v>
      </c>
      <c r="B60" s="100">
        <f>+'Sch 2 - Forecast Exp'!F13</f>
        <v>80763.684788691564</v>
      </c>
      <c r="C60" s="100"/>
      <c r="D60" s="100">
        <v>0</v>
      </c>
      <c r="E60" s="100"/>
      <c r="F60" s="100">
        <v>0</v>
      </c>
      <c r="G60" s="100"/>
      <c r="H60" s="100">
        <v>0</v>
      </c>
      <c r="I60" s="100"/>
      <c r="J60" s="100">
        <v>0</v>
      </c>
      <c r="K60" s="100"/>
      <c r="L60" s="100">
        <v>0</v>
      </c>
      <c r="M60" s="100"/>
      <c r="N60" s="100">
        <f t="shared" si="0"/>
        <v>80763.684788691564</v>
      </c>
    </row>
    <row r="61" spans="1:14" ht="14.1" customHeight="1">
      <c r="A61" s="24" t="s">
        <v>1081</v>
      </c>
      <c r="B61" s="100">
        <f>+'Sch 2 - Forecast Exp'!F14</f>
        <v>-63270.895094252599</v>
      </c>
      <c r="C61" s="100"/>
      <c r="D61" s="100">
        <v>0</v>
      </c>
      <c r="E61" s="100"/>
      <c r="F61" s="100">
        <v>0</v>
      </c>
      <c r="G61" s="100"/>
      <c r="H61" s="100">
        <v>0</v>
      </c>
      <c r="I61" s="100"/>
      <c r="J61" s="100">
        <v>0</v>
      </c>
      <c r="K61" s="100"/>
      <c r="L61" s="100">
        <v>0</v>
      </c>
      <c r="M61" s="100"/>
      <c r="N61" s="100">
        <f t="shared" si="0"/>
        <v>-63270.895094252599</v>
      </c>
    </row>
    <row r="62" spans="1:14" ht="14.1" customHeight="1">
      <c r="A62" s="24" t="s">
        <v>990</v>
      </c>
      <c r="B62" s="100">
        <f>+'Sch 2 - Forecast Exp'!F15</f>
        <v>-99779.319263098543</v>
      </c>
      <c r="C62" s="100"/>
      <c r="D62" s="100">
        <v>0</v>
      </c>
      <c r="E62" s="100"/>
      <c r="F62" s="100">
        <v>0</v>
      </c>
      <c r="G62" s="100"/>
      <c r="H62" s="100">
        <v>0</v>
      </c>
      <c r="I62" s="100"/>
      <c r="J62" s="100">
        <v>0</v>
      </c>
      <c r="K62" s="100"/>
      <c r="L62" s="100">
        <v>0</v>
      </c>
      <c r="M62" s="100"/>
      <c r="N62" s="100">
        <f t="shared" si="0"/>
        <v>-99779.319263098543</v>
      </c>
    </row>
    <row r="63" spans="1:14" ht="14.1" customHeight="1">
      <c r="A63" s="24" t="s">
        <v>1082</v>
      </c>
      <c r="B63" s="100">
        <f>+'Sch 2 - Forecast Exp'!F16</f>
        <v>35179.941915676354</v>
      </c>
      <c r="C63" s="100"/>
      <c r="D63" s="100">
        <v>0</v>
      </c>
      <c r="E63" s="100"/>
      <c r="F63" s="100">
        <v>0</v>
      </c>
      <c r="G63" s="100"/>
      <c r="H63" s="100">
        <v>0</v>
      </c>
      <c r="I63" s="100"/>
      <c r="J63" s="100">
        <v>0</v>
      </c>
      <c r="K63" s="100"/>
      <c r="L63" s="100">
        <v>0</v>
      </c>
      <c r="M63" s="100"/>
      <c r="N63" s="100">
        <f t="shared" si="0"/>
        <v>35179.941915676354</v>
      </c>
    </row>
    <row r="64" spans="1:14" ht="14.1" customHeight="1">
      <c r="A64" s="24" t="s">
        <v>992</v>
      </c>
      <c r="B64" s="100">
        <f>+'Sch 2 - Forecast Exp'!F17</f>
        <v>26.589717981424556</v>
      </c>
      <c r="C64" s="100"/>
      <c r="D64" s="100">
        <v>0</v>
      </c>
      <c r="E64" s="100"/>
      <c r="F64" s="100">
        <v>0</v>
      </c>
      <c r="G64" s="100"/>
      <c r="H64" s="100">
        <v>0</v>
      </c>
      <c r="I64" s="100"/>
      <c r="J64" s="100">
        <v>0</v>
      </c>
      <c r="K64" s="100"/>
      <c r="L64" s="100">
        <v>0</v>
      </c>
      <c r="M64" s="100"/>
      <c r="N64" s="100">
        <f t="shared" si="0"/>
        <v>26.589717981424556</v>
      </c>
    </row>
    <row r="65" spans="1:14" ht="14.1" customHeight="1">
      <c r="A65" s="24" t="s">
        <v>231</v>
      </c>
      <c r="B65" s="100">
        <f>+'Sch 2 - Forecast Exp'!F24</f>
        <v>-11517.888418496663</v>
      </c>
      <c r="C65" s="100"/>
      <c r="D65" s="100">
        <v>0</v>
      </c>
      <c r="E65" s="100"/>
      <c r="F65" s="100">
        <v>0</v>
      </c>
      <c r="G65" s="100"/>
      <c r="H65" s="100">
        <v>0</v>
      </c>
      <c r="I65" s="100"/>
      <c r="J65" s="100">
        <v>0</v>
      </c>
      <c r="K65" s="100"/>
      <c r="L65" s="100">
        <v>0</v>
      </c>
      <c r="M65" s="100"/>
      <c r="N65" s="100">
        <f t="shared" si="0"/>
        <v>-11517.888418496663</v>
      </c>
    </row>
    <row r="66" spans="1:14" ht="14.1" customHeight="1">
      <c r="A66" s="24" t="s">
        <v>232</v>
      </c>
      <c r="B66" s="100">
        <f>+'Sch 2 - Forecast Exp'!F26</f>
        <v>-12953.153227444229</v>
      </c>
      <c r="C66" s="100"/>
      <c r="D66" s="100">
        <v>0</v>
      </c>
      <c r="E66" s="100"/>
      <c r="F66" s="100">
        <v>0</v>
      </c>
      <c r="G66" s="100"/>
      <c r="H66" s="100">
        <v>0</v>
      </c>
      <c r="I66" s="100"/>
      <c r="J66" s="100">
        <v>0</v>
      </c>
      <c r="K66" s="100"/>
      <c r="L66" s="100">
        <v>0</v>
      </c>
      <c r="M66" s="100"/>
      <c r="N66" s="100">
        <f t="shared" si="0"/>
        <v>-12953.153227444229</v>
      </c>
    </row>
    <row r="67" spans="1:14" ht="14.1" customHeight="1">
      <c r="A67" s="24" t="s">
        <v>233</v>
      </c>
      <c r="B67" s="100">
        <f>+'Sch 2 - Forecast Exp'!F25</f>
        <v>-1752.9211833534621</v>
      </c>
      <c r="C67" s="100"/>
      <c r="D67" s="100">
        <v>0</v>
      </c>
      <c r="E67" s="100"/>
      <c r="F67" s="100">
        <v>0</v>
      </c>
      <c r="G67" s="100"/>
      <c r="H67" s="100">
        <v>0</v>
      </c>
      <c r="I67" s="100"/>
      <c r="J67" s="100">
        <v>0</v>
      </c>
      <c r="K67" s="100"/>
      <c r="L67" s="100">
        <v>0</v>
      </c>
      <c r="M67" s="100"/>
      <c r="N67" s="100">
        <f t="shared" si="0"/>
        <v>-1752.9211833534621</v>
      </c>
    </row>
    <row r="68" spans="1:14" ht="14.1" customHeight="1">
      <c r="A68" s="24" t="s">
        <v>1001</v>
      </c>
      <c r="B68" s="100">
        <f>+'Sch 2 - Forecast Exp'!F23</f>
        <v>100.7936797316834</v>
      </c>
      <c r="C68" s="100"/>
      <c r="D68" s="100">
        <v>0</v>
      </c>
      <c r="E68" s="100"/>
      <c r="F68" s="100">
        <v>0</v>
      </c>
      <c r="G68" s="100"/>
      <c r="H68" s="100">
        <v>0</v>
      </c>
      <c r="I68" s="100"/>
      <c r="J68" s="100">
        <v>0</v>
      </c>
      <c r="K68" s="100"/>
      <c r="L68" s="100">
        <v>0</v>
      </c>
      <c r="M68" s="100"/>
      <c r="N68" s="100">
        <v>0</v>
      </c>
    </row>
    <row r="69" spans="1:14" ht="14.1" customHeight="1">
      <c r="A69" s="24" t="s">
        <v>1002</v>
      </c>
      <c r="B69" s="100">
        <f>+'Sch 2 - Forecast Exp'!F22</f>
        <v>-169.84098849982732</v>
      </c>
      <c r="C69" s="100"/>
      <c r="D69" s="100">
        <v>0</v>
      </c>
      <c r="E69" s="100"/>
      <c r="F69" s="100">
        <v>0</v>
      </c>
      <c r="G69" s="100"/>
      <c r="H69" s="100">
        <v>0</v>
      </c>
      <c r="I69" s="100"/>
      <c r="J69" s="100">
        <v>0</v>
      </c>
      <c r="K69" s="100"/>
      <c r="L69" s="100">
        <v>0</v>
      </c>
      <c r="M69" s="100"/>
      <c r="N69" s="100">
        <v>0</v>
      </c>
    </row>
    <row r="70" spans="1:14" ht="14.1" customHeight="1">
      <c r="A70" s="24" t="s">
        <v>1003</v>
      </c>
      <c r="B70" s="100">
        <f>+'Sch 2 - Forecast Exp'!F21</f>
        <v>-2571.4384662490265</v>
      </c>
      <c r="C70" s="100"/>
      <c r="D70" s="100">
        <v>0</v>
      </c>
      <c r="E70" s="100"/>
      <c r="F70" s="100">
        <v>0</v>
      </c>
      <c r="G70" s="100"/>
      <c r="H70" s="100">
        <v>0</v>
      </c>
      <c r="I70" s="100"/>
      <c r="J70" s="100">
        <v>0</v>
      </c>
      <c r="K70" s="100"/>
      <c r="L70" s="100">
        <v>0</v>
      </c>
      <c r="M70" s="100"/>
      <c r="N70" s="100">
        <v>0</v>
      </c>
    </row>
    <row r="71" spans="1:14" ht="14.1" customHeight="1">
      <c r="A71" s="24" t="s">
        <v>235</v>
      </c>
      <c r="B71" s="100">
        <v>0</v>
      </c>
      <c r="C71" s="100"/>
      <c r="D71" s="100">
        <v>0</v>
      </c>
      <c r="E71" s="100"/>
      <c r="F71" s="100">
        <v>0</v>
      </c>
      <c r="G71" s="100"/>
      <c r="H71" s="100">
        <v>0</v>
      </c>
      <c r="I71" s="100"/>
      <c r="J71" s="100">
        <v>0</v>
      </c>
      <c r="K71" s="100"/>
      <c r="L71" s="100">
        <v>0</v>
      </c>
      <c r="M71" s="100"/>
      <c r="N71" s="100">
        <f t="shared" si="0"/>
        <v>0</v>
      </c>
    </row>
    <row r="72" spans="1:14" ht="14.1" customHeight="1">
      <c r="A72" s="24" t="s">
        <v>236</v>
      </c>
      <c r="B72" s="100">
        <v>0</v>
      </c>
      <c r="C72" s="100"/>
      <c r="D72" s="100">
        <v>0</v>
      </c>
      <c r="E72" s="100"/>
      <c r="F72" s="100">
        <v>0</v>
      </c>
      <c r="G72" s="100"/>
      <c r="H72" s="100">
        <v>0</v>
      </c>
      <c r="I72" s="100"/>
      <c r="J72" s="100">
        <v>0</v>
      </c>
      <c r="K72" s="100"/>
      <c r="L72" s="100">
        <v>0</v>
      </c>
      <c r="M72" s="100"/>
      <c r="N72" s="100">
        <f t="shared" si="0"/>
        <v>0</v>
      </c>
    </row>
    <row r="73" spans="1:14" ht="14.1" customHeight="1">
      <c r="A73" s="24" t="s">
        <v>237</v>
      </c>
      <c r="B73" s="100">
        <v>0</v>
      </c>
      <c r="C73" s="100"/>
      <c r="D73" s="100">
        <v>0</v>
      </c>
      <c r="E73" s="100"/>
      <c r="F73" s="100">
        <v>0</v>
      </c>
      <c r="G73" s="100"/>
      <c r="H73" s="100">
        <v>0</v>
      </c>
      <c r="I73" s="100"/>
      <c r="J73" s="100">
        <v>0</v>
      </c>
      <c r="K73" s="100"/>
      <c r="L73" s="100">
        <v>0</v>
      </c>
      <c r="M73" s="100"/>
      <c r="N73" s="100">
        <f t="shared" si="0"/>
        <v>0</v>
      </c>
    </row>
    <row r="74" spans="1:14" ht="14.1" customHeight="1">
      <c r="A74" s="24" t="s">
        <v>238</v>
      </c>
      <c r="B74" s="100">
        <v>0</v>
      </c>
      <c r="C74" s="100"/>
      <c r="D74" s="100">
        <v>0</v>
      </c>
      <c r="E74" s="100"/>
      <c r="F74" s="100">
        <v>0</v>
      </c>
      <c r="G74" s="100"/>
      <c r="H74" s="100">
        <v>0</v>
      </c>
      <c r="I74" s="100"/>
      <c r="J74" s="100">
        <v>0</v>
      </c>
      <c r="K74" s="100"/>
      <c r="L74" s="100">
        <v>0</v>
      </c>
      <c r="M74" s="100"/>
      <c r="N74" s="100">
        <f t="shared" si="0"/>
        <v>0</v>
      </c>
    </row>
    <row r="75" spans="1:14" ht="14.1" customHeight="1">
      <c r="A75" s="24" t="s">
        <v>239</v>
      </c>
      <c r="B75" s="100">
        <v>0</v>
      </c>
      <c r="C75" s="100"/>
      <c r="D75" s="100">
        <v>0</v>
      </c>
      <c r="E75" s="100"/>
      <c r="F75" s="100">
        <v>0</v>
      </c>
      <c r="G75" s="100"/>
      <c r="H75" s="100">
        <v>0</v>
      </c>
      <c r="I75" s="100"/>
      <c r="J75" s="100">
        <v>0</v>
      </c>
      <c r="K75" s="100"/>
      <c r="L75" s="100">
        <v>0</v>
      </c>
      <c r="M75" s="100"/>
      <c r="N75" s="100">
        <f t="shared" si="0"/>
        <v>0</v>
      </c>
    </row>
    <row r="76" spans="1:14" ht="14.1" customHeight="1">
      <c r="A76" s="24" t="s">
        <v>240</v>
      </c>
      <c r="B76" s="100">
        <v>0</v>
      </c>
      <c r="C76" s="100"/>
      <c r="D76" s="100">
        <v>0</v>
      </c>
      <c r="E76" s="100"/>
      <c r="F76" s="100">
        <v>0</v>
      </c>
      <c r="G76" s="100"/>
      <c r="H76" s="100">
        <v>0</v>
      </c>
      <c r="I76" s="100"/>
      <c r="J76" s="100">
        <v>0</v>
      </c>
      <c r="K76" s="100"/>
      <c r="L76" s="100">
        <v>0</v>
      </c>
      <c r="M76" s="100"/>
      <c r="N76" s="100">
        <f t="shared" si="0"/>
        <v>0</v>
      </c>
    </row>
    <row r="77" spans="1:14" ht="14.1" customHeight="1">
      <c r="A77" s="24" t="s">
        <v>43</v>
      </c>
      <c r="B77" s="100">
        <v>0</v>
      </c>
      <c r="C77" s="100"/>
      <c r="D77" s="100">
        <v>0</v>
      </c>
      <c r="E77" s="100"/>
      <c r="F77" s="100">
        <v>0</v>
      </c>
      <c r="G77" s="100"/>
      <c r="H77" s="100">
        <v>0</v>
      </c>
      <c r="I77" s="100"/>
      <c r="J77" s="100">
        <v>0</v>
      </c>
      <c r="K77" s="100"/>
      <c r="L77" s="100">
        <v>0</v>
      </c>
      <c r="M77" s="100"/>
      <c r="N77" s="100">
        <f t="shared" si="0"/>
        <v>0</v>
      </c>
    </row>
    <row r="78" spans="1:14" ht="14.1" customHeight="1">
      <c r="A78" s="24" t="s">
        <v>275</v>
      </c>
      <c r="B78" s="100">
        <v>0</v>
      </c>
      <c r="C78" s="100"/>
      <c r="D78" s="100">
        <v>0</v>
      </c>
      <c r="E78" s="100"/>
      <c r="F78" s="100">
        <v>0</v>
      </c>
      <c r="G78" s="100"/>
      <c r="H78" s="100">
        <v>0</v>
      </c>
      <c r="I78" s="100"/>
      <c r="J78" s="100">
        <v>0</v>
      </c>
      <c r="K78" s="100"/>
      <c r="L78" s="100">
        <v>0</v>
      </c>
      <c r="M78" s="100"/>
      <c r="N78" s="100">
        <f t="shared" si="0"/>
        <v>0</v>
      </c>
    </row>
    <row r="79" spans="1:14" ht="14.1" customHeight="1">
      <c r="A79" s="24" t="s">
        <v>276</v>
      </c>
      <c r="B79" s="100">
        <v>0</v>
      </c>
      <c r="C79" s="100"/>
      <c r="D79" s="100">
        <v>0</v>
      </c>
      <c r="E79" s="100"/>
      <c r="F79" s="100">
        <v>0</v>
      </c>
      <c r="G79" s="100"/>
      <c r="H79" s="100">
        <v>0</v>
      </c>
      <c r="I79" s="100"/>
      <c r="J79" s="100">
        <v>0</v>
      </c>
      <c r="K79" s="100"/>
      <c r="L79" s="100"/>
      <c r="M79" s="100"/>
      <c r="N79" s="100">
        <f t="shared" si="0"/>
        <v>0</v>
      </c>
    </row>
    <row r="80" spans="1:14" ht="14.1" customHeight="1">
      <c r="A80" s="24" t="s">
        <v>277</v>
      </c>
      <c r="B80" s="100">
        <v>0</v>
      </c>
      <c r="C80" s="100"/>
      <c r="D80" s="100">
        <v>0</v>
      </c>
      <c r="E80" s="100"/>
      <c r="F80" s="100">
        <v>0</v>
      </c>
      <c r="G80" s="100"/>
      <c r="H80" s="100">
        <v>0</v>
      </c>
      <c r="I80" s="100"/>
      <c r="J80" s="100">
        <v>0</v>
      </c>
      <c r="K80" s="100"/>
      <c r="L80" s="100"/>
      <c r="M80" s="100"/>
      <c r="N80" s="100">
        <f t="shared" ref="N80:N109" si="1">SUM(B80:L80)</f>
        <v>0</v>
      </c>
    </row>
    <row r="81" spans="1:14" ht="14.1" customHeight="1">
      <c r="A81" s="24" t="s">
        <v>278</v>
      </c>
      <c r="B81" s="100">
        <v>0</v>
      </c>
      <c r="C81" s="100"/>
      <c r="D81" s="100">
        <v>0</v>
      </c>
      <c r="E81" s="100"/>
      <c r="F81" s="100">
        <v>0</v>
      </c>
      <c r="G81" s="100"/>
      <c r="H81" s="100">
        <v>0</v>
      </c>
      <c r="I81" s="100"/>
      <c r="J81" s="100">
        <v>0</v>
      </c>
      <c r="K81" s="100"/>
      <c r="L81" s="100">
        <v>0</v>
      </c>
      <c r="M81" s="100"/>
      <c r="N81" s="100">
        <f t="shared" si="1"/>
        <v>0</v>
      </c>
    </row>
    <row r="82" spans="1:14" ht="14.1" customHeight="1">
      <c r="A82" s="24" t="s">
        <v>279</v>
      </c>
      <c r="B82" s="100">
        <v>0</v>
      </c>
      <c r="C82" s="100"/>
      <c r="D82" s="100">
        <v>0</v>
      </c>
      <c r="E82" s="100"/>
      <c r="F82" s="100">
        <v>0</v>
      </c>
      <c r="G82" s="100"/>
      <c r="H82" s="100">
        <v>0</v>
      </c>
      <c r="I82" s="100"/>
      <c r="J82" s="100">
        <v>0</v>
      </c>
      <c r="K82" s="100"/>
      <c r="L82" s="100"/>
      <c r="M82" s="100"/>
      <c r="N82" s="100">
        <f t="shared" si="1"/>
        <v>0</v>
      </c>
    </row>
    <row r="83" spans="1:14" ht="14.1" customHeight="1">
      <c r="A83" s="24" t="s">
        <v>241</v>
      </c>
      <c r="B83" s="100">
        <v>0</v>
      </c>
      <c r="C83" s="100"/>
      <c r="D83" s="100">
        <v>0</v>
      </c>
      <c r="E83" s="100"/>
      <c r="F83" s="100">
        <v>0</v>
      </c>
      <c r="G83" s="100"/>
      <c r="H83" s="100">
        <v>0</v>
      </c>
      <c r="I83" s="100"/>
      <c r="J83" s="100">
        <v>0</v>
      </c>
      <c r="K83" s="100"/>
      <c r="L83" s="100">
        <v>0</v>
      </c>
      <c r="M83" s="100"/>
      <c r="N83" s="100">
        <f t="shared" si="1"/>
        <v>0</v>
      </c>
    </row>
    <row r="84" spans="1:14" ht="14.1" customHeight="1">
      <c r="A84" s="24" t="s">
        <v>242</v>
      </c>
      <c r="B84" s="100">
        <v>0</v>
      </c>
      <c r="C84" s="100"/>
      <c r="D84" s="100">
        <v>0</v>
      </c>
      <c r="E84" s="100"/>
      <c r="F84" s="100">
        <v>0</v>
      </c>
      <c r="G84" s="100"/>
      <c r="H84" s="100">
        <v>0</v>
      </c>
      <c r="I84" s="100"/>
      <c r="J84" s="100">
        <v>0</v>
      </c>
      <c r="K84" s="100"/>
      <c r="L84" s="100">
        <v>0</v>
      </c>
      <c r="M84" s="100"/>
      <c r="N84" s="100">
        <f t="shared" si="1"/>
        <v>0</v>
      </c>
    </row>
    <row r="85" spans="1:14" ht="14.1" customHeight="1">
      <c r="A85" s="24" t="s">
        <v>243</v>
      </c>
      <c r="B85" s="100">
        <v>0</v>
      </c>
      <c r="C85" s="100"/>
      <c r="D85" s="100">
        <v>0</v>
      </c>
      <c r="E85" s="100"/>
      <c r="F85" s="100">
        <v>0</v>
      </c>
      <c r="G85" s="100"/>
      <c r="H85" s="100">
        <v>0</v>
      </c>
      <c r="I85" s="100"/>
      <c r="J85" s="100">
        <v>0</v>
      </c>
      <c r="K85" s="100"/>
      <c r="L85" s="100">
        <v>0</v>
      </c>
      <c r="M85" s="100"/>
      <c r="N85" s="100">
        <f t="shared" si="1"/>
        <v>0</v>
      </c>
    </row>
    <row r="86" spans="1:14" ht="14.1" customHeight="1">
      <c r="A86" s="24" t="s">
        <v>244</v>
      </c>
      <c r="B86" s="100">
        <v>0</v>
      </c>
      <c r="C86" s="100"/>
      <c r="D86" s="100">
        <v>0</v>
      </c>
      <c r="E86" s="100"/>
      <c r="F86" s="100">
        <v>0</v>
      </c>
      <c r="G86" s="100"/>
      <c r="H86" s="100">
        <v>0</v>
      </c>
      <c r="I86" s="100"/>
      <c r="J86" s="100">
        <v>0</v>
      </c>
      <c r="K86" s="100"/>
      <c r="L86" s="100">
        <v>0</v>
      </c>
      <c r="M86" s="100"/>
      <c r="N86" s="100">
        <f t="shared" si="1"/>
        <v>0</v>
      </c>
    </row>
    <row r="87" spans="1:14" ht="14.1" customHeight="1">
      <c r="A87" s="24" t="s">
        <v>245</v>
      </c>
      <c r="B87" s="100">
        <v>0</v>
      </c>
      <c r="C87" s="100"/>
      <c r="D87" s="100">
        <v>0</v>
      </c>
      <c r="E87" s="100"/>
      <c r="F87" s="100">
        <v>0</v>
      </c>
      <c r="G87" s="100"/>
      <c r="H87" s="100">
        <v>0</v>
      </c>
      <c r="I87" s="100"/>
      <c r="J87" s="100">
        <v>0</v>
      </c>
      <c r="K87" s="100"/>
      <c r="L87" s="100">
        <v>0</v>
      </c>
      <c r="M87" s="100"/>
      <c r="N87" s="100">
        <f t="shared" si="1"/>
        <v>0</v>
      </c>
    </row>
    <row r="88" spans="1:14" ht="14.1" customHeight="1">
      <c r="A88" s="24" t="s">
        <v>246</v>
      </c>
      <c r="B88" s="100">
        <v>0</v>
      </c>
      <c r="C88" s="100"/>
      <c r="D88" s="100">
        <v>0</v>
      </c>
      <c r="E88" s="100"/>
      <c r="F88" s="100">
        <v>0</v>
      </c>
      <c r="G88" s="100"/>
      <c r="H88" s="100">
        <v>0</v>
      </c>
      <c r="I88" s="100"/>
      <c r="J88" s="100">
        <v>0</v>
      </c>
      <c r="K88" s="100"/>
      <c r="L88" s="100">
        <v>0</v>
      </c>
      <c r="M88" s="100"/>
      <c r="N88" s="100">
        <f t="shared" si="1"/>
        <v>0</v>
      </c>
    </row>
    <row r="89" spans="1:14" ht="14.1" customHeight="1">
      <c r="A89" s="24" t="s">
        <v>247</v>
      </c>
      <c r="B89" s="100">
        <v>0</v>
      </c>
      <c r="C89" s="100"/>
      <c r="D89" s="100">
        <v>0</v>
      </c>
      <c r="E89" s="100"/>
      <c r="F89" s="100">
        <v>0</v>
      </c>
      <c r="G89" s="100"/>
      <c r="H89" s="100">
        <v>0</v>
      </c>
      <c r="I89" s="100"/>
      <c r="J89" s="100">
        <v>0</v>
      </c>
      <c r="K89" s="100"/>
      <c r="L89" s="100">
        <v>0</v>
      </c>
      <c r="M89" s="100"/>
      <c r="N89" s="100">
        <f t="shared" si="1"/>
        <v>0</v>
      </c>
    </row>
    <row r="90" spans="1:14" ht="14.1" customHeight="1">
      <c r="A90" s="24" t="s">
        <v>248</v>
      </c>
      <c r="B90" s="100">
        <v>0</v>
      </c>
      <c r="C90" s="100"/>
      <c r="D90" s="100">
        <v>0</v>
      </c>
      <c r="E90" s="100"/>
      <c r="F90" s="100">
        <v>0</v>
      </c>
      <c r="G90" s="100"/>
      <c r="H90" s="100">
        <v>0</v>
      </c>
      <c r="I90" s="100"/>
      <c r="J90" s="100">
        <v>0</v>
      </c>
      <c r="K90" s="100"/>
      <c r="L90" s="100">
        <v>0</v>
      </c>
      <c r="M90" s="100"/>
      <c r="N90" s="100">
        <f t="shared" si="1"/>
        <v>0</v>
      </c>
    </row>
    <row r="91" spans="1:14" ht="14.1" customHeight="1">
      <c r="A91" s="24" t="s">
        <v>249</v>
      </c>
      <c r="B91" s="100">
        <v>0</v>
      </c>
      <c r="C91" s="100"/>
      <c r="D91" s="100">
        <v>0</v>
      </c>
      <c r="E91" s="100"/>
      <c r="F91" s="100">
        <v>0</v>
      </c>
      <c r="G91" s="100"/>
      <c r="H91" s="100">
        <v>0</v>
      </c>
      <c r="I91" s="100"/>
      <c r="J91" s="100">
        <v>0</v>
      </c>
      <c r="K91" s="100"/>
      <c r="L91" s="100">
        <v>0</v>
      </c>
      <c r="M91" s="100"/>
      <c r="N91" s="100">
        <f t="shared" si="1"/>
        <v>0</v>
      </c>
    </row>
    <row r="92" spans="1:14" ht="14.1" customHeight="1">
      <c r="A92" s="24" t="s">
        <v>250</v>
      </c>
      <c r="B92" s="100">
        <v>0</v>
      </c>
      <c r="C92" s="100"/>
      <c r="D92" s="100">
        <v>0</v>
      </c>
      <c r="E92" s="100"/>
      <c r="F92" s="100">
        <v>0</v>
      </c>
      <c r="G92" s="100"/>
      <c r="H92" s="100">
        <v>0</v>
      </c>
      <c r="I92" s="100"/>
      <c r="J92" s="100">
        <v>0</v>
      </c>
      <c r="K92" s="100"/>
      <c r="L92" s="100">
        <v>0</v>
      </c>
      <c r="M92" s="100"/>
      <c r="N92" s="100">
        <f t="shared" si="1"/>
        <v>0</v>
      </c>
    </row>
    <row r="93" spans="1:14" ht="14.1" customHeight="1">
      <c r="A93" s="24" t="s">
        <v>251</v>
      </c>
      <c r="B93" s="100">
        <v>0</v>
      </c>
      <c r="C93" s="100"/>
      <c r="D93" s="100">
        <v>0</v>
      </c>
      <c r="E93" s="100"/>
      <c r="F93" s="100">
        <v>0</v>
      </c>
      <c r="G93" s="100"/>
      <c r="H93" s="100">
        <v>0</v>
      </c>
      <c r="I93" s="100"/>
      <c r="J93" s="100">
        <v>0</v>
      </c>
      <c r="K93" s="100"/>
      <c r="L93" s="100">
        <v>0</v>
      </c>
      <c r="M93" s="100"/>
      <c r="N93" s="100">
        <f t="shared" si="1"/>
        <v>0</v>
      </c>
    </row>
    <row r="94" spans="1:14" ht="14.1" customHeight="1">
      <c r="A94" s="24" t="s">
        <v>252</v>
      </c>
      <c r="B94" s="100">
        <v>0</v>
      </c>
      <c r="C94" s="100"/>
      <c r="D94" s="100">
        <v>0</v>
      </c>
      <c r="E94" s="100"/>
      <c r="F94" s="100">
        <v>0</v>
      </c>
      <c r="G94" s="100"/>
      <c r="H94" s="100">
        <v>0</v>
      </c>
      <c r="I94" s="100"/>
      <c r="J94" s="100">
        <v>0</v>
      </c>
      <c r="K94" s="100"/>
      <c r="L94" s="100">
        <v>0</v>
      </c>
      <c r="M94" s="100"/>
      <c r="N94" s="100">
        <f t="shared" si="1"/>
        <v>0</v>
      </c>
    </row>
    <row r="95" spans="1:14" ht="14.1" customHeight="1">
      <c r="A95" s="24" t="s">
        <v>253</v>
      </c>
      <c r="B95" s="100">
        <v>0</v>
      </c>
      <c r="C95" s="100"/>
      <c r="D95" s="100">
        <v>0</v>
      </c>
      <c r="E95" s="100"/>
      <c r="F95" s="100">
        <v>0</v>
      </c>
      <c r="G95" s="100"/>
      <c r="H95" s="100">
        <v>0</v>
      </c>
      <c r="I95" s="100"/>
      <c r="J95" s="100">
        <v>0</v>
      </c>
      <c r="K95" s="100"/>
      <c r="L95" s="100">
        <v>0</v>
      </c>
      <c r="M95" s="100"/>
      <c r="N95" s="100">
        <f t="shared" si="1"/>
        <v>0</v>
      </c>
    </row>
    <row r="96" spans="1:14" ht="14.1" customHeight="1">
      <c r="A96" s="24" t="s">
        <v>13</v>
      </c>
      <c r="B96" s="100">
        <v>0</v>
      </c>
      <c r="C96" s="100"/>
      <c r="D96" s="100">
        <v>0</v>
      </c>
      <c r="E96" s="100"/>
      <c r="F96" s="100">
        <v>0</v>
      </c>
      <c r="G96" s="100"/>
      <c r="H96" s="100">
        <v>0</v>
      </c>
      <c r="I96" s="100"/>
      <c r="J96" s="100">
        <v>0</v>
      </c>
      <c r="K96" s="100"/>
      <c r="L96" s="100">
        <v>0</v>
      </c>
      <c r="M96" s="100"/>
      <c r="N96" s="100">
        <f t="shared" si="1"/>
        <v>0</v>
      </c>
    </row>
    <row r="97" spans="1:14" ht="14.1" customHeight="1">
      <c r="A97" s="24" t="s">
        <v>254</v>
      </c>
      <c r="B97" s="100">
        <v>0</v>
      </c>
      <c r="C97" s="100"/>
      <c r="D97" s="100">
        <v>0</v>
      </c>
      <c r="E97" s="100"/>
      <c r="F97" s="100">
        <v>0</v>
      </c>
      <c r="G97" s="100"/>
      <c r="H97" s="100">
        <v>0</v>
      </c>
      <c r="I97" s="100"/>
      <c r="J97" s="100">
        <v>0</v>
      </c>
      <c r="K97" s="100"/>
      <c r="L97" s="100">
        <v>0</v>
      </c>
      <c r="M97" s="100"/>
      <c r="N97" s="100">
        <f t="shared" si="1"/>
        <v>0</v>
      </c>
    </row>
    <row r="98" spans="1:14" ht="14.1" customHeight="1">
      <c r="A98" s="24" t="s">
        <v>255</v>
      </c>
      <c r="B98" s="100">
        <v>0</v>
      </c>
      <c r="C98" s="100"/>
      <c r="D98" s="100">
        <v>0</v>
      </c>
      <c r="E98" s="100"/>
      <c r="F98" s="100">
        <v>0</v>
      </c>
      <c r="G98" s="100"/>
      <c r="H98" s="100">
        <v>0</v>
      </c>
      <c r="I98" s="100"/>
      <c r="J98" s="100">
        <v>0</v>
      </c>
      <c r="K98" s="100"/>
      <c r="L98" s="100">
        <v>0</v>
      </c>
      <c r="M98" s="100"/>
      <c r="N98" s="100">
        <f t="shared" si="1"/>
        <v>0</v>
      </c>
    </row>
    <row r="99" spans="1:14" ht="14.1" customHeight="1">
      <c r="A99" s="24" t="s">
        <v>256</v>
      </c>
      <c r="B99" s="100">
        <v>0</v>
      </c>
      <c r="C99" s="100"/>
      <c r="D99" s="100">
        <v>0</v>
      </c>
      <c r="E99" s="100"/>
      <c r="F99" s="100">
        <v>0</v>
      </c>
      <c r="G99" s="100"/>
      <c r="H99" s="100">
        <v>0</v>
      </c>
      <c r="I99" s="100"/>
      <c r="J99" s="100">
        <v>0</v>
      </c>
      <c r="K99" s="100"/>
      <c r="L99" s="100">
        <v>0</v>
      </c>
      <c r="M99" s="100"/>
      <c r="N99" s="100">
        <f t="shared" si="1"/>
        <v>0</v>
      </c>
    </row>
    <row r="100" spans="1:14" ht="14.1" customHeight="1">
      <c r="A100" s="24" t="s">
        <v>257</v>
      </c>
      <c r="B100" s="100">
        <v>0</v>
      </c>
      <c r="C100" s="100"/>
      <c r="D100" s="100">
        <v>0</v>
      </c>
      <c r="E100" s="100"/>
      <c r="F100" s="100">
        <v>0</v>
      </c>
      <c r="G100" s="100"/>
      <c r="H100" s="100">
        <v>0</v>
      </c>
      <c r="I100" s="100"/>
      <c r="J100" s="100">
        <v>0</v>
      </c>
      <c r="K100" s="100"/>
      <c r="L100" s="100">
        <v>0</v>
      </c>
      <c r="M100" s="100"/>
      <c r="N100" s="100">
        <f t="shared" si="1"/>
        <v>0</v>
      </c>
    </row>
    <row r="101" spans="1:14" ht="14.1" customHeight="1">
      <c r="A101" s="24" t="s">
        <v>258</v>
      </c>
      <c r="B101" s="100">
        <v>0</v>
      </c>
      <c r="C101" s="100"/>
      <c r="D101" s="100">
        <v>0</v>
      </c>
      <c r="E101" s="100"/>
      <c r="F101" s="100">
        <v>0</v>
      </c>
      <c r="G101" s="100"/>
      <c r="H101" s="100">
        <v>0</v>
      </c>
      <c r="I101" s="100"/>
      <c r="J101" s="100">
        <v>0</v>
      </c>
      <c r="K101" s="100"/>
      <c r="L101" s="100">
        <v>0</v>
      </c>
      <c r="M101" s="100"/>
      <c r="N101" s="100">
        <f t="shared" si="1"/>
        <v>0</v>
      </c>
    </row>
    <row r="102" spans="1:14" ht="14.1" customHeight="1">
      <c r="A102" s="24" t="s">
        <v>263</v>
      </c>
      <c r="B102" s="100">
        <v>0</v>
      </c>
      <c r="C102" s="100"/>
      <c r="D102" s="100">
        <v>0</v>
      </c>
      <c r="E102" s="100"/>
      <c r="F102" s="100">
        <v>0</v>
      </c>
      <c r="G102" s="100"/>
      <c r="H102" s="100">
        <v>0</v>
      </c>
      <c r="I102" s="100"/>
      <c r="J102" s="100">
        <v>0</v>
      </c>
      <c r="K102" s="100"/>
      <c r="L102" s="100">
        <v>0</v>
      </c>
      <c r="M102" s="100"/>
      <c r="N102" s="100">
        <f t="shared" si="1"/>
        <v>0</v>
      </c>
    </row>
    <row r="103" spans="1:14" ht="14.1" customHeight="1">
      <c r="A103" s="24" t="s">
        <v>264</v>
      </c>
      <c r="B103" s="100">
        <v>0</v>
      </c>
      <c r="C103" s="100"/>
      <c r="D103" s="100">
        <v>0</v>
      </c>
      <c r="E103" s="100"/>
      <c r="F103" s="100">
        <v>0</v>
      </c>
      <c r="G103" s="100"/>
      <c r="H103" s="100">
        <v>0</v>
      </c>
      <c r="I103" s="100"/>
      <c r="J103" s="100">
        <v>0</v>
      </c>
      <c r="K103" s="100"/>
      <c r="L103" s="100">
        <v>0</v>
      </c>
      <c r="M103" s="100"/>
      <c r="N103" s="100">
        <f t="shared" si="1"/>
        <v>0</v>
      </c>
    </row>
    <row r="104" spans="1:14" ht="14.1" customHeight="1">
      <c r="A104" s="24" t="s">
        <v>265</v>
      </c>
      <c r="B104" s="100">
        <v>0</v>
      </c>
      <c r="C104" s="100"/>
      <c r="D104" s="100">
        <v>0</v>
      </c>
      <c r="E104" s="100"/>
      <c r="F104" s="100">
        <v>0</v>
      </c>
      <c r="G104" s="100"/>
      <c r="H104" s="100">
        <v>0</v>
      </c>
      <c r="I104" s="100"/>
      <c r="J104" s="100">
        <v>0</v>
      </c>
      <c r="K104" s="100"/>
      <c r="L104" s="100">
        <v>0</v>
      </c>
      <c r="M104" s="100"/>
      <c r="N104" s="100">
        <f t="shared" si="1"/>
        <v>0</v>
      </c>
    </row>
    <row r="105" spans="1:14" ht="14.1" customHeight="1">
      <c r="A105" s="24" t="s">
        <v>266</v>
      </c>
      <c r="B105" s="100">
        <v>0</v>
      </c>
      <c r="C105" s="100"/>
      <c r="D105" s="100">
        <v>0</v>
      </c>
      <c r="E105" s="100"/>
      <c r="F105" s="100">
        <v>0</v>
      </c>
      <c r="G105" s="100"/>
      <c r="H105" s="100">
        <v>0</v>
      </c>
      <c r="I105" s="100"/>
      <c r="J105" s="100">
        <f>'Sch 2 - Forecast Exp'!D55</f>
        <v>148450.03825447749</v>
      </c>
      <c r="K105" s="100"/>
      <c r="L105" s="100">
        <v>0</v>
      </c>
      <c r="M105" s="100"/>
      <c r="N105" s="100">
        <f t="shared" si="1"/>
        <v>148450.03825447749</v>
      </c>
    </row>
    <row r="106" spans="1:14" ht="14.1" customHeight="1">
      <c r="A106" s="24" t="s">
        <v>560</v>
      </c>
      <c r="B106" s="100">
        <v>0</v>
      </c>
      <c r="C106" s="100"/>
      <c r="D106" s="100">
        <f>'Sch 2 - Forecast Exp'!D33</f>
        <v>6268.333333333333</v>
      </c>
      <c r="E106" s="100"/>
      <c r="F106" s="100">
        <v>0</v>
      </c>
      <c r="G106" s="100"/>
      <c r="H106" s="100">
        <v>0</v>
      </c>
      <c r="I106" s="100"/>
      <c r="J106" s="100">
        <v>0</v>
      </c>
      <c r="K106" s="100"/>
      <c r="L106" s="100">
        <v>0</v>
      </c>
      <c r="M106" s="100"/>
      <c r="N106" s="119">
        <f t="shared" si="1"/>
        <v>6268.333333333333</v>
      </c>
    </row>
    <row r="107" spans="1:14" ht="14.1" customHeight="1">
      <c r="A107" s="93"/>
      <c r="B107" s="104">
        <f>SUM(B41:B106)</f>
        <v>-68272.549588978261</v>
      </c>
      <c r="C107" s="99"/>
      <c r="D107" s="104">
        <f>SUM(D41:D106)</f>
        <v>6268.333333333333</v>
      </c>
      <c r="E107" s="99"/>
      <c r="F107" s="104">
        <f>SUM(F41:F106)</f>
        <v>-13352.042065729471</v>
      </c>
      <c r="G107" s="99"/>
      <c r="H107" s="104">
        <f>SUM(H41:H106)</f>
        <v>250047.92000000016</v>
      </c>
      <c r="I107" s="100"/>
      <c r="J107" s="104">
        <f>SUM(J41:J106)</f>
        <v>148450.03825447749</v>
      </c>
      <c r="K107" s="100"/>
      <c r="L107" s="104">
        <f>SUM(L41:L106)</f>
        <v>0</v>
      </c>
      <c r="M107" s="100"/>
      <c r="N107" s="320">
        <f t="shared" si="1"/>
        <v>323141.69993310329</v>
      </c>
    </row>
    <row r="108" spans="1:14" ht="14.1" customHeight="1">
      <c r="A108" s="93"/>
      <c r="B108" s="100"/>
      <c r="C108" s="100"/>
      <c r="D108" s="100"/>
      <c r="E108" s="100"/>
      <c r="F108" s="100"/>
      <c r="G108" s="100"/>
      <c r="H108" s="100"/>
      <c r="I108" s="100"/>
      <c r="J108" s="100"/>
      <c r="K108" s="100"/>
      <c r="L108" s="100"/>
      <c r="M108" s="100"/>
      <c r="N108" s="100">
        <f t="shared" si="1"/>
        <v>0</v>
      </c>
    </row>
    <row r="109" spans="1:14" ht="14.1" customHeight="1" thickBot="1">
      <c r="A109" s="93" t="s">
        <v>39</v>
      </c>
      <c r="B109" s="105">
        <f>+B38-B107</f>
        <v>68272.549588978261</v>
      </c>
      <c r="C109" s="100"/>
      <c r="D109" s="105">
        <f>+D38-D107</f>
        <v>-6268.333333333333</v>
      </c>
      <c r="E109" s="100"/>
      <c r="F109" s="105">
        <f>+F38-F107</f>
        <v>13352.042065729471</v>
      </c>
      <c r="G109" s="100"/>
      <c r="H109" s="105">
        <f>+H38-H107</f>
        <v>-162786.02050933795</v>
      </c>
      <c r="I109" s="99"/>
      <c r="J109" s="105">
        <f>+J38-J107</f>
        <v>-148450.03825447749</v>
      </c>
      <c r="K109" s="99"/>
      <c r="L109" s="105">
        <f>+L38-L107</f>
        <v>128660.94</v>
      </c>
      <c r="M109" s="99"/>
      <c r="N109" s="105">
        <f t="shared" si="1"/>
        <v>-107218.86044244104</v>
      </c>
    </row>
    <row r="110" spans="1:14" ht="15" customHeight="1" thickTop="1">
      <c r="A110" s="93"/>
      <c r="B110" s="93"/>
      <c r="C110" s="93"/>
      <c r="D110" s="93"/>
      <c r="E110" s="93"/>
      <c r="F110" s="93"/>
      <c r="G110" s="93"/>
      <c r="H110" s="93"/>
      <c r="I110" s="93"/>
      <c r="J110" s="93"/>
      <c r="K110" s="93"/>
      <c r="L110" s="93"/>
      <c r="M110" s="93"/>
      <c r="N110" s="93"/>
    </row>
    <row r="111" spans="1:14" ht="15" customHeight="1">
      <c r="A111" s="93"/>
      <c r="B111" s="93"/>
      <c r="C111" s="93"/>
      <c r="D111" s="93"/>
      <c r="E111" s="93"/>
      <c r="F111" s="93"/>
      <c r="G111" s="93"/>
      <c r="H111" s="93"/>
      <c r="I111" s="93"/>
      <c r="J111" s="93"/>
      <c r="K111" s="93"/>
      <c r="L111" s="93"/>
      <c r="M111" s="93"/>
      <c r="N111" s="93"/>
    </row>
    <row r="112" spans="1:14" ht="15" customHeight="1">
      <c r="A112" s="93"/>
      <c r="B112" s="93"/>
      <c r="C112" s="93"/>
      <c r="D112" s="93"/>
      <c r="E112" s="93"/>
      <c r="F112" s="93"/>
      <c r="G112" s="93"/>
      <c r="H112" s="93"/>
      <c r="I112" s="93"/>
      <c r="J112" s="93"/>
      <c r="K112" s="93"/>
      <c r="L112" s="93"/>
      <c r="M112" s="93"/>
      <c r="N112" s="93"/>
    </row>
    <row r="113" spans="1:14" ht="15" customHeight="1">
      <c r="A113" s="93"/>
      <c r="B113" s="93"/>
      <c r="C113" s="93"/>
      <c r="D113" s="93"/>
      <c r="E113" s="93"/>
      <c r="F113" s="93"/>
      <c r="G113" s="93"/>
      <c r="H113" s="93"/>
      <c r="I113" s="93"/>
      <c r="J113" s="93"/>
      <c r="K113" s="93"/>
      <c r="L113" s="93"/>
      <c r="M113" s="93"/>
      <c r="N113" s="93"/>
    </row>
    <row r="114" spans="1:14" ht="15" customHeight="1">
      <c r="A114" s="93"/>
      <c r="B114" s="93"/>
      <c r="C114" s="93"/>
      <c r="D114" s="93"/>
      <c r="E114" s="93"/>
      <c r="F114" s="93"/>
      <c r="G114" s="93"/>
      <c r="H114" s="93"/>
      <c r="I114" s="93"/>
      <c r="J114" s="93"/>
      <c r="K114" s="93"/>
      <c r="L114" s="93"/>
      <c r="M114" s="93"/>
      <c r="N114" s="93"/>
    </row>
    <row r="115" spans="1:14" ht="15" customHeight="1">
      <c r="A115" s="93"/>
      <c r="B115" s="93"/>
      <c r="C115" s="93"/>
      <c r="D115" s="93"/>
      <c r="E115" s="93"/>
      <c r="F115" s="93"/>
      <c r="G115" s="93"/>
      <c r="H115" s="93"/>
      <c r="I115" s="93"/>
      <c r="J115" s="93"/>
      <c r="K115" s="93"/>
      <c r="L115" s="93"/>
      <c r="M115" s="93"/>
      <c r="N115" s="93"/>
    </row>
    <row r="116" spans="1:14" ht="15" customHeight="1">
      <c r="A116" s="93"/>
      <c r="B116" s="93"/>
      <c r="C116" s="93"/>
      <c r="D116" s="93"/>
      <c r="E116" s="93"/>
      <c r="F116" s="93"/>
      <c r="G116" s="93"/>
      <c r="H116" s="93"/>
      <c r="I116" s="93"/>
      <c r="J116" s="93"/>
      <c r="K116" s="93"/>
      <c r="L116" s="93"/>
      <c r="M116" s="93"/>
      <c r="N116" s="93"/>
    </row>
    <row r="117" spans="1:14" ht="15" customHeight="1">
      <c r="A117" s="93"/>
      <c r="B117" s="93"/>
      <c r="C117" s="93"/>
      <c r="D117" s="93"/>
      <c r="E117" s="93"/>
      <c r="F117" s="93"/>
      <c r="G117" s="93"/>
      <c r="H117" s="93"/>
      <c r="I117" s="93"/>
      <c r="J117" s="93"/>
      <c r="K117" s="93"/>
      <c r="L117" s="93"/>
      <c r="M117" s="93"/>
      <c r="N117" s="93"/>
    </row>
    <row r="118" spans="1:14" ht="15" customHeight="1">
      <c r="A118" s="93"/>
      <c r="B118" s="93"/>
      <c r="C118" s="93"/>
      <c r="D118" s="93"/>
      <c r="E118" s="93"/>
      <c r="F118" s="93"/>
      <c r="G118" s="93"/>
      <c r="H118" s="93"/>
      <c r="I118" s="93"/>
      <c r="J118" s="93"/>
      <c r="K118" s="93"/>
      <c r="L118" s="93"/>
      <c r="M118" s="93"/>
      <c r="N118" s="93"/>
    </row>
    <row r="119" spans="1:14" ht="15" customHeight="1">
      <c r="A119" s="93"/>
      <c r="B119" s="93"/>
      <c r="C119" s="93"/>
      <c r="D119" s="93"/>
      <c r="E119" s="93"/>
      <c r="F119" s="93"/>
      <c r="G119" s="93"/>
      <c r="H119" s="93"/>
      <c r="I119" s="93"/>
      <c r="J119" s="93"/>
      <c r="K119" s="93"/>
      <c r="L119" s="93"/>
      <c r="M119" s="93"/>
      <c r="N119" s="93"/>
    </row>
    <row r="120" spans="1:14" ht="15" customHeight="1">
      <c r="A120" s="93"/>
      <c r="B120" s="93"/>
      <c r="C120" s="93"/>
      <c r="D120" s="93"/>
      <c r="E120" s="93"/>
      <c r="F120" s="93"/>
      <c r="G120" s="93"/>
      <c r="H120" s="93"/>
      <c r="I120" s="93"/>
      <c r="J120" s="93"/>
      <c r="K120" s="93"/>
      <c r="L120" s="93"/>
      <c r="M120" s="93"/>
      <c r="N120" s="93"/>
    </row>
    <row r="121" spans="1:14" ht="15" customHeight="1">
      <c r="A121" s="93"/>
      <c r="B121" s="93"/>
      <c r="C121" s="93"/>
      <c r="D121" s="93"/>
      <c r="E121" s="93"/>
      <c r="F121" s="93"/>
      <c r="G121" s="93"/>
      <c r="H121" s="93"/>
      <c r="I121" s="93"/>
      <c r="J121" s="93"/>
      <c r="K121" s="93"/>
      <c r="L121" s="93"/>
      <c r="M121" s="93"/>
      <c r="N121" s="93"/>
    </row>
    <row r="122" spans="1:14" ht="15" customHeight="1">
      <c r="A122" s="93"/>
      <c r="B122" s="93"/>
      <c r="C122" s="93"/>
      <c r="D122" s="93"/>
      <c r="E122" s="93"/>
      <c r="F122" s="93"/>
      <c r="G122" s="93"/>
      <c r="H122" s="93"/>
      <c r="I122" s="93"/>
      <c r="J122" s="93"/>
      <c r="K122" s="93"/>
      <c r="L122" s="93"/>
      <c r="M122" s="93"/>
      <c r="N122" s="93"/>
    </row>
    <row r="123" spans="1:14" ht="15" customHeight="1">
      <c r="A123" s="93"/>
      <c r="B123" s="93"/>
      <c r="C123" s="93"/>
      <c r="D123" s="93"/>
      <c r="E123" s="93"/>
      <c r="F123" s="93"/>
      <c r="G123" s="93"/>
      <c r="H123" s="93"/>
      <c r="I123" s="93"/>
      <c r="J123" s="93"/>
      <c r="K123" s="93"/>
      <c r="L123" s="93"/>
      <c r="M123" s="93"/>
      <c r="N123" s="93"/>
    </row>
    <row r="124" spans="1:14">
      <c r="A124" s="93"/>
      <c r="B124" s="93"/>
      <c r="C124" s="93"/>
      <c r="D124" s="93"/>
      <c r="E124" s="93"/>
      <c r="F124" s="93"/>
      <c r="G124" s="93"/>
      <c r="H124" s="93"/>
      <c r="I124" s="93"/>
      <c r="J124" s="93"/>
      <c r="K124" s="93"/>
      <c r="L124" s="93"/>
      <c r="M124" s="93"/>
      <c r="N124" s="93"/>
    </row>
    <row r="125" spans="1:14">
      <c r="A125" s="93"/>
      <c r="B125" s="93"/>
      <c r="C125" s="93"/>
      <c r="D125" s="93"/>
      <c r="E125" s="93"/>
      <c r="F125" s="93"/>
      <c r="G125" s="93"/>
      <c r="H125" s="93"/>
      <c r="I125" s="93"/>
      <c r="J125" s="93"/>
      <c r="K125" s="93"/>
      <c r="L125" s="93"/>
      <c r="M125" s="93"/>
      <c r="N125" s="93"/>
    </row>
    <row r="126" spans="1:14">
      <c r="A126" s="93"/>
      <c r="B126" s="93"/>
      <c r="C126" s="93"/>
      <c r="D126" s="93"/>
      <c r="E126" s="93"/>
      <c r="F126" s="93"/>
      <c r="G126" s="93"/>
      <c r="H126" s="93"/>
      <c r="I126" s="93"/>
      <c r="J126" s="93"/>
      <c r="K126" s="93"/>
      <c r="L126" s="93"/>
      <c r="M126" s="93"/>
      <c r="N126" s="93"/>
    </row>
    <row r="127" spans="1:14">
      <c r="A127" s="93"/>
      <c r="B127" s="93"/>
      <c r="C127" s="93"/>
      <c r="D127" s="93"/>
      <c r="E127" s="93"/>
      <c r="F127" s="93"/>
      <c r="G127" s="93"/>
      <c r="H127" s="93"/>
      <c r="I127" s="93"/>
      <c r="J127" s="93"/>
      <c r="K127" s="93"/>
      <c r="L127" s="93"/>
      <c r="M127" s="93"/>
      <c r="N127" s="93"/>
    </row>
    <row r="128" spans="1:14">
      <c r="A128" s="93"/>
      <c r="B128" s="93"/>
      <c r="C128" s="93"/>
      <c r="D128" s="93"/>
      <c r="E128" s="93"/>
      <c r="F128" s="93"/>
      <c r="G128" s="93"/>
      <c r="H128" s="93"/>
      <c r="I128" s="93"/>
      <c r="J128" s="93"/>
      <c r="K128" s="93"/>
      <c r="L128" s="93"/>
      <c r="M128" s="93"/>
      <c r="N128" s="93"/>
    </row>
    <row r="129" spans="1:14">
      <c r="A129" s="93"/>
      <c r="B129" s="93"/>
      <c r="C129" s="93"/>
      <c r="D129" s="93"/>
      <c r="E129" s="93"/>
      <c r="F129" s="93"/>
      <c r="G129" s="93"/>
      <c r="H129" s="93"/>
      <c r="I129" s="93"/>
      <c r="J129" s="93"/>
      <c r="K129" s="93"/>
      <c r="L129" s="93"/>
      <c r="M129" s="93"/>
      <c r="N129" s="93"/>
    </row>
    <row r="130" spans="1:14">
      <c r="A130" s="93"/>
      <c r="B130" s="93"/>
      <c r="C130" s="93"/>
      <c r="D130" s="93"/>
      <c r="E130" s="93"/>
      <c r="F130" s="93"/>
      <c r="G130" s="93"/>
      <c r="H130" s="93"/>
      <c r="I130" s="93"/>
      <c r="J130" s="93"/>
      <c r="K130" s="93"/>
      <c r="L130" s="93"/>
      <c r="M130" s="93"/>
      <c r="N130" s="93"/>
    </row>
    <row r="131" spans="1:14">
      <c r="A131" s="93"/>
      <c r="B131" s="93"/>
      <c r="C131" s="93"/>
      <c r="D131" s="93"/>
      <c r="E131" s="93"/>
      <c r="F131" s="93"/>
      <c r="G131" s="93"/>
      <c r="H131" s="93"/>
      <c r="I131" s="93"/>
      <c r="J131" s="93"/>
      <c r="K131" s="93"/>
      <c r="L131" s="93"/>
      <c r="M131" s="93"/>
      <c r="N131" s="93"/>
    </row>
    <row r="132" spans="1:14">
      <c r="A132" s="93"/>
      <c r="B132" s="93"/>
      <c r="C132" s="93"/>
      <c r="D132" s="93"/>
      <c r="E132" s="93"/>
      <c r="F132" s="93"/>
      <c r="G132" s="93"/>
      <c r="H132" s="93"/>
      <c r="I132" s="93"/>
      <c r="J132" s="93"/>
      <c r="K132" s="93"/>
      <c r="L132" s="93"/>
      <c r="M132" s="93"/>
      <c r="N132" s="93"/>
    </row>
    <row r="133" spans="1:14">
      <c r="A133" s="93"/>
      <c r="B133" s="93"/>
      <c r="C133" s="93"/>
      <c r="D133" s="93"/>
      <c r="E133" s="93"/>
      <c r="F133" s="93"/>
      <c r="G133" s="93"/>
      <c r="H133" s="93"/>
      <c r="I133" s="93"/>
      <c r="J133" s="93"/>
      <c r="K133" s="93"/>
      <c r="L133" s="93"/>
      <c r="M133" s="93"/>
      <c r="N133" s="93"/>
    </row>
    <row r="134" spans="1:14">
      <c r="A134" s="93"/>
      <c r="B134" s="93"/>
      <c r="C134" s="93"/>
      <c r="D134" s="93"/>
      <c r="E134" s="93"/>
      <c r="F134" s="93"/>
      <c r="G134" s="93"/>
      <c r="H134" s="93"/>
      <c r="I134" s="93"/>
      <c r="J134" s="93"/>
      <c r="K134" s="93"/>
      <c r="L134" s="93"/>
      <c r="M134" s="93"/>
      <c r="N134" s="93"/>
    </row>
    <row r="135" spans="1:14">
      <c r="A135" s="93"/>
      <c r="B135" s="93"/>
      <c r="C135" s="93"/>
      <c r="D135" s="93"/>
      <c r="E135" s="93"/>
      <c r="F135" s="93"/>
      <c r="G135" s="93"/>
      <c r="H135" s="93"/>
      <c r="I135" s="93"/>
      <c r="J135" s="93"/>
      <c r="K135" s="93"/>
      <c r="L135" s="93"/>
      <c r="M135" s="93"/>
      <c r="N135" s="93"/>
    </row>
    <row r="136" spans="1:14">
      <c r="A136" s="93"/>
      <c r="B136" s="93"/>
      <c r="C136" s="93"/>
      <c r="D136" s="93"/>
      <c r="E136" s="93"/>
      <c r="F136" s="93"/>
      <c r="G136" s="93"/>
      <c r="H136" s="93"/>
      <c r="I136" s="93"/>
      <c r="J136" s="93"/>
      <c r="K136" s="93"/>
      <c r="L136" s="93"/>
      <c r="M136" s="93"/>
      <c r="N136" s="93"/>
    </row>
    <row r="137" spans="1:14">
      <c r="A137" s="93"/>
      <c r="B137" s="93"/>
      <c r="C137" s="93"/>
      <c r="D137" s="93"/>
      <c r="E137" s="93"/>
      <c r="F137" s="93"/>
      <c r="G137" s="93"/>
      <c r="H137" s="93"/>
      <c r="I137" s="93"/>
      <c r="J137" s="93"/>
      <c r="K137" s="93"/>
      <c r="L137" s="93"/>
      <c r="M137" s="93"/>
      <c r="N137" s="93"/>
    </row>
    <row r="138" spans="1:14">
      <c r="A138" s="93"/>
      <c r="B138" s="93"/>
      <c r="C138" s="93"/>
      <c r="D138" s="93"/>
      <c r="E138" s="93"/>
      <c r="F138" s="93"/>
      <c r="G138" s="93"/>
      <c r="H138" s="93"/>
      <c r="I138" s="93"/>
      <c r="J138" s="93"/>
      <c r="K138" s="93"/>
      <c r="L138" s="93"/>
      <c r="M138" s="93"/>
      <c r="N138" s="93"/>
    </row>
    <row r="139" spans="1:14">
      <c r="A139" s="93"/>
      <c r="B139" s="93"/>
      <c r="C139" s="93"/>
      <c r="D139" s="93"/>
      <c r="E139" s="93"/>
      <c r="F139" s="93"/>
      <c r="G139" s="93"/>
      <c r="H139" s="93"/>
      <c r="I139" s="93"/>
      <c r="J139" s="93"/>
      <c r="K139" s="93"/>
      <c r="L139" s="93"/>
      <c r="M139" s="93"/>
      <c r="N139" s="93"/>
    </row>
    <row r="140" spans="1:14">
      <c r="A140" s="93"/>
      <c r="B140" s="93"/>
      <c r="C140" s="93"/>
      <c r="D140" s="93"/>
      <c r="E140" s="93"/>
      <c r="F140" s="93"/>
      <c r="G140" s="93"/>
      <c r="H140" s="93"/>
      <c r="I140" s="93"/>
      <c r="J140" s="93"/>
      <c r="K140" s="93"/>
      <c r="L140" s="93"/>
      <c r="M140" s="93"/>
      <c r="N140" s="93"/>
    </row>
    <row r="141" spans="1:14">
      <c r="A141" s="93"/>
      <c r="B141" s="93"/>
      <c r="C141" s="93"/>
      <c r="D141" s="93"/>
      <c r="E141" s="93"/>
      <c r="F141" s="93"/>
      <c r="G141" s="93"/>
      <c r="H141" s="93"/>
      <c r="I141" s="93"/>
      <c r="J141" s="93"/>
      <c r="K141" s="93"/>
      <c r="L141" s="93"/>
      <c r="M141" s="93"/>
      <c r="N141" s="93"/>
    </row>
    <row r="142" spans="1:14">
      <c r="A142" s="93"/>
      <c r="B142" s="93"/>
      <c r="C142" s="93"/>
      <c r="D142" s="93"/>
      <c r="E142" s="93"/>
      <c r="F142" s="93"/>
      <c r="G142" s="93"/>
      <c r="H142" s="93"/>
      <c r="I142" s="93"/>
      <c r="J142" s="93"/>
      <c r="K142" s="93"/>
      <c r="L142" s="93"/>
      <c r="M142" s="93"/>
      <c r="N142" s="93"/>
    </row>
    <row r="143" spans="1:14">
      <c r="A143" s="93"/>
      <c r="B143" s="93"/>
      <c r="C143" s="93"/>
      <c r="D143" s="93"/>
      <c r="E143" s="93"/>
      <c r="F143" s="93"/>
      <c r="G143" s="93"/>
      <c r="H143" s="93"/>
      <c r="I143" s="93"/>
      <c r="J143" s="93"/>
      <c r="K143" s="93"/>
      <c r="L143" s="93"/>
      <c r="M143" s="93"/>
      <c r="N143" s="93"/>
    </row>
    <row r="144" spans="1:14">
      <c r="A144" s="93"/>
      <c r="B144" s="93"/>
      <c r="C144" s="93"/>
      <c r="D144" s="93"/>
      <c r="E144" s="93"/>
      <c r="F144" s="93"/>
      <c r="G144" s="93"/>
      <c r="H144" s="93"/>
      <c r="I144" s="93"/>
      <c r="J144" s="93"/>
      <c r="K144" s="93"/>
      <c r="L144" s="93"/>
      <c r="M144" s="93"/>
      <c r="N144" s="93"/>
    </row>
    <row r="145" spans="1:14">
      <c r="A145" s="93"/>
      <c r="B145" s="93"/>
      <c r="C145" s="93"/>
      <c r="D145" s="93"/>
      <c r="E145" s="93"/>
      <c r="F145" s="93"/>
      <c r="G145" s="93"/>
      <c r="H145" s="93"/>
      <c r="I145" s="93"/>
      <c r="J145" s="93"/>
      <c r="K145" s="93"/>
      <c r="L145" s="93"/>
      <c r="M145" s="93"/>
      <c r="N145" s="93"/>
    </row>
    <row r="146" spans="1:14">
      <c r="A146" s="93"/>
      <c r="B146" s="93"/>
      <c r="C146" s="93"/>
      <c r="D146" s="93"/>
      <c r="E146" s="93"/>
      <c r="F146" s="93"/>
      <c r="G146" s="93"/>
      <c r="H146" s="93"/>
      <c r="I146" s="93"/>
      <c r="J146" s="93"/>
      <c r="K146" s="93"/>
      <c r="L146" s="93"/>
      <c r="M146" s="93"/>
      <c r="N146" s="93"/>
    </row>
    <row r="147" spans="1:14">
      <c r="A147" s="93"/>
      <c r="B147" s="93"/>
      <c r="C147" s="93"/>
      <c r="D147" s="93"/>
      <c r="E147" s="93"/>
      <c r="F147" s="93"/>
      <c r="G147" s="93"/>
      <c r="H147" s="93"/>
      <c r="I147" s="93"/>
      <c r="J147" s="93"/>
      <c r="K147" s="93"/>
      <c r="L147" s="93"/>
      <c r="M147" s="93"/>
      <c r="N147" s="93"/>
    </row>
    <row r="148" spans="1:14">
      <c r="A148" s="93"/>
      <c r="B148" s="93"/>
      <c r="C148" s="93"/>
      <c r="D148" s="93"/>
      <c r="E148" s="93"/>
      <c r="F148" s="93"/>
      <c r="G148" s="93"/>
      <c r="H148" s="93"/>
      <c r="I148" s="93"/>
      <c r="J148" s="93"/>
      <c r="K148" s="93"/>
      <c r="L148" s="93"/>
      <c r="M148" s="93"/>
      <c r="N148" s="93"/>
    </row>
    <row r="149" spans="1:14">
      <c r="A149" s="93"/>
      <c r="B149" s="93"/>
      <c r="C149" s="93"/>
      <c r="D149" s="93"/>
      <c r="E149" s="93"/>
      <c r="F149" s="93"/>
      <c r="G149" s="93"/>
      <c r="H149" s="93"/>
      <c r="I149" s="93"/>
      <c r="J149" s="93"/>
      <c r="K149" s="93"/>
      <c r="L149" s="93"/>
      <c r="M149" s="93"/>
      <c r="N149" s="93"/>
    </row>
    <row r="150" spans="1:14">
      <c r="A150" s="93"/>
      <c r="B150" s="93"/>
      <c r="C150" s="93"/>
      <c r="D150" s="93"/>
      <c r="E150" s="93"/>
      <c r="F150" s="93"/>
      <c r="G150" s="93"/>
      <c r="H150" s="93"/>
      <c r="I150" s="93"/>
      <c r="J150" s="93"/>
      <c r="K150" s="93"/>
      <c r="L150" s="93"/>
      <c r="M150" s="93"/>
      <c r="N150" s="93"/>
    </row>
    <row r="151" spans="1:14">
      <c r="A151" s="93"/>
      <c r="B151" s="93"/>
      <c r="C151" s="93"/>
      <c r="D151" s="93"/>
      <c r="E151" s="93"/>
      <c r="F151" s="93"/>
      <c r="G151" s="93"/>
      <c r="H151" s="93"/>
      <c r="I151" s="93"/>
      <c r="J151" s="93"/>
      <c r="K151" s="93"/>
      <c r="L151" s="93"/>
      <c r="M151" s="93"/>
      <c r="N151" s="93"/>
    </row>
    <row r="152" spans="1:14">
      <c r="A152" s="93"/>
      <c r="B152" s="93"/>
      <c r="C152" s="93"/>
      <c r="D152" s="93"/>
      <c r="E152" s="93"/>
      <c r="F152" s="93"/>
      <c r="G152" s="93"/>
      <c r="H152" s="93"/>
      <c r="I152" s="93"/>
      <c r="J152" s="93"/>
      <c r="K152" s="93"/>
      <c r="L152" s="93"/>
      <c r="M152" s="93"/>
      <c r="N152" s="93"/>
    </row>
    <row r="153" spans="1:14">
      <c r="A153" s="93"/>
      <c r="B153" s="93"/>
      <c r="C153" s="93"/>
      <c r="D153" s="93"/>
      <c r="E153" s="93"/>
      <c r="F153" s="93"/>
      <c r="G153" s="93"/>
      <c r="H153" s="93"/>
      <c r="I153" s="93"/>
      <c r="J153" s="93"/>
      <c r="K153" s="93"/>
      <c r="L153" s="93"/>
      <c r="M153" s="93"/>
      <c r="N153" s="93"/>
    </row>
    <row r="154" spans="1:14">
      <c r="A154" s="93"/>
      <c r="B154" s="93"/>
      <c r="C154" s="93"/>
      <c r="D154" s="93"/>
      <c r="E154" s="93"/>
      <c r="F154" s="93"/>
      <c r="G154" s="93"/>
      <c r="H154" s="93"/>
      <c r="I154" s="93"/>
      <c r="J154" s="93"/>
      <c r="K154" s="93"/>
      <c r="L154" s="93"/>
      <c r="M154" s="93"/>
      <c r="N154" s="93"/>
    </row>
    <row r="155" spans="1:14">
      <c r="A155" s="93"/>
      <c r="B155" s="93"/>
      <c r="C155" s="93"/>
      <c r="D155" s="93"/>
      <c r="E155" s="93"/>
      <c r="F155" s="93"/>
      <c r="G155" s="93"/>
      <c r="H155" s="93"/>
      <c r="I155" s="93"/>
      <c r="J155" s="93"/>
      <c r="K155" s="93"/>
      <c r="L155" s="93"/>
      <c r="M155" s="93"/>
      <c r="N155" s="93"/>
    </row>
    <row r="156" spans="1:14">
      <c r="A156" s="93"/>
      <c r="B156" s="93"/>
      <c r="C156" s="93"/>
      <c r="D156" s="93"/>
      <c r="E156" s="93"/>
      <c r="F156" s="93"/>
      <c r="G156" s="93"/>
      <c r="H156" s="93"/>
      <c r="I156" s="93"/>
      <c r="J156" s="93"/>
      <c r="K156" s="93"/>
      <c r="L156" s="93"/>
      <c r="M156" s="93"/>
      <c r="N156" s="93"/>
    </row>
    <row r="157" spans="1:14">
      <c r="A157" s="93"/>
      <c r="B157" s="93"/>
      <c r="C157" s="93"/>
      <c r="D157" s="93"/>
      <c r="E157" s="93"/>
      <c r="F157" s="93"/>
      <c r="G157" s="93"/>
      <c r="H157" s="93"/>
      <c r="I157" s="93"/>
      <c r="J157" s="93"/>
      <c r="K157" s="93"/>
      <c r="L157" s="93"/>
      <c r="M157" s="93"/>
      <c r="N157" s="93"/>
    </row>
    <row r="158" spans="1:14">
      <c r="A158" s="93"/>
      <c r="B158" s="93"/>
      <c r="C158" s="93"/>
      <c r="D158" s="93"/>
      <c r="E158" s="93"/>
      <c r="F158" s="93"/>
      <c r="G158" s="93"/>
      <c r="H158" s="93"/>
      <c r="I158" s="93"/>
      <c r="J158" s="93"/>
      <c r="K158" s="93"/>
      <c r="L158" s="93"/>
      <c r="M158" s="93"/>
      <c r="N158" s="93"/>
    </row>
    <row r="159" spans="1:14">
      <c r="A159" s="93"/>
      <c r="B159" s="93"/>
      <c r="C159" s="93"/>
      <c r="D159" s="93"/>
      <c r="E159" s="93"/>
      <c r="F159" s="93"/>
      <c r="G159" s="93"/>
      <c r="H159" s="93"/>
      <c r="I159" s="93"/>
      <c r="J159" s="93"/>
      <c r="K159" s="93"/>
      <c r="L159" s="93"/>
      <c r="M159" s="93"/>
      <c r="N159" s="93"/>
    </row>
    <row r="160" spans="1:14">
      <c r="A160" s="93"/>
      <c r="B160" s="93"/>
      <c r="C160" s="93"/>
      <c r="D160" s="93"/>
      <c r="E160" s="93"/>
      <c r="F160" s="93"/>
      <c r="G160" s="93"/>
      <c r="H160" s="93"/>
      <c r="I160" s="93"/>
      <c r="J160" s="93"/>
      <c r="K160" s="93"/>
      <c r="L160" s="93"/>
      <c r="M160" s="93"/>
      <c r="N160" s="93"/>
    </row>
    <row r="161" spans="1:14">
      <c r="A161" s="93"/>
      <c r="B161" s="93"/>
      <c r="C161" s="93"/>
      <c r="D161" s="93"/>
      <c r="E161" s="93"/>
      <c r="F161" s="93"/>
      <c r="G161" s="93"/>
      <c r="H161" s="93"/>
      <c r="I161" s="93"/>
      <c r="J161" s="93"/>
      <c r="K161" s="93"/>
      <c r="L161" s="93"/>
      <c r="M161" s="93"/>
      <c r="N161" s="93"/>
    </row>
    <row r="162" spans="1:14">
      <c r="A162" s="93"/>
      <c r="B162" s="93"/>
      <c r="C162" s="93"/>
      <c r="D162" s="93"/>
      <c r="E162" s="93"/>
      <c r="F162" s="93"/>
      <c r="G162" s="93"/>
      <c r="H162" s="93"/>
      <c r="I162" s="93"/>
      <c r="J162" s="93"/>
      <c r="K162" s="93"/>
      <c r="L162" s="93"/>
      <c r="M162" s="93"/>
      <c r="N162" s="93"/>
    </row>
    <row r="163" spans="1:14">
      <c r="A163" s="93"/>
      <c r="B163" s="93"/>
      <c r="C163" s="93"/>
      <c r="D163" s="93"/>
      <c r="E163" s="93"/>
      <c r="F163" s="93"/>
      <c r="G163" s="93"/>
      <c r="H163" s="93"/>
      <c r="I163" s="93"/>
      <c r="J163" s="93"/>
      <c r="K163" s="93"/>
      <c r="L163" s="93"/>
      <c r="M163" s="93"/>
      <c r="N163" s="93"/>
    </row>
    <row r="164" spans="1:14">
      <c r="A164" s="93"/>
      <c r="B164" s="93"/>
      <c r="C164" s="93"/>
      <c r="D164" s="93"/>
      <c r="E164" s="93"/>
      <c r="F164" s="93"/>
      <c r="G164" s="93"/>
      <c r="H164" s="93"/>
      <c r="I164" s="93"/>
      <c r="J164" s="93"/>
      <c r="K164" s="93"/>
      <c r="L164" s="93"/>
      <c r="M164" s="93"/>
      <c r="N164" s="93"/>
    </row>
    <row r="165" spans="1:14">
      <c r="A165" s="93"/>
      <c r="B165" s="93"/>
      <c r="C165" s="93"/>
      <c r="D165" s="93"/>
      <c r="E165" s="93"/>
      <c r="F165" s="93"/>
      <c r="G165" s="93"/>
      <c r="H165" s="93"/>
      <c r="I165" s="93"/>
      <c r="J165" s="93"/>
      <c r="K165" s="93"/>
      <c r="L165" s="93"/>
      <c r="M165" s="93"/>
      <c r="N165" s="93"/>
    </row>
    <row r="166" spans="1:14">
      <c r="A166" s="93"/>
      <c r="B166" s="93"/>
      <c r="C166" s="93"/>
      <c r="D166" s="93"/>
      <c r="E166" s="93"/>
      <c r="F166" s="93"/>
      <c r="G166" s="93"/>
      <c r="H166" s="93"/>
      <c r="I166" s="93"/>
      <c r="J166" s="93"/>
      <c r="K166" s="93"/>
      <c r="L166" s="93"/>
      <c r="M166" s="93"/>
      <c r="N166" s="93"/>
    </row>
    <row r="167" spans="1:14">
      <c r="A167" s="93"/>
      <c r="B167" s="93"/>
      <c r="C167" s="93"/>
      <c r="D167" s="93"/>
      <c r="E167" s="93"/>
      <c r="F167" s="93"/>
      <c r="G167" s="93"/>
      <c r="H167" s="93"/>
      <c r="I167" s="93"/>
      <c r="J167" s="93"/>
      <c r="K167" s="93"/>
      <c r="L167" s="93"/>
      <c r="M167" s="93"/>
      <c r="N167" s="93"/>
    </row>
    <row r="168" spans="1:14">
      <c r="A168" s="93"/>
      <c r="B168" s="93"/>
      <c r="C168" s="93"/>
      <c r="D168" s="93"/>
      <c r="E168" s="93"/>
      <c r="F168" s="93"/>
      <c r="G168" s="93"/>
      <c r="H168" s="93"/>
      <c r="I168" s="93"/>
      <c r="J168" s="93"/>
      <c r="K168" s="93"/>
      <c r="L168" s="93"/>
      <c r="M168" s="93"/>
      <c r="N168" s="93"/>
    </row>
    <row r="169" spans="1:14">
      <c r="A169" s="93"/>
      <c r="B169" s="93"/>
      <c r="C169" s="93"/>
      <c r="D169" s="93"/>
      <c r="E169" s="93"/>
      <c r="F169" s="93"/>
      <c r="G169" s="93"/>
      <c r="H169" s="93"/>
      <c r="I169" s="93"/>
      <c r="J169" s="93"/>
      <c r="K169" s="93"/>
      <c r="L169" s="93"/>
      <c r="M169" s="93"/>
      <c r="N169" s="93"/>
    </row>
    <row r="170" spans="1:14">
      <c r="A170" s="93"/>
      <c r="B170" s="93"/>
      <c r="C170" s="93"/>
      <c r="D170" s="93"/>
      <c r="E170" s="93"/>
      <c r="F170" s="93"/>
      <c r="G170" s="93"/>
      <c r="H170" s="93"/>
      <c r="I170" s="93"/>
      <c r="J170" s="93"/>
      <c r="K170" s="93"/>
      <c r="L170" s="93"/>
      <c r="M170" s="93"/>
      <c r="N170" s="93"/>
    </row>
    <row r="171" spans="1:14">
      <c r="A171" s="93"/>
      <c r="B171" s="93"/>
      <c r="C171" s="93"/>
      <c r="D171" s="93"/>
      <c r="E171" s="93"/>
      <c r="F171" s="93"/>
      <c r="G171" s="93"/>
      <c r="H171" s="93"/>
      <c r="I171" s="93"/>
      <c r="J171" s="93"/>
      <c r="K171" s="93"/>
      <c r="L171" s="93"/>
      <c r="M171" s="93"/>
      <c r="N171" s="93"/>
    </row>
    <row r="172" spans="1:14">
      <c r="A172" s="93"/>
      <c r="B172" s="93"/>
      <c r="C172" s="93"/>
      <c r="D172" s="93"/>
      <c r="E172" s="93"/>
      <c r="F172" s="93"/>
      <c r="G172" s="93"/>
      <c r="H172" s="93"/>
      <c r="I172" s="93"/>
      <c r="J172" s="93"/>
      <c r="K172" s="93"/>
      <c r="L172" s="93"/>
      <c r="M172" s="93"/>
      <c r="N172" s="93"/>
    </row>
    <row r="173" spans="1:14">
      <c r="A173" s="93"/>
      <c r="B173" s="93"/>
      <c r="C173" s="93"/>
      <c r="D173" s="93"/>
      <c r="E173" s="93"/>
      <c r="F173" s="93"/>
      <c r="G173" s="93"/>
      <c r="H173" s="93"/>
      <c r="I173" s="93"/>
      <c r="J173" s="93"/>
      <c r="K173" s="93"/>
      <c r="L173" s="93"/>
      <c r="M173" s="93"/>
      <c r="N173" s="93"/>
    </row>
    <row r="174" spans="1:14">
      <c r="A174" s="93"/>
      <c r="B174" s="93"/>
      <c r="C174" s="93"/>
      <c r="D174" s="93"/>
      <c r="E174" s="93"/>
      <c r="F174" s="93"/>
      <c r="G174" s="93"/>
      <c r="H174" s="93"/>
      <c r="I174" s="93"/>
      <c r="J174" s="93"/>
      <c r="K174" s="93"/>
      <c r="L174" s="93"/>
      <c r="M174" s="93"/>
      <c r="N174" s="93"/>
    </row>
    <row r="175" spans="1:14">
      <c r="A175" s="93"/>
      <c r="B175" s="93"/>
      <c r="C175" s="93"/>
      <c r="D175" s="93"/>
      <c r="E175" s="93"/>
      <c r="F175" s="93"/>
      <c r="G175" s="93"/>
      <c r="H175" s="93"/>
      <c r="I175" s="93"/>
      <c r="J175" s="93"/>
      <c r="K175" s="93"/>
      <c r="L175" s="93"/>
      <c r="M175" s="93"/>
      <c r="N175" s="93"/>
    </row>
    <row r="176" spans="1:14">
      <c r="A176" s="93"/>
      <c r="B176" s="93"/>
      <c r="C176" s="93"/>
      <c r="D176" s="93"/>
      <c r="E176" s="93"/>
      <c r="F176" s="93"/>
      <c r="G176" s="93"/>
      <c r="H176" s="93"/>
      <c r="I176" s="93"/>
      <c r="J176" s="93"/>
      <c r="K176" s="93"/>
      <c r="L176" s="93"/>
      <c r="M176" s="93"/>
      <c r="N176" s="93"/>
    </row>
    <row r="177" spans="1:14">
      <c r="A177" s="93"/>
      <c r="B177" s="93"/>
      <c r="C177" s="93"/>
      <c r="D177" s="93"/>
      <c r="E177" s="93"/>
      <c r="F177" s="93"/>
      <c r="G177" s="93"/>
      <c r="H177" s="93"/>
      <c r="I177" s="93"/>
      <c r="J177" s="93"/>
      <c r="K177" s="93"/>
      <c r="L177" s="93"/>
      <c r="M177" s="93"/>
      <c r="N177" s="93"/>
    </row>
    <row r="178" spans="1:14">
      <c r="A178" s="93"/>
      <c r="B178" s="93"/>
      <c r="C178" s="93"/>
      <c r="D178" s="93"/>
      <c r="E178" s="93"/>
      <c r="F178" s="93"/>
      <c r="G178" s="93"/>
      <c r="H178" s="93"/>
      <c r="I178" s="93"/>
      <c r="J178" s="93"/>
      <c r="K178" s="93"/>
      <c r="L178" s="93"/>
      <c r="M178" s="93"/>
      <c r="N178" s="93"/>
    </row>
    <row r="179" spans="1:14">
      <c r="A179" s="93"/>
      <c r="B179" s="93"/>
      <c r="C179" s="93"/>
      <c r="D179" s="93"/>
      <c r="E179" s="93"/>
      <c r="F179" s="93"/>
      <c r="G179" s="93"/>
      <c r="H179" s="93"/>
      <c r="I179" s="93"/>
      <c r="J179" s="93"/>
      <c r="K179" s="93"/>
      <c r="L179" s="93"/>
      <c r="M179" s="93"/>
      <c r="N179" s="93"/>
    </row>
    <row r="180" spans="1:14">
      <c r="A180" s="93"/>
      <c r="B180" s="93"/>
      <c r="C180" s="93"/>
      <c r="D180" s="93"/>
      <c r="E180" s="93"/>
      <c r="F180" s="93"/>
      <c r="G180" s="93"/>
      <c r="H180" s="93"/>
      <c r="I180" s="93"/>
      <c r="J180" s="93"/>
      <c r="K180" s="93"/>
      <c r="L180" s="93"/>
      <c r="M180" s="93"/>
      <c r="N180" s="93"/>
    </row>
    <row r="181" spans="1:14">
      <c r="A181" s="93"/>
      <c r="B181" s="93"/>
      <c r="C181" s="93"/>
      <c r="D181" s="93"/>
      <c r="E181" s="93"/>
      <c r="F181" s="93"/>
      <c r="G181" s="93"/>
      <c r="H181" s="93"/>
      <c r="I181" s="93"/>
      <c r="J181" s="93"/>
      <c r="K181" s="93"/>
      <c r="L181" s="93"/>
      <c r="M181" s="93"/>
      <c r="N181" s="93"/>
    </row>
    <row r="182" spans="1:14">
      <c r="A182" s="93"/>
      <c r="B182" s="93"/>
      <c r="C182" s="93"/>
      <c r="D182" s="93"/>
      <c r="E182" s="93"/>
      <c r="F182" s="93"/>
      <c r="G182" s="93"/>
      <c r="H182" s="93"/>
      <c r="I182" s="93"/>
      <c r="J182" s="93"/>
      <c r="K182" s="93"/>
      <c r="L182" s="93"/>
      <c r="M182" s="93"/>
      <c r="N182" s="93"/>
    </row>
    <row r="183" spans="1:14">
      <c r="A183" s="93"/>
      <c r="B183" s="93"/>
      <c r="C183" s="93"/>
      <c r="D183" s="93"/>
      <c r="E183" s="93"/>
      <c r="F183" s="93"/>
      <c r="G183" s="93"/>
      <c r="H183" s="93"/>
      <c r="I183" s="93"/>
      <c r="J183" s="93"/>
      <c r="K183" s="93"/>
      <c r="L183" s="93"/>
      <c r="M183" s="93"/>
      <c r="N183" s="93"/>
    </row>
    <row r="184" spans="1:14">
      <c r="A184" s="93"/>
      <c r="B184" s="93"/>
      <c r="C184" s="93"/>
      <c r="D184" s="93"/>
      <c r="E184" s="93"/>
      <c r="F184" s="93"/>
      <c r="G184" s="93"/>
      <c r="H184" s="93"/>
      <c r="I184" s="93"/>
      <c r="J184" s="93"/>
      <c r="K184" s="93"/>
      <c r="L184" s="93"/>
      <c r="M184" s="93"/>
      <c r="N184" s="93"/>
    </row>
  </sheetData>
  <mergeCells count="4">
    <mergeCell ref="A6:N6"/>
    <mergeCell ref="A1:N1"/>
    <mergeCell ref="A3:N3"/>
    <mergeCell ref="A5:N5"/>
  </mergeCells>
  <phoneticPr fontId="8" type="noConversion"/>
  <pageMargins left="0.25" right="0.25" top="0.75" bottom="0.5" header="0" footer="0.25"/>
  <pageSetup scale="70" fitToHeight="0" orientation="portrait" r:id="rId1"/>
  <headerFooter scaleWithDoc="0" alignWithMargins="0">
    <oddFooter xml:space="preserve">&amp;C&amp;"Times New Roman,Regular"&amp;10See accompanying summary of significant forecast assumptions. </oddFooter>
  </headerFooter>
  <rowBreaks count="1" manualBreakCount="1">
    <brk id="39"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14AA1D43D80014CB4A69244BADFA951" ma:contentTypeVersion="24" ma:contentTypeDescription="" ma:contentTypeScope="" ma:versionID="79b6968a1ccb8a2aae08738076d90e3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2023-12-21T08:00:00+00:00</OpenedDate>
    <SignificantOrder xmlns="dc463f71-b30c-4ab2-9473-d307f9d35888">false</SignificantOrder>
    <Date1 xmlns="dc463f71-b30c-4ab2-9473-d307f9d35888">2023-12-21T08:00:00+00:00</Date1>
    <IsDocumentOrder xmlns="dc463f71-b30c-4ab2-9473-d307f9d35888">false</IsDocumentOrder>
    <IsHighlyConfidential xmlns="dc463f71-b30c-4ab2-9473-d307f9d35888">false</IsHighlyConfidential>
    <CaseCompanyNames xmlns="dc463f71-b30c-4ab2-9473-d307f9d35888">Bainbridge Disposal, Inc</CaseCompanyNames>
    <Nickname xmlns="http://schemas.microsoft.com/sharepoint/v3" xsi:nil="true"/>
    <DocketNumber xmlns="dc463f71-b30c-4ab2-9473-d307f9d35888">231050</DocketNumber>
    <DelegatedOrder xmlns="dc463f71-b30c-4ab2-9473-d307f9d35888">false</DelegatedOrder>
  </documentManagement>
</p:properties>
</file>

<file path=customXml/itemProps1.xml><?xml version="1.0" encoding="utf-8"?>
<ds:datastoreItem xmlns:ds="http://schemas.openxmlformats.org/officeDocument/2006/customXml" ds:itemID="{67A4B7E2-E675-4D4E-A8B2-440A8AF0238D}"/>
</file>

<file path=customXml/itemProps2.xml><?xml version="1.0" encoding="utf-8"?>
<ds:datastoreItem xmlns:ds="http://schemas.openxmlformats.org/officeDocument/2006/customXml" ds:itemID="{34322917-D56B-4C11-8DAA-C04265C49FBC}"/>
</file>

<file path=customXml/itemProps3.xml><?xml version="1.0" encoding="utf-8"?>
<ds:datastoreItem xmlns:ds="http://schemas.openxmlformats.org/officeDocument/2006/customXml" ds:itemID="{BD1B3218-CF81-40DA-9ED8-1DCFDC602C68}"/>
</file>

<file path=customXml/itemProps4.xml><?xml version="1.0" encoding="utf-8"?>
<ds:datastoreItem xmlns:ds="http://schemas.openxmlformats.org/officeDocument/2006/customXml" ds:itemID="{F691D2EE-E9A7-45F0-ACC8-F9AB6E95D0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42</vt:i4>
      </vt:variant>
    </vt:vector>
  </HeadingPairs>
  <TitlesOfParts>
    <vt:vector size="71" baseType="lpstr">
      <vt:lpstr>Fly Sheet</vt:lpstr>
      <vt:lpstr>Comp Report</vt:lpstr>
      <vt:lpstr>LG Nonpublic 2018 V5.2a</vt:lpstr>
      <vt:lpstr>Operations</vt:lpstr>
      <vt:lpstr>Assumptions</vt:lpstr>
      <vt:lpstr>Sch 1 - Restated Exp</vt:lpstr>
      <vt:lpstr>Sch 1, pg 2 - Restated</vt:lpstr>
      <vt:lpstr>Sch 2 - Forecast Exp</vt:lpstr>
      <vt:lpstr>Sch 2, pg 2 - Forecast</vt:lpstr>
      <vt:lpstr>Sch 3 - Reclass Exp</vt:lpstr>
      <vt:lpstr>Sch 3, pg 2 - Reclass</vt:lpstr>
      <vt:lpstr>Sch 4 - 12 Months</vt:lpstr>
      <vt:lpstr>Workpapers</vt:lpstr>
      <vt:lpstr>WP-1 Rate Case Cost</vt:lpstr>
      <vt:lpstr>WP-2 - Summary Depr</vt:lpstr>
      <vt:lpstr>WP-2, pg 2 -  Depr</vt:lpstr>
      <vt:lpstr>WP-3 - Labor Analysis</vt:lpstr>
      <vt:lpstr>WP-3, pg 2 - Labor Increase</vt:lpstr>
      <vt:lpstr>WP-3, pg 3 - Benefits Analysis</vt:lpstr>
      <vt:lpstr>WP-4 - Vehicle License</vt:lpstr>
      <vt:lpstr>WP-5 - Dues &amp; Sub</vt:lpstr>
      <vt:lpstr>WP-6 - Capital Structure</vt:lpstr>
      <vt:lpstr>WP-7 - Affiliated </vt:lpstr>
      <vt:lpstr>WP-8 - Fuel</vt:lpstr>
      <vt:lpstr>WP-9 - Non-Regulated</vt:lpstr>
      <vt:lpstr>WP-10 - Disposal</vt:lpstr>
      <vt:lpstr>WP-11 - Non-Regulated</vt:lpstr>
      <vt:lpstr>IS PBC (Disposal)</vt:lpstr>
      <vt:lpstr>BS PBC (Disposal)</vt:lpstr>
      <vt:lpstr>'LG Nonpublic 2018 V5.2a'!Debt_Rate</vt:lpstr>
      <vt:lpstr>'LG Nonpublic 2018 V5.2a'!debtP</vt:lpstr>
      <vt:lpstr>'LG Nonpublic 2018 V5.2a'!Equity_percent</vt:lpstr>
      <vt:lpstr>'LG Nonpublic 2018 V5.2a'!equityP</vt:lpstr>
      <vt:lpstr>'LG Nonpublic 2018 V5.2a'!expenses</vt:lpstr>
      <vt:lpstr>income_statement</vt:lpstr>
      <vt:lpstr>'LG Nonpublic 2018 V5.2a'!Investment</vt:lpstr>
      <vt:lpstr>PAGE_1</vt:lpstr>
      <vt:lpstr>'LG Nonpublic 2018 V5.2a'!Pfd_weighted</vt:lpstr>
      <vt:lpstr>Assumptions!Print_Area</vt:lpstr>
      <vt:lpstr>'LG Nonpublic 2018 V5.2a'!Print_Area</vt:lpstr>
      <vt:lpstr>Operations!Print_Area</vt:lpstr>
      <vt:lpstr>'Sch 1 - Restated Exp'!Print_Area</vt:lpstr>
      <vt:lpstr>'Sch 1, pg 2 - Restated'!Print_Area</vt:lpstr>
      <vt:lpstr>'Sch 2 - Forecast Exp'!Print_Area</vt:lpstr>
      <vt:lpstr>'Sch 2, pg 2 - Forecast'!Print_Area</vt:lpstr>
      <vt:lpstr>'Sch 3, pg 2 - Reclass'!Print_Area</vt:lpstr>
      <vt:lpstr>'WP-10 - Disposal'!Print_Area</vt:lpstr>
      <vt:lpstr>'WP-11 - Non-Regulated'!Print_Area</vt:lpstr>
      <vt:lpstr>'WP-2 - Summary Depr'!Print_Area</vt:lpstr>
      <vt:lpstr>'WP-2, pg 2 -  Depr'!Print_Area</vt:lpstr>
      <vt:lpstr>'WP-3 - Labor Analysis'!Print_Area</vt:lpstr>
      <vt:lpstr>'WP-3, pg 2 - Labor Increase'!Print_Area</vt:lpstr>
      <vt:lpstr>'WP-3, pg 3 - Benefits Analysis'!Print_Area</vt:lpstr>
      <vt:lpstr>'WP-4 - Vehicle License'!Print_Area</vt:lpstr>
      <vt:lpstr>'WP-5 - Dues &amp; Sub'!Print_Area</vt:lpstr>
      <vt:lpstr>'WP-7 - Affiliated '!Print_Area</vt:lpstr>
      <vt:lpstr>'WP-8 - Fuel'!Print_Area</vt:lpstr>
      <vt:lpstr>'Sch 1, pg 2 - Restated'!Print_Titles</vt:lpstr>
      <vt:lpstr>'Sch 2, pg 2 - Forecast'!Print_Titles</vt:lpstr>
      <vt:lpstr>'Sch 3, pg 2 - Reclass'!Print_Titles</vt:lpstr>
      <vt:lpstr>'Sch 4 - 12 Months'!Print_Titles</vt:lpstr>
      <vt:lpstr>'WP-2, pg 2 -  Depr'!Print_Titles</vt:lpstr>
      <vt:lpstr>'WP-3, pg 2 - Labor Increase'!Print_Titles</vt:lpstr>
      <vt:lpstr>'LG Nonpublic 2018 V5.2a'!regDebt_weighted</vt:lpstr>
      <vt:lpstr>'LG Nonpublic 2018 V5.2a'!Revenue</vt:lpstr>
      <vt:lpstr>slope</vt:lpstr>
      <vt:lpstr>'LG Nonpublic 2018 V5.2a'!taxrate</vt:lpstr>
      <vt:lpstr>y_inter1</vt:lpstr>
      <vt:lpstr>y_inter2</vt:lpstr>
      <vt:lpstr>y_inter3</vt:lpstr>
      <vt:lpstr>y_inter4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gbooth</dc:creator>
  <cp:lastModifiedBy>Logan Davis</cp:lastModifiedBy>
  <cp:lastPrinted>2023-12-21T19:13:07Z</cp:lastPrinted>
  <dcterms:created xsi:type="dcterms:W3CDTF">2002-10-01T21:01:48Z</dcterms:created>
  <dcterms:modified xsi:type="dcterms:W3CDTF">2023-12-21T19:13:27Z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VERS">
    <vt:lpwstr>1.0</vt:lpwstr>
  </property>
  <property fmtid="{D5CDD505-2E9C-101B-9397-08002B2CF9AE}" pid="3" name="ContentTypeId">
    <vt:lpwstr>0x0101006E56B4D1795A2E4DB2F0B01679ED314A00614AA1D43D80014CB4A69244BADFA951</vt:lpwstr>
  </property>
  <property fmtid="{D5CDD505-2E9C-101B-9397-08002B2CF9AE}" pid="4" name="_docset_NoMedatataSyncRequired">
    <vt:lpwstr>False</vt:lpwstr>
  </property>
</Properties>
</file>