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xhous10fps03rf\orport01fps01\PUBLIC\Evan Burmester\WUTC\"/>
    </mc:Choice>
  </mc:AlternateContent>
  <xr:revisionPtr revIDLastSave="0" documentId="13_ncr:1_{350460C5-4209-4BA3-8004-DE1ECC494583}" xr6:coauthVersionLast="47" xr6:coauthVersionMax="47" xr10:uidLastSave="{00000000-0000-0000-0000-000000000000}"/>
  <bookViews>
    <workbookView xWindow="-120" yWindow="-120" windowWidth="25440" windowHeight="15390" activeTab="2" xr2:uid="{00000000-000D-0000-FFFF-FFFF00000000}"/>
  </bookViews>
  <sheets>
    <sheet name="Revenue &amp; Expense Adj." sheetId="2" r:id="rId1"/>
    <sheet name="References" sheetId="6" r:id="rId2"/>
    <sheet name="Priceout" sheetId="5" r:id="rId3"/>
    <sheet name="Com'l Priceout" sheetId="7"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__PER1">#REF!</definedName>
    <definedName name="__NBV1">#REF!</definedName>
    <definedName name="__PER1">#REF!</definedName>
    <definedName name="_BUN1">'[1]2008 West Group IS'!$AJ$5</definedName>
    <definedName name="_BUN3">'[1]2008 Group Office IS'!$AJ$5</definedName>
    <definedName name="_NBV1">#REF!</definedName>
    <definedName name="_PER1">[2]WTB!#REF!</definedName>
    <definedName name="_PER2">'[1]2008 West Group IS'!$AH$8</definedName>
    <definedName name="_PER3">'[1]2008 West Group IS'!$AI$5</definedName>
    <definedName name="_PER4">'[1]2008 Group Office IS'!$AH$8</definedName>
    <definedName name="_PER5">'[1]2008 Group Office IS'!$AI$5</definedName>
    <definedName name="_Regression_Int">0</definedName>
    <definedName name="_SFD1">'[1]2008 West Group IS'!$AK$5</definedName>
    <definedName name="_SFD3">'[1]2008 Group Office IS'!$AK$5</definedName>
    <definedName name="_SFV1">'[1]2008 West Group IS'!$AK$4</definedName>
    <definedName name="_SFV4">'[1]2008 Group Office IS'!$AK$4</definedName>
    <definedName name="a">#REF!</definedName>
    <definedName name="ACCT1">#REF!</definedName>
    <definedName name="APA">[2]WTB!#REF!</definedName>
    <definedName name="APN">[2]WTB!#REF!</definedName>
    <definedName name="ASD">[2]WTB!#REF!</definedName>
    <definedName name="AST">[2]WTB!#REF!</definedName>
    <definedName name="BU_Table">[3]BU_Lookup_TBL!$A$2:$BM$9</definedName>
    <definedName name="BUN">[2]WTB!#REF!</definedName>
    <definedName name="BUV">[2]WTB!#REF!</definedName>
    <definedName name="Calc">[2]WTB!#REF!</definedName>
    <definedName name="Calc0">[2]WTB!#REF!</definedName>
    <definedName name="Calc1">[2]WTB!#REF!</definedName>
    <definedName name="Calc10">[2]WTB!#REF!</definedName>
    <definedName name="Calc11">[2]WTB!#REF!</definedName>
    <definedName name="Calc12">[2]WTB!#REF!</definedName>
    <definedName name="Calc13">[2]WTB!#REF!</definedName>
    <definedName name="Calc14">[2]WTB!#REF!</definedName>
    <definedName name="Calc15">[2]WTB!#REF!</definedName>
    <definedName name="Calc16">[2]WTB!#REF!</definedName>
    <definedName name="Calc17">[2]WTB!#REF!</definedName>
    <definedName name="Calc18">[2]WTB!#REF!</definedName>
    <definedName name="Calc2">[2]WTB!#REF!</definedName>
    <definedName name="Calc3">[2]WTB!#REF!</definedName>
    <definedName name="Calc4">[2]WTB!#REF!</definedName>
    <definedName name="Calc5">[2]WTB!#REF!</definedName>
    <definedName name="Calc6">[2]WTB!#REF!</definedName>
    <definedName name="Calc7">[2]WTB!#REF!</definedName>
    <definedName name="Calc8">[2]WTB!#REF!</definedName>
    <definedName name="Calc9">[2]WTB!#REF!</definedName>
    <definedName name="ColFormula">[2]WTB!#REF!</definedName>
    <definedName name="ControlValue">[2]WTB!#REF!</definedName>
    <definedName name="COST1">#REF!</definedName>
    <definedName name="CURMO1">#REF!</definedName>
    <definedName name="CURRENCY">'[2]Balance Sheet'!$AD$8</definedName>
    <definedName name="d">40214.2396990741</definedName>
    <definedName name="_xlnm.Database">#REF!</definedName>
    <definedName name="Database_MI">#REF!</definedName>
    <definedName name="DAY">[2]WTB!#REF!</definedName>
    <definedName name="DTS">[4]WTB!#REF!</definedName>
    <definedName name="Financial">[2]WTB!#REF!</definedName>
    <definedName name="FirstColCriteria">[2]WTB!#REF!</definedName>
    <definedName name="FirstHeaderCriteria">[2]WTB!#REF!</definedName>
    <definedName name="flag">[2]WTB!#REF!</definedName>
    <definedName name="FY">[2]WTB!#REF!</definedName>
    <definedName name="IDN">[2]WTB!#REF!</definedName>
    <definedName name="IFN">[2]WTB!#REF!</definedName>
    <definedName name="InsertColRange">[2]WTB!#REF!</definedName>
    <definedName name="LAST_ROW">[2]WTB!#REF!</definedName>
    <definedName name="LIST">[5]LOOKUP!$A$1:$B$65536</definedName>
    <definedName name="LSFV">[6]Summary!#REF!</definedName>
    <definedName name="LTDDEPR1">#REF!</definedName>
    <definedName name="LYN">[2]WTB!#REF!</definedName>
    <definedName name="NOTES">#REF!</definedName>
    <definedName name="NvsAnswerCol">"'[Asset Net Book Value  - 01815.xls]Detail'!$A$9:$A$287"</definedName>
    <definedName name="NvsASD">"V2014-12-31"</definedName>
    <definedName name="NvsAutoDrillOk">"VN"</definedName>
    <definedName name="NvsElapsedTime">0.00550925925927004</definedName>
    <definedName name="NvsEndTime">42032.6328587963</definedName>
    <definedName name="NvsEndTime2">39823.1371643519</definedName>
    <definedName name="NvsEndTime3">39918.4137268519</definedName>
    <definedName name="NvsEndTime4">39825.0263078704</definedName>
    <definedName name="NvsEndTime5">39822.9425347222</definedName>
    <definedName name="NvsInstLang">"VENG"</definedName>
    <definedName name="NvsInstSpec">"%,FBUSINESS_UNIT,TCONSOLIDATED,NK00133"</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"V02590"</definedName>
    <definedName name="NvsReqBUOnly">"VY"</definedName>
    <definedName name="NvsTransLed">"VN"</definedName>
    <definedName name="NvsTreeASD">"V2014-12-31"</definedName>
    <definedName name="NvsValTbl.ACCOUNT">"GL_ACCOUNT_TBL"</definedName>
    <definedName name="NvsValTbl.BUSINESS_UNIT">"BUS_UNIT_TBL_FS"</definedName>
    <definedName name="NvsValTbl.DEPTID">"DEPT_TBL"</definedName>
    <definedName name="OPR">[2]WTB!#REF!</definedName>
    <definedName name="PAGE_1">#REF!</definedName>
    <definedName name="PED">[2]WTB!#REF!</definedName>
    <definedName name="PER">[2]WTB!#REF!</definedName>
    <definedName name="PERIOD1">#REF!</definedName>
    <definedName name="_xlnm.Print_Area" localSheetId="2">Priceout!$A$1:$N$73</definedName>
    <definedName name="_xlnm.Print_Area" localSheetId="0">'Revenue &amp; Expense Adj.'!$A$1:$K$31</definedName>
    <definedName name="_xlnm.Print_Area">#REF!</definedName>
    <definedName name="Print_Area_MI">#REF!</definedName>
    <definedName name="_xlnm.Print_Titles" localSheetId="3">'Com''l Priceout'!$1:$9</definedName>
    <definedName name="_xlnm.Print_Titles" localSheetId="2">Priceout!$1:$1</definedName>
    <definedName name="PRIORPD1">#REF!</definedName>
    <definedName name="QtrValue">[2]WTB!#REF!</definedName>
    <definedName name="RBU">[2]WTB!#REF!</definedName>
    <definedName name="RID">[2]WTB!#REF!</definedName>
    <definedName name="ROW_SUPRESS">[2]WTB!#REF!</definedName>
    <definedName name="RTT">[2]WTB!#REF!</definedName>
    <definedName name="SCN">[2]WTB!#REF!</definedName>
    <definedName name="Selection">[3]BU_Lookup_TBL!$A$2:$A$9</definedName>
    <definedName name="SFD">[2]WTB!#REF!</definedName>
    <definedName name="SFD_BU">[2]WTB!#REF!</definedName>
    <definedName name="SFD_DEPTID">[2]WTB!#REF!</definedName>
    <definedName name="SFD_OP">[2]WTB!#REF!</definedName>
    <definedName name="SFD_PROD">[2]WTB!#REF!</definedName>
    <definedName name="SFD_PROJ">[2]WTB!#REF!</definedName>
    <definedName name="SFV">[2]WTB!#REF!</definedName>
    <definedName name="SFV_BU">[2]WTB!#REF!</definedName>
    <definedName name="SFV_CUR">[2]WTB!#REF!</definedName>
    <definedName name="SFV_CUR1">'[1]2008 West Group IS'!$AM$9</definedName>
    <definedName name="SFV_CUR5">'[1]2008 Group Office IS'!$AM$9</definedName>
    <definedName name="SFV_DEPTID">[2]WTB!#REF!</definedName>
    <definedName name="SFV_OP">[2]WTB!#REF!</definedName>
    <definedName name="SFV_PROD">[2]WTB!#REF!</definedName>
    <definedName name="SFV_PROJ">[2]WTB!#REF!</definedName>
    <definedName name="source2">[7]Sheet1!$A$1:$A$3</definedName>
    <definedName name="Total_Interest">'[8]Amortization Table'!$F$18</definedName>
    <definedName name="Variables">[2]WTB!#REF!</definedName>
    <definedName name="WasteManagement">[2]WTB!#REF!</definedName>
    <definedName name="YEAR1">#REF!</definedName>
    <definedName name="YTDDEP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8" i="5" l="1"/>
  <c r="P47" i="5"/>
  <c r="P46" i="5"/>
  <c r="B48" i="6" l="1"/>
  <c r="B59" i="6" l="1"/>
  <c r="G9" i="5"/>
  <c r="H9" i="5" s="1"/>
  <c r="G8" i="5"/>
  <c r="H8" i="5" s="1"/>
  <c r="G7" i="5"/>
  <c r="G6" i="5"/>
  <c r="G5" i="5"/>
  <c r="G4" i="5"/>
  <c r="O11" i="5"/>
  <c r="G11" i="5"/>
  <c r="F11" i="5"/>
  <c r="O9" i="5"/>
  <c r="O8" i="5"/>
  <c r="E9" i="5"/>
  <c r="F9" i="5" s="1"/>
  <c r="F8" i="5"/>
  <c r="E8" i="5"/>
  <c r="F30" i="5"/>
  <c r="F29" i="5"/>
  <c r="F28" i="5"/>
  <c r="F27" i="5"/>
  <c r="F26" i="5"/>
  <c r="F25" i="5"/>
  <c r="F24" i="5"/>
  <c r="F23" i="5"/>
  <c r="F22" i="5"/>
  <c r="F21" i="5"/>
  <c r="F20" i="5"/>
  <c r="F19" i="5"/>
  <c r="F18" i="5"/>
  <c r="F17" i="5"/>
  <c r="T203" i="7"/>
  <c r="T214" i="7"/>
  <c r="T220" i="7"/>
  <c r="T230" i="7"/>
  <c r="T240" i="7"/>
  <c r="T254" i="7"/>
  <c r="T263" i="7"/>
  <c r="T275" i="7"/>
  <c r="T282" i="7"/>
  <c r="T281" i="7"/>
  <c r="T280" i="7"/>
  <c r="T279" i="7"/>
  <c r="T278" i="7"/>
  <c r="T274" i="7"/>
  <c r="T273" i="7"/>
  <c r="T272" i="7"/>
  <c r="T271" i="7"/>
  <c r="T270" i="7"/>
  <c r="T269" i="7"/>
  <c r="T268" i="7"/>
  <c r="T267" i="7"/>
  <c r="T266" i="7"/>
  <c r="T262" i="7"/>
  <c r="T261" i="7"/>
  <c r="T260" i="7"/>
  <c r="T259" i="7"/>
  <c r="T258" i="7"/>
  <c r="T257" i="7"/>
  <c r="T253" i="7"/>
  <c r="T252" i="7"/>
  <c r="T251" i="7"/>
  <c r="T250" i="7"/>
  <c r="T249" i="7"/>
  <c r="T248" i="7"/>
  <c r="T247" i="7"/>
  <c r="T246" i="7"/>
  <c r="T245" i="7"/>
  <c r="T244" i="7"/>
  <c r="T243" i="7"/>
  <c r="T239" i="7"/>
  <c r="T238" i="7"/>
  <c r="T237" i="7"/>
  <c r="T236" i="7"/>
  <c r="T235" i="7"/>
  <c r="T234" i="7"/>
  <c r="T233" i="7"/>
  <c r="T229" i="7"/>
  <c r="T228" i="7"/>
  <c r="T227" i="7"/>
  <c r="T226" i="7"/>
  <c r="T223" i="7"/>
  <c r="T219" i="7"/>
  <c r="T218" i="7"/>
  <c r="T217" i="7"/>
  <c r="T213" i="7"/>
  <c r="T212" i="7"/>
  <c r="T211" i="7"/>
  <c r="T210" i="7"/>
  <c r="T209" i="7"/>
  <c r="T206" i="7"/>
  <c r="T202" i="7"/>
  <c r="T201" i="7"/>
  <c r="T200" i="7"/>
  <c r="T197" i="7"/>
  <c r="G418" i="7"/>
  <c r="G412" i="7"/>
  <c r="F405" i="7"/>
  <c r="D405" i="7"/>
  <c r="G405" i="7" s="1"/>
  <c r="G404" i="7"/>
  <c r="F404" i="7"/>
  <c r="D404" i="7"/>
  <c r="D403" i="7"/>
  <c r="D399" i="7"/>
  <c r="F398" i="7"/>
  <c r="D398" i="7"/>
  <c r="F397" i="7"/>
  <c r="G397" i="7" s="1"/>
  <c r="D397" i="7"/>
  <c r="D396" i="7"/>
  <c r="D395" i="7"/>
  <c r="F394" i="7"/>
  <c r="D394" i="7"/>
  <c r="F393" i="7"/>
  <c r="G393" i="7" s="1"/>
  <c r="D393" i="7"/>
  <c r="D392" i="7"/>
  <c r="D391" i="7"/>
  <c r="D390" i="7"/>
  <c r="D389" i="7"/>
  <c r="F388" i="7"/>
  <c r="G388" i="7" s="1"/>
  <c r="D388" i="7"/>
  <c r="D387" i="7"/>
  <c r="F386" i="7"/>
  <c r="D386" i="7"/>
  <c r="F385" i="7"/>
  <c r="G385" i="7" s="1"/>
  <c r="D385" i="7"/>
  <c r="F384" i="7"/>
  <c r="G384" i="7" s="1"/>
  <c r="D384" i="7"/>
  <c r="F383" i="7"/>
  <c r="G383" i="7" s="1"/>
  <c r="D383" i="7"/>
  <c r="F382" i="7"/>
  <c r="D382" i="7"/>
  <c r="D381" i="7"/>
  <c r="F380" i="7"/>
  <c r="G380" i="7" s="1"/>
  <c r="D380" i="7"/>
  <c r="F379" i="7"/>
  <c r="G379" i="7" s="1"/>
  <c r="D379" i="7"/>
  <c r="D378" i="7"/>
  <c r="D377" i="7"/>
  <c r="F376" i="7"/>
  <c r="G376" i="7" s="1"/>
  <c r="D376" i="7"/>
  <c r="F375" i="7"/>
  <c r="G375" i="7" s="1"/>
  <c r="D375" i="7"/>
  <c r="F374" i="7"/>
  <c r="D374" i="7"/>
  <c r="F373" i="7"/>
  <c r="G373" i="7" s="1"/>
  <c r="D373" i="7"/>
  <c r="X367" i="7"/>
  <c r="D367" i="7"/>
  <c r="G367" i="7" s="1"/>
  <c r="C367" i="7"/>
  <c r="B367" i="7"/>
  <c r="X366" i="7"/>
  <c r="C366" i="7"/>
  <c r="D366" i="7" s="1"/>
  <c r="G366" i="7" s="1"/>
  <c r="B366" i="7"/>
  <c r="X365" i="7"/>
  <c r="C365" i="7"/>
  <c r="D365" i="7" s="1"/>
  <c r="G365" i="7" s="1"/>
  <c r="B365" i="7"/>
  <c r="X364" i="7"/>
  <c r="C364" i="7"/>
  <c r="D364" i="7" s="1"/>
  <c r="B364" i="7"/>
  <c r="X363" i="7"/>
  <c r="F363" i="7"/>
  <c r="C363" i="7"/>
  <c r="D363" i="7" s="1"/>
  <c r="B363" i="7"/>
  <c r="X362" i="7"/>
  <c r="C362" i="7"/>
  <c r="D362" i="7" s="1"/>
  <c r="G362" i="7" s="1"/>
  <c r="B362" i="7"/>
  <c r="X357" i="7"/>
  <c r="C357" i="7"/>
  <c r="D357" i="7" s="1"/>
  <c r="B357" i="7"/>
  <c r="X356" i="7"/>
  <c r="D356" i="7"/>
  <c r="C356" i="7"/>
  <c r="B356" i="7"/>
  <c r="X355" i="7"/>
  <c r="D355" i="7"/>
  <c r="C355" i="7"/>
  <c r="B355" i="7"/>
  <c r="X354" i="7"/>
  <c r="D354" i="7"/>
  <c r="C354" i="7"/>
  <c r="B354" i="7"/>
  <c r="X353" i="7"/>
  <c r="C353" i="7"/>
  <c r="B353" i="7"/>
  <c r="X352" i="7"/>
  <c r="D352" i="7"/>
  <c r="C352" i="7"/>
  <c r="B352" i="7"/>
  <c r="X351" i="7"/>
  <c r="F351" i="7"/>
  <c r="C351" i="7"/>
  <c r="D351" i="7" s="1"/>
  <c r="B351" i="7"/>
  <c r="X350" i="7"/>
  <c r="C350" i="7"/>
  <c r="D350" i="7" s="1"/>
  <c r="G350" i="7" s="1"/>
  <c r="B350" i="7"/>
  <c r="X349" i="7"/>
  <c r="D349" i="7"/>
  <c r="C349" i="7"/>
  <c r="B349" i="7"/>
  <c r="X348" i="7"/>
  <c r="C348" i="7"/>
  <c r="D348" i="7" s="1"/>
  <c r="B348" i="7"/>
  <c r="X347" i="7"/>
  <c r="C347" i="7"/>
  <c r="D347" i="7" s="1"/>
  <c r="B347" i="7"/>
  <c r="X346" i="7"/>
  <c r="F346" i="7"/>
  <c r="F347" i="7" s="1"/>
  <c r="C346" i="7"/>
  <c r="D346" i="7" s="1"/>
  <c r="G346" i="7" s="1"/>
  <c r="B346" i="7"/>
  <c r="X345" i="7"/>
  <c r="F345" i="7"/>
  <c r="D345" i="7"/>
  <c r="G345" i="7" s="1"/>
  <c r="C345" i="7"/>
  <c r="B345" i="7"/>
  <c r="X344" i="7"/>
  <c r="C344" i="7"/>
  <c r="D344" i="7" s="1"/>
  <c r="G344" i="7" s="1"/>
  <c r="B344" i="7"/>
  <c r="X343" i="7"/>
  <c r="C343" i="7"/>
  <c r="D343" i="7" s="1"/>
  <c r="B343" i="7"/>
  <c r="X342" i="7"/>
  <c r="D342" i="7"/>
  <c r="C342" i="7"/>
  <c r="B342" i="7"/>
  <c r="X341" i="7"/>
  <c r="C341" i="7"/>
  <c r="D341" i="7" s="1"/>
  <c r="B341" i="7"/>
  <c r="X340" i="7"/>
  <c r="D340" i="7"/>
  <c r="C340" i="7"/>
  <c r="B340" i="7"/>
  <c r="X339" i="7"/>
  <c r="F339" i="7"/>
  <c r="C339" i="7"/>
  <c r="D339" i="7" s="1"/>
  <c r="B339" i="7"/>
  <c r="X338" i="7"/>
  <c r="C338" i="7"/>
  <c r="D338" i="7" s="1"/>
  <c r="G338" i="7" s="1"/>
  <c r="B338" i="7"/>
  <c r="X337" i="7"/>
  <c r="C337" i="7"/>
  <c r="B337" i="7"/>
  <c r="D337" i="7" s="1"/>
  <c r="X336" i="7"/>
  <c r="C336" i="7"/>
  <c r="B336" i="7"/>
  <c r="X335" i="7"/>
  <c r="C335" i="7"/>
  <c r="B335" i="7"/>
  <c r="D335" i="7" s="1"/>
  <c r="X334" i="7"/>
  <c r="F334" i="7"/>
  <c r="C334" i="7"/>
  <c r="D334" i="7" s="1"/>
  <c r="B334" i="7"/>
  <c r="X333" i="7"/>
  <c r="F333" i="7"/>
  <c r="C333" i="7"/>
  <c r="D333" i="7" s="1"/>
  <c r="G333" i="7" s="1"/>
  <c r="B333" i="7"/>
  <c r="X332" i="7"/>
  <c r="D332" i="7"/>
  <c r="G332" i="7" s="1"/>
  <c r="C332" i="7"/>
  <c r="B332" i="7"/>
  <c r="X331" i="7"/>
  <c r="C331" i="7"/>
  <c r="D331" i="7" s="1"/>
  <c r="B331" i="7"/>
  <c r="X330" i="7"/>
  <c r="C330" i="7"/>
  <c r="D330" i="7" s="1"/>
  <c r="B330" i="7"/>
  <c r="X329" i="7"/>
  <c r="C329" i="7"/>
  <c r="D329" i="7" s="1"/>
  <c r="B329" i="7"/>
  <c r="X328" i="7"/>
  <c r="D328" i="7"/>
  <c r="C328" i="7"/>
  <c r="B328" i="7"/>
  <c r="X327" i="7"/>
  <c r="F327" i="7"/>
  <c r="C327" i="7"/>
  <c r="D327" i="7" s="1"/>
  <c r="B327" i="7"/>
  <c r="X326" i="7"/>
  <c r="C326" i="7"/>
  <c r="D326" i="7" s="1"/>
  <c r="G326" i="7" s="1"/>
  <c r="B326" i="7"/>
  <c r="X325" i="7"/>
  <c r="C325" i="7"/>
  <c r="B325" i="7"/>
  <c r="D325" i="7" s="1"/>
  <c r="X324" i="7"/>
  <c r="F324" i="7"/>
  <c r="C324" i="7"/>
  <c r="D324" i="7" s="1"/>
  <c r="B324" i="7"/>
  <c r="X323" i="7"/>
  <c r="F323" i="7"/>
  <c r="D323" i="7"/>
  <c r="G323" i="7" s="1"/>
  <c r="C323" i="7"/>
  <c r="B323" i="7"/>
  <c r="X322" i="7"/>
  <c r="D322" i="7"/>
  <c r="G322" i="7" s="1"/>
  <c r="C322" i="7"/>
  <c r="B322" i="7"/>
  <c r="X321" i="7"/>
  <c r="F321" i="7"/>
  <c r="C321" i="7"/>
  <c r="D321" i="7" s="1"/>
  <c r="B321" i="7"/>
  <c r="X320" i="7"/>
  <c r="F320" i="7"/>
  <c r="D320" i="7"/>
  <c r="G320" i="7" s="1"/>
  <c r="C320" i="7"/>
  <c r="B320" i="7"/>
  <c r="X319" i="7"/>
  <c r="D319" i="7"/>
  <c r="G319" i="7" s="1"/>
  <c r="C319" i="7"/>
  <c r="B319" i="7"/>
  <c r="X318" i="7"/>
  <c r="C318" i="7"/>
  <c r="D318" i="7" s="1"/>
  <c r="G318" i="7" s="1"/>
  <c r="B318" i="7"/>
  <c r="X317" i="7"/>
  <c r="D317" i="7"/>
  <c r="G317" i="7" s="1"/>
  <c r="C317" i="7"/>
  <c r="B317" i="7"/>
  <c r="X316" i="7"/>
  <c r="D316" i="7"/>
  <c r="G316" i="7" s="1"/>
  <c r="C316" i="7"/>
  <c r="B316" i="7"/>
  <c r="X315" i="7"/>
  <c r="D315" i="7"/>
  <c r="G315" i="7" s="1"/>
  <c r="C315" i="7"/>
  <c r="B315" i="7"/>
  <c r="O309" i="7"/>
  <c r="G309" i="7"/>
  <c r="X303" i="7"/>
  <c r="D303" i="7"/>
  <c r="G302" i="7"/>
  <c r="D302" i="7"/>
  <c r="D301" i="7"/>
  <c r="G301" i="7" s="1"/>
  <c r="X298" i="7"/>
  <c r="D297" i="7"/>
  <c r="D296" i="7"/>
  <c r="F295" i="7"/>
  <c r="D295" i="7"/>
  <c r="F294" i="7"/>
  <c r="D294" i="7"/>
  <c r="D298" i="7" s="1"/>
  <c r="D293" i="7"/>
  <c r="G293" i="7" s="1"/>
  <c r="X290" i="7"/>
  <c r="D289" i="7"/>
  <c r="D288" i="7"/>
  <c r="F287" i="7"/>
  <c r="F288" i="7" s="1"/>
  <c r="D287" i="7"/>
  <c r="F286" i="7"/>
  <c r="D286" i="7"/>
  <c r="D290" i="7" s="1"/>
  <c r="D285" i="7"/>
  <c r="G285" i="7" s="1"/>
  <c r="X282" i="7"/>
  <c r="M281" i="7"/>
  <c r="N281" i="7" s="1"/>
  <c r="O281" i="7" s="1"/>
  <c r="D281" i="7"/>
  <c r="G281" i="7" s="1"/>
  <c r="M280" i="7"/>
  <c r="G280" i="7"/>
  <c r="F280" i="7"/>
  <c r="D280" i="7"/>
  <c r="N280" i="7" s="1"/>
  <c r="O280" i="7" s="1"/>
  <c r="M279" i="7"/>
  <c r="G279" i="7"/>
  <c r="D279" i="7"/>
  <c r="M278" i="7"/>
  <c r="D278" i="7"/>
  <c r="X275" i="7"/>
  <c r="N274" i="7"/>
  <c r="O274" i="7" s="1"/>
  <c r="M274" i="7"/>
  <c r="D274" i="7"/>
  <c r="N273" i="7"/>
  <c r="O273" i="7" s="1"/>
  <c r="M273" i="7"/>
  <c r="D273" i="7"/>
  <c r="N272" i="7"/>
  <c r="O272" i="7" s="1"/>
  <c r="M272" i="7"/>
  <c r="D272" i="7"/>
  <c r="M271" i="7"/>
  <c r="D271" i="7"/>
  <c r="N271" i="7" s="1"/>
  <c r="O271" i="7" s="1"/>
  <c r="N270" i="7"/>
  <c r="O270" i="7" s="1"/>
  <c r="M270" i="7"/>
  <c r="D270" i="7"/>
  <c r="N269" i="7"/>
  <c r="O269" i="7" s="1"/>
  <c r="M269" i="7"/>
  <c r="F269" i="7"/>
  <c r="D269" i="7"/>
  <c r="N268" i="7"/>
  <c r="O268" i="7" s="1"/>
  <c r="M268" i="7"/>
  <c r="F268" i="7"/>
  <c r="D268" i="7"/>
  <c r="M267" i="7"/>
  <c r="F267" i="7"/>
  <c r="G267" i="7" s="1"/>
  <c r="D267" i="7"/>
  <c r="N267" i="7" s="1"/>
  <c r="O267" i="7" s="1"/>
  <c r="M266" i="7"/>
  <c r="D266" i="7"/>
  <c r="X263" i="7"/>
  <c r="N262" i="7"/>
  <c r="O262" i="7" s="1"/>
  <c r="M262" i="7"/>
  <c r="D262" i="7"/>
  <c r="M261" i="7"/>
  <c r="D261" i="7"/>
  <c r="N261" i="7" s="1"/>
  <c r="O261" i="7" s="1"/>
  <c r="N260" i="7"/>
  <c r="O260" i="7" s="1"/>
  <c r="M260" i="7"/>
  <c r="D260" i="7"/>
  <c r="N259" i="7"/>
  <c r="O259" i="7" s="1"/>
  <c r="M259" i="7"/>
  <c r="F259" i="7"/>
  <c r="D259" i="7"/>
  <c r="N258" i="7"/>
  <c r="O258" i="7" s="1"/>
  <c r="M258" i="7"/>
  <c r="F258" i="7"/>
  <c r="D258" i="7"/>
  <c r="M257" i="7"/>
  <c r="D257" i="7"/>
  <c r="D263" i="7" s="1"/>
  <c r="X254" i="7"/>
  <c r="N253" i="7"/>
  <c r="O253" i="7" s="1"/>
  <c r="M253" i="7"/>
  <c r="D253" i="7"/>
  <c r="N252" i="7"/>
  <c r="O252" i="7" s="1"/>
  <c r="M252" i="7"/>
  <c r="D252" i="7"/>
  <c r="M251" i="7"/>
  <c r="D251" i="7"/>
  <c r="N251" i="7" s="1"/>
  <c r="O251" i="7" s="1"/>
  <c r="N250" i="7"/>
  <c r="O250" i="7" s="1"/>
  <c r="M250" i="7"/>
  <c r="D250" i="7"/>
  <c r="N249" i="7"/>
  <c r="O249" i="7" s="1"/>
  <c r="M249" i="7"/>
  <c r="D249" i="7"/>
  <c r="N248" i="7"/>
  <c r="O248" i="7" s="1"/>
  <c r="M248" i="7"/>
  <c r="D248" i="7"/>
  <c r="M247" i="7"/>
  <c r="D247" i="7"/>
  <c r="N247" i="7" s="1"/>
  <c r="O247" i="7" s="1"/>
  <c r="N246" i="7"/>
  <c r="O246" i="7" s="1"/>
  <c r="M246" i="7"/>
  <c r="D246" i="7"/>
  <c r="N245" i="7"/>
  <c r="O245" i="7" s="1"/>
  <c r="M245" i="7"/>
  <c r="D245" i="7"/>
  <c r="N244" i="7"/>
  <c r="O244" i="7" s="1"/>
  <c r="M244" i="7"/>
  <c r="F244" i="7"/>
  <c r="D244" i="7"/>
  <c r="M243" i="7"/>
  <c r="D243" i="7"/>
  <c r="D254" i="7" s="1"/>
  <c r="X240" i="7"/>
  <c r="N239" i="7"/>
  <c r="O239" i="7" s="1"/>
  <c r="M239" i="7"/>
  <c r="D239" i="7"/>
  <c r="N238" i="7"/>
  <c r="O238" i="7" s="1"/>
  <c r="M238" i="7"/>
  <c r="D238" i="7"/>
  <c r="M237" i="7"/>
  <c r="D237" i="7"/>
  <c r="N237" i="7" s="1"/>
  <c r="O237" i="7" s="1"/>
  <c r="N236" i="7"/>
  <c r="O236" i="7" s="1"/>
  <c r="M236" i="7"/>
  <c r="D236" i="7"/>
  <c r="N235" i="7"/>
  <c r="O235" i="7" s="1"/>
  <c r="M235" i="7"/>
  <c r="D235" i="7"/>
  <c r="N234" i="7"/>
  <c r="O234" i="7" s="1"/>
  <c r="M234" i="7"/>
  <c r="F234" i="7"/>
  <c r="D234" i="7"/>
  <c r="M233" i="7"/>
  <c r="G233" i="7"/>
  <c r="D233" i="7"/>
  <c r="D240" i="7" s="1"/>
  <c r="X230" i="7"/>
  <c r="N229" i="7"/>
  <c r="O229" i="7" s="1"/>
  <c r="M229" i="7"/>
  <c r="D229" i="7"/>
  <c r="N228" i="7"/>
  <c r="O228" i="7" s="1"/>
  <c r="M228" i="7"/>
  <c r="F228" i="7"/>
  <c r="D228" i="7"/>
  <c r="M227" i="7"/>
  <c r="F227" i="7"/>
  <c r="D227" i="7"/>
  <c r="G227" i="7" s="1"/>
  <c r="M226" i="7"/>
  <c r="D226" i="7"/>
  <c r="M223" i="7"/>
  <c r="G223" i="7"/>
  <c r="D223" i="7"/>
  <c r="X220" i="7"/>
  <c r="D220" i="7"/>
  <c r="G219" i="7"/>
  <c r="D219" i="7"/>
  <c r="F218" i="7"/>
  <c r="F219" i="7" s="1"/>
  <c r="D218" i="7"/>
  <c r="M217" i="7"/>
  <c r="M218" i="7" s="1"/>
  <c r="M219" i="7" s="1"/>
  <c r="G217" i="7"/>
  <c r="D217" i="7"/>
  <c r="X214" i="7"/>
  <c r="N213" i="7"/>
  <c r="O213" i="7" s="1"/>
  <c r="M213" i="7"/>
  <c r="D213" i="7"/>
  <c r="M212" i="7"/>
  <c r="D212" i="7"/>
  <c r="N212" i="7" s="1"/>
  <c r="O212" i="7" s="1"/>
  <c r="N211" i="7"/>
  <c r="O211" i="7" s="1"/>
  <c r="M211" i="7"/>
  <c r="F211" i="7"/>
  <c r="D211" i="7"/>
  <c r="N210" i="7"/>
  <c r="O210" i="7" s="1"/>
  <c r="M210" i="7"/>
  <c r="F210" i="7"/>
  <c r="G210" i="7" s="1"/>
  <c r="D210" i="7"/>
  <c r="D214" i="7" s="1"/>
  <c r="M209" i="7"/>
  <c r="D209" i="7"/>
  <c r="M206" i="7"/>
  <c r="G206" i="7"/>
  <c r="D206" i="7"/>
  <c r="N206" i="7" s="1"/>
  <c r="O206" i="7" s="1"/>
  <c r="X203" i="7"/>
  <c r="M202" i="7"/>
  <c r="D202" i="7"/>
  <c r="N202" i="7" s="1"/>
  <c r="O202" i="7" s="1"/>
  <c r="M201" i="7"/>
  <c r="F201" i="7"/>
  <c r="D201" i="7"/>
  <c r="O200" i="7"/>
  <c r="M200" i="7"/>
  <c r="G200" i="7"/>
  <c r="D200" i="7"/>
  <c r="N200" i="7" s="1"/>
  <c r="N197" i="7"/>
  <c r="O197" i="7" s="1"/>
  <c r="M197" i="7"/>
  <c r="D197" i="7"/>
  <c r="G197" i="7" s="1"/>
  <c r="X190" i="7"/>
  <c r="D190" i="7"/>
  <c r="G190" i="7" s="1"/>
  <c r="C190" i="7"/>
  <c r="B190" i="7"/>
  <c r="X189" i="7"/>
  <c r="C189" i="7"/>
  <c r="B189" i="7"/>
  <c r="D189" i="7" s="1"/>
  <c r="G189" i="7" s="1"/>
  <c r="G191" i="7" s="1"/>
  <c r="W186" i="7"/>
  <c r="V186" i="7"/>
  <c r="X185" i="7"/>
  <c r="C185" i="7"/>
  <c r="B185" i="7"/>
  <c r="X184" i="7"/>
  <c r="F184" i="7"/>
  <c r="C184" i="7"/>
  <c r="B184" i="7"/>
  <c r="X183" i="7"/>
  <c r="G183" i="7"/>
  <c r="F183" i="7"/>
  <c r="D183" i="7"/>
  <c r="C183" i="7"/>
  <c r="B183" i="7"/>
  <c r="X182" i="7"/>
  <c r="C182" i="7"/>
  <c r="B182" i="7"/>
  <c r="W179" i="7"/>
  <c r="V179" i="7"/>
  <c r="X178" i="7"/>
  <c r="E178" i="7"/>
  <c r="C178" i="7"/>
  <c r="D178" i="7" s="1"/>
  <c r="B178" i="7"/>
  <c r="X177" i="7"/>
  <c r="C177" i="7"/>
  <c r="B177" i="7"/>
  <c r="X176" i="7"/>
  <c r="C176" i="7"/>
  <c r="B176" i="7"/>
  <c r="X175" i="7"/>
  <c r="D175" i="7"/>
  <c r="C175" i="7"/>
  <c r="B175" i="7"/>
  <c r="X174" i="7"/>
  <c r="C174" i="7"/>
  <c r="D174" i="7" s="1"/>
  <c r="B174" i="7"/>
  <c r="X173" i="7"/>
  <c r="G173" i="7"/>
  <c r="F173" i="7"/>
  <c r="F174" i="7" s="1"/>
  <c r="D173" i="7"/>
  <c r="C173" i="7"/>
  <c r="B173" i="7"/>
  <c r="X172" i="7"/>
  <c r="X179" i="7" s="1"/>
  <c r="D172" i="7"/>
  <c r="C172" i="7"/>
  <c r="B172" i="7"/>
  <c r="W169" i="7"/>
  <c r="V169" i="7"/>
  <c r="B169" i="7"/>
  <c r="X168" i="7"/>
  <c r="C168" i="7"/>
  <c r="D168" i="7" s="1"/>
  <c r="G168" i="7" s="1"/>
  <c r="B168" i="7"/>
  <c r="X167" i="7"/>
  <c r="C167" i="7"/>
  <c r="B167" i="7"/>
  <c r="W164" i="7"/>
  <c r="V164" i="7"/>
  <c r="X163" i="7"/>
  <c r="N163" i="7"/>
  <c r="O163" i="7" s="1"/>
  <c r="M163" i="7"/>
  <c r="D163" i="7"/>
  <c r="G163" i="7" s="1"/>
  <c r="C163" i="7"/>
  <c r="B163" i="7"/>
  <c r="X162" i="7"/>
  <c r="M162" i="7"/>
  <c r="D162" i="7"/>
  <c r="G162" i="7" s="1"/>
  <c r="C162" i="7"/>
  <c r="B162" i="7"/>
  <c r="X161" i="7"/>
  <c r="F161" i="7"/>
  <c r="C161" i="7"/>
  <c r="D161" i="7" s="1"/>
  <c r="B161" i="7"/>
  <c r="X160" i="7"/>
  <c r="F160" i="7"/>
  <c r="C160" i="7"/>
  <c r="B160" i="7"/>
  <c r="X159" i="7"/>
  <c r="M159" i="7"/>
  <c r="M160" i="7" s="1"/>
  <c r="M161" i="7" s="1"/>
  <c r="C159" i="7"/>
  <c r="D159" i="7" s="1"/>
  <c r="B159" i="7"/>
  <c r="X158" i="7"/>
  <c r="M158" i="7"/>
  <c r="C158" i="7"/>
  <c r="B158" i="7"/>
  <c r="X157" i="7"/>
  <c r="M157" i="7"/>
  <c r="F157" i="7"/>
  <c r="C157" i="7"/>
  <c r="D157" i="7" s="1"/>
  <c r="B157" i="7"/>
  <c r="X156" i="7"/>
  <c r="M156" i="7"/>
  <c r="C156" i="7"/>
  <c r="B156" i="7"/>
  <c r="B164" i="7" s="1"/>
  <c r="W153" i="7"/>
  <c r="V153" i="7"/>
  <c r="X152" i="7"/>
  <c r="C152" i="7"/>
  <c r="D152" i="7" s="1"/>
  <c r="B152" i="7"/>
  <c r="X151" i="7"/>
  <c r="C151" i="7"/>
  <c r="D151" i="7" s="1"/>
  <c r="B151" i="7"/>
  <c r="X150" i="7"/>
  <c r="C150" i="7"/>
  <c r="B150" i="7"/>
  <c r="D150" i="7" s="1"/>
  <c r="X149" i="7"/>
  <c r="C149" i="7"/>
  <c r="D149" i="7" s="1"/>
  <c r="B149" i="7"/>
  <c r="X148" i="7"/>
  <c r="C148" i="7"/>
  <c r="B148" i="7"/>
  <c r="D148" i="7" s="1"/>
  <c r="X147" i="7"/>
  <c r="C147" i="7"/>
  <c r="D147" i="7" s="1"/>
  <c r="B147" i="7"/>
  <c r="X146" i="7"/>
  <c r="D146" i="7"/>
  <c r="C146" i="7"/>
  <c r="B146" i="7"/>
  <c r="X145" i="7"/>
  <c r="C145" i="7"/>
  <c r="B145" i="7"/>
  <c r="X144" i="7"/>
  <c r="C144" i="7"/>
  <c r="B144" i="7"/>
  <c r="X143" i="7"/>
  <c r="D143" i="7"/>
  <c r="C143" i="7"/>
  <c r="B143" i="7"/>
  <c r="X142" i="7"/>
  <c r="D142" i="7"/>
  <c r="C142" i="7"/>
  <c r="B142" i="7"/>
  <c r="X141" i="7"/>
  <c r="C141" i="7"/>
  <c r="D141" i="7" s="1"/>
  <c r="B141" i="7"/>
  <c r="X140" i="7"/>
  <c r="C140" i="7"/>
  <c r="B140" i="7"/>
  <c r="D140" i="7" s="1"/>
  <c r="X139" i="7"/>
  <c r="C139" i="7"/>
  <c r="D139" i="7" s="1"/>
  <c r="B139" i="7"/>
  <c r="X138" i="7"/>
  <c r="D138" i="7"/>
  <c r="N138" i="7" s="1"/>
  <c r="O138" i="7" s="1"/>
  <c r="C138" i="7"/>
  <c r="B138" i="7"/>
  <c r="X137" i="7"/>
  <c r="F137" i="7"/>
  <c r="C137" i="7"/>
  <c r="B137" i="7"/>
  <c r="X136" i="7"/>
  <c r="X153" i="7" s="1"/>
  <c r="C136" i="7"/>
  <c r="D136" i="7" s="1"/>
  <c r="B136" i="7"/>
  <c r="X135" i="7"/>
  <c r="M135" i="7"/>
  <c r="M136" i="7" s="1"/>
  <c r="M137" i="7" s="1"/>
  <c r="M138" i="7" s="1"/>
  <c r="M139" i="7" s="1"/>
  <c r="M140" i="7" s="1"/>
  <c r="M141" i="7" s="1"/>
  <c r="M142" i="7" s="1"/>
  <c r="F135" i="7"/>
  <c r="F136" i="7" s="1"/>
  <c r="D135" i="7"/>
  <c r="N135" i="7" s="1"/>
  <c r="O135" i="7" s="1"/>
  <c r="C135" i="7"/>
  <c r="B135" i="7"/>
  <c r="X134" i="7"/>
  <c r="M134" i="7"/>
  <c r="D134" i="7"/>
  <c r="C134" i="7"/>
  <c r="B134" i="7"/>
  <c r="W131" i="7"/>
  <c r="V131" i="7"/>
  <c r="X130" i="7"/>
  <c r="C130" i="7"/>
  <c r="D130" i="7" s="1"/>
  <c r="B130" i="7"/>
  <c r="X129" i="7"/>
  <c r="D129" i="7"/>
  <c r="C129" i="7"/>
  <c r="B129" i="7"/>
  <c r="X128" i="7"/>
  <c r="C128" i="7"/>
  <c r="B128" i="7"/>
  <c r="X127" i="7"/>
  <c r="C127" i="7"/>
  <c r="B127" i="7"/>
  <c r="X126" i="7"/>
  <c r="D126" i="7"/>
  <c r="C126" i="7"/>
  <c r="B126" i="7"/>
  <c r="X125" i="7"/>
  <c r="D125" i="7"/>
  <c r="C125" i="7"/>
  <c r="B125" i="7"/>
  <c r="X124" i="7"/>
  <c r="C124" i="7"/>
  <c r="D124" i="7" s="1"/>
  <c r="B124" i="7"/>
  <c r="X123" i="7"/>
  <c r="C123" i="7"/>
  <c r="B123" i="7"/>
  <c r="D123" i="7" s="1"/>
  <c r="X122" i="7"/>
  <c r="C122" i="7"/>
  <c r="D122" i="7" s="1"/>
  <c r="B122" i="7"/>
  <c r="X121" i="7"/>
  <c r="D121" i="7"/>
  <c r="N121" i="7" s="1"/>
  <c r="O121" i="7" s="1"/>
  <c r="C121" i="7"/>
  <c r="B121" i="7"/>
  <c r="X120" i="7"/>
  <c r="C120" i="7"/>
  <c r="B120" i="7"/>
  <c r="X119" i="7"/>
  <c r="C119" i="7"/>
  <c r="D119" i="7" s="1"/>
  <c r="N119" i="7" s="1"/>
  <c r="O119" i="7" s="1"/>
  <c r="B119" i="7"/>
  <c r="X118" i="7"/>
  <c r="M118" i="7"/>
  <c r="M119" i="7" s="1"/>
  <c r="M120" i="7" s="1"/>
  <c r="M121" i="7" s="1"/>
  <c r="M122" i="7" s="1"/>
  <c r="M123" i="7" s="1"/>
  <c r="M124" i="7" s="1"/>
  <c r="M125" i="7" s="1"/>
  <c r="D118" i="7"/>
  <c r="C118" i="7"/>
  <c r="B118" i="7"/>
  <c r="X117" i="7"/>
  <c r="C117" i="7"/>
  <c r="B117" i="7"/>
  <c r="X116" i="7"/>
  <c r="N116" i="7"/>
  <c r="O116" i="7" s="1"/>
  <c r="F116" i="7"/>
  <c r="C116" i="7"/>
  <c r="D116" i="7" s="1"/>
  <c r="B116" i="7"/>
  <c r="X115" i="7"/>
  <c r="M115" i="7"/>
  <c r="M116" i="7" s="1"/>
  <c r="M117" i="7" s="1"/>
  <c r="C115" i="7"/>
  <c r="B115" i="7"/>
  <c r="W112" i="7"/>
  <c r="V112" i="7"/>
  <c r="X111" i="7"/>
  <c r="C111" i="7"/>
  <c r="B111" i="7"/>
  <c r="X110" i="7"/>
  <c r="C110" i="7"/>
  <c r="D110" i="7" s="1"/>
  <c r="B110" i="7"/>
  <c r="X109" i="7"/>
  <c r="C109" i="7"/>
  <c r="D109" i="7" s="1"/>
  <c r="B109" i="7"/>
  <c r="X108" i="7"/>
  <c r="D108" i="7"/>
  <c r="C108" i="7"/>
  <c r="B108" i="7"/>
  <c r="X107" i="7"/>
  <c r="C107" i="7"/>
  <c r="D107" i="7" s="1"/>
  <c r="B107" i="7"/>
  <c r="X106" i="7"/>
  <c r="D106" i="7"/>
  <c r="C106" i="7"/>
  <c r="B106" i="7"/>
  <c r="X105" i="7"/>
  <c r="C105" i="7"/>
  <c r="D105" i="7" s="1"/>
  <c r="B105" i="7"/>
  <c r="X104" i="7"/>
  <c r="D104" i="7"/>
  <c r="C104" i="7"/>
  <c r="B104" i="7"/>
  <c r="X103" i="7"/>
  <c r="C103" i="7"/>
  <c r="B103" i="7"/>
  <c r="X102" i="7"/>
  <c r="C102" i="7"/>
  <c r="D102" i="7" s="1"/>
  <c r="B102" i="7"/>
  <c r="X101" i="7"/>
  <c r="C101" i="7"/>
  <c r="D101" i="7" s="1"/>
  <c r="B101" i="7"/>
  <c r="X100" i="7"/>
  <c r="D100" i="7"/>
  <c r="C100" i="7"/>
  <c r="B100" i="7"/>
  <c r="X99" i="7"/>
  <c r="C99" i="7"/>
  <c r="D99" i="7" s="1"/>
  <c r="B99" i="7"/>
  <c r="X98" i="7"/>
  <c r="M98" i="7"/>
  <c r="M99" i="7" s="1"/>
  <c r="D98" i="7"/>
  <c r="C98" i="7"/>
  <c r="B98" i="7"/>
  <c r="X97" i="7"/>
  <c r="F97" i="7"/>
  <c r="C97" i="7"/>
  <c r="D97" i="7" s="1"/>
  <c r="N97" i="7" s="1"/>
  <c r="O97" i="7" s="1"/>
  <c r="B97" i="7"/>
  <c r="X96" i="7"/>
  <c r="M96" i="7"/>
  <c r="M97" i="7" s="1"/>
  <c r="C96" i="7"/>
  <c r="B96" i="7"/>
  <c r="W93" i="7"/>
  <c r="V93" i="7"/>
  <c r="B93" i="7"/>
  <c r="X92" i="7"/>
  <c r="D92" i="7"/>
  <c r="N92" i="7" s="1"/>
  <c r="O92" i="7" s="1"/>
  <c r="C92" i="7"/>
  <c r="B92" i="7"/>
  <c r="X91" i="7"/>
  <c r="N91" i="7"/>
  <c r="O91" i="7" s="1"/>
  <c r="C91" i="7"/>
  <c r="B91" i="7"/>
  <c r="D91" i="7" s="1"/>
  <c r="X90" i="7"/>
  <c r="C90" i="7"/>
  <c r="B90" i="7"/>
  <c r="X89" i="7"/>
  <c r="C89" i="7"/>
  <c r="D89" i="7" s="1"/>
  <c r="N89" i="7" s="1"/>
  <c r="O89" i="7" s="1"/>
  <c r="B89" i="7"/>
  <c r="X88" i="7"/>
  <c r="C88" i="7"/>
  <c r="D88" i="7" s="1"/>
  <c r="N88" i="7" s="1"/>
  <c r="O88" i="7" s="1"/>
  <c r="B88" i="7"/>
  <c r="X87" i="7"/>
  <c r="M87" i="7"/>
  <c r="M88" i="7" s="1"/>
  <c r="M89" i="7" s="1"/>
  <c r="M90" i="7" s="1"/>
  <c r="M91" i="7" s="1"/>
  <c r="M92" i="7" s="1"/>
  <c r="D87" i="7"/>
  <c r="N87" i="7" s="1"/>
  <c r="O87" i="7" s="1"/>
  <c r="C87" i="7"/>
  <c r="B87" i="7"/>
  <c r="X86" i="7"/>
  <c r="N86" i="7"/>
  <c r="O86" i="7" s="1"/>
  <c r="C86" i="7"/>
  <c r="B86" i="7"/>
  <c r="D86" i="7" s="1"/>
  <c r="X85" i="7"/>
  <c r="F85" i="7"/>
  <c r="C85" i="7"/>
  <c r="D85" i="7" s="1"/>
  <c r="B85" i="7"/>
  <c r="X84" i="7"/>
  <c r="N84" i="7"/>
  <c r="O84" i="7" s="1"/>
  <c r="M84" i="7"/>
  <c r="M85" i="7" s="1"/>
  <c r="M86" i="7" s="1"/>
  <c r="F84" i="7"/>
  <c r="C84" i="7"/>
  <c r="B84" i="7"/>
  <c r="D84" i="7" s="1"/>
  <c r="G84" i="7" s="1"/>
  <c r="X83" i="7"/>
  <c r="M83" i="7"/>
  <c r="G83" i="7"/>
  <c r="C83" i="7"/>
  <c r="B83" i="7"/>
  <c r="D83" i="7" s="1"/>
  <c r="X80" i="7"/>
  <c r="W80" i="7"/>
  <c r="V80" i="7"/>
  <c r="X79" i="7"/>
  <c r="C79" i="7"/>
  <c r="B79" i="7"/>
  <c r="X78" i="7"/>
  <c r="C78" i="7"/>
  <c r="D78" i="7" s="1"/>
  <c r="B78" i="7"/>
  <c r="X77" i="7"/>
  <c r="D77" i="7"/>
  <c r="C77" i="7"/>
  <c r="B77" i="7"/>
  <c r="X76" i="7"/>
  <c r="M76" i="7"/>
  <c r="D76" i="7"/>
  <c r="C76" i="7"/>
  <c r="B76" i="7"/>
  <c r="X75" i="7"/>
  <c r="C75" i="7"/>
  <c r="B75" i="7"/>
  <c r="D75" i="7" s="1"/>
  <c r="X74" i="7"/>
  <c r="C74" i="7"/>
  <c r="D74" i="7" s="1"/>
  <c r="N74" i="7" s="1"/>
  <c r="O74" i="7" s="1"/>
  <c r="B74" i="7"/>
  <c r="X73" i="7"/>
  <c r="C73" i="7"/>
  <c r="D73" i="7" s="1"/>
  <c r="N73" i="7" s="1"/>
  <c r="O73" i="7" s="1"/>
  <c r="B73" i="7"/>
  <c r="X72" i="7"/>
  <c r="M72" i="7"/>
  <c r="M73" i="7" s="1"/>
  <c r="M74" i="7" s="1"/>
  <c r="M75" i="7" s="1"/>
  <c r="F72" i="7"/>
  <c r="D72" i="7"/>
  <c r="N72" i="7" s="1"/>
  <c r="O72" i="7" s="1"/>
  <c r="C72" i="7"/>
  <c r="B72" i="7"/>
  <c r="X71" i="7"/>
  <c r="N71" i="7"/>
  <c r="O71" i="7" s="1"/>
  <c r="M71" i="7"/>
  <c r="D71" i="7"/>
  <c r="G71" i="7" s="1"/>
  <c r="C71" i="7"/>
  <c r="C80" i="7" s="1"/>
  <c r="B71" i="7"/>
  <c r="W68" i="7"/>
  <c r="V68" i="7"/>
  <c r="X67" i="7"/>
  <c r="D67" i="7"/>
  <c r="C67" i="7"/>
  <c r="B67" i="7"/>
  <c r="X66" i="7"/>
  <c r="C66" i="7"/>
  <c r="B66" i="7"/>
  <c r="D66" i="7" s="1"/>
  <c r="X65" i="7"/>
  <c r="X68" i="7" s="1"/>
  <c r="C65" i="7"/>
  <c r="D65" i="7" s="1"/>
  <c r="B65" i="7"/>
  <c r="X64" i="7"/>
  <c r="C64" i="7"/>
  <c r="B64" i="7"/>
  <c r="X63" i="7"/>
  <c r="M63" i="7"/>
  <c r="N63" i="7" s="1"/>
  <c r="O63" i="7" s="1"/>
  <c r="F63" i="7"/>
  <c r="D63" i="7"/>
  <c r="C63" i="7"/>
  <c r="B63" i="7"/>
  <c r="X62" i="7"/>
  <c r="N62" i="7"/>
  <c r="M62" i="7"/>
  <c r="G62" i="7"/>
  <c r="D62" i="7"/>
  <c r="C62" i="7"/>
  <c r="B62" i="7"/>
  <c r="B68" i="7" s="1"/>
  <c r="X59" i="7"/>
  <c r="W59" i="7"/>
  <c r="V59" i="7"/>
  <c r="C59" i="7"/>
  <c r="X58" i="7"/>
  <c r="N58" i="7"/>
  <c r="O58" i="7" s="1"/>
  <c r="M58" i="7"/>
  <c r="D58" i="7"/>
  <c r="C58" i="7"/>
  <c r="B58" i="7"/>
  <c r="X57" i="7"/>
  <c r="M57" i="7"/>
  <c r="C57" i="7"/>
  <c r="B57" i="7"/>
  <c r="D57" i="7" s="1"/>
  <c r="N57" i="7" s="1"/>
  <c r="O57" i="7" s="1"/>
  <c r="X56" i="7"/>
  <c r="M56" i="7"/>
  <c r="F56" i="7"/>
  <c r="H56" i="7" s="1"/>
  <c r="C56" i="7"/>
  <c r="B56" i="7"/>
  <c r="X55" i="7"/>
  <c r="C55" i="7"/>
  <c r="B55" i="7"/>
  <c r="W52" i="7"/>
  <c r="V52" i="7"/>
  <c r="X51" i="7"/>
  <c r="M51" i="7"/>
  <c r="D51" i="7"/>
  <c r="N51" i="7" s="1"/>
  <c r="O51" i="7" s="1"/>
  <c r="C51" i="7"/>
  <c r="B51" i="7"/>
  <c r="X50" i="7"/>
  <c r="N50" i="7"/>
  <c r="O50" i="7" s="1"/>
  <c r="M50" i="7"/>
  <c r="C50" i="7"/>
  <c r="D50" i="7" s="1"/>
  <c r="B50" i="7"/>
  <c r="X49" i="7"/>
  <c r="M49" i="7"/>
  <c r="C49" i="7"/>
  <c r="C52" i="7" s="1"/>
  <c r="B49" i="7"/>
  <c r="X48" i="7"/>
  <c r="M48" i="7"/>
  <c r="H48" i="7"/>
  <c r="F48" i="7"/>
  <c r="C48" i="7"/>
  <c r="B48" i="7"/>
  <c r="D48" i="7" s="1"/>
  <c r="X47" i="7"/>
  <c r="X52" i="7" s="1"/>
  <c r="M47" i="7"/>
  <c r="G47" i="7"/>
  <c r="C47" i="7"/>
  <c r="D47" i="7" s="1"/>
  <c r="N47" i="7" s="1"/>
  <c r="B47" i="7"/>
  <c r="B52" i="7" s="1"/>
  <c r="W44" i="7"/>
  <c r="V44" i="7"/>
  <c r="B44" i="7"/>
  <c r="X43" i="7"/>
  <c r="M43" i="7"/>
  <c r="D43" i="7"/>
  <c r="N43" i="7" s="1"/>
  <c r="O43" i="7" s="1"/>
  <c r="C43" i="7"/>
  <c r="B43" i="7"/>
  <c r="X42" i="7"/>
  <c r="M42" i="7"/>
  <c r="D42" i="7"/>
  <c r="N42" i="7" s="1"/>
  <c r="O42" i="7" s="1"/>
  <c r="C42" i="7"/>
  <c r="B42" i="7"/>
  <c r="X41" i="7"/>
  <c r="N41" i="7"/>
  <c r="O41" i="7" s="1"/>
  <c r="M41" i="7"/>
  <c r="C41" i="7"/>
  <c r="D41" i="7" s="1"/>
  <c r="B41" i="7"/>
  <c r="X40" i="7"/>
  <c r="M40" i="7"/>
  <c r="C40" i="7"/>
  <c r="B40" i="7"/>
  <c r="D40" i="7" s="1"/>
  <c r="N40" i="7" s="1"/>
  <c r="O40" i="7" s="1"/>
  <c r="X39" i="7"/>
  <c r="M39" i="7"/>
  <c r="F39" i="7"/>
  <c r="C39" i="7"/>
  <c r="D39" i="7" s="1"/>
  <c r="N39" i="7" s="1"/>
  <c r="O39" i="7" s="1"/>
  <c r="B39" i="7"/>
  <c r="X38" i="7"/>
  <c r="M38" i="7"/>
  <c r="G38" i="7"/>
  <c r="C38" i="7"/>
  <c r="D38" i="7" s="1"/>
  <c r="B38" i="7"/>
  <c r="W35" i="7"/>
  <c r="V35" i="7"/>
  <c r="X34" i="7"/>
  <c r="M34" i="7"/>
  <c r="D34" i="7"/>
  <c r="C34" i="7"/>
  <c r="B34" i="7"/>
  <c r="X33" i="7"/>
  <c r="M33" i="7"/>
  <c r="C33" i="7"/>
  <c r="B33" i="7"/>
  <c r="B35" i="7" s="1"/>
  <c r="X32" i="7"/>
  <c r="M32" i="7"/>
  <c r="F32" i="7"/>
  <c r="F33" i="7" s="1"/>
  <c r="C32" i="7"/>
  <c r="D32" i="7" s="1"/>
  <c r="N32" i="7" s="1"/>
  <c r="O32" i="7" s="1"/>
  <c r="B32" i="7"/>
  <c r="X31" i="7"/>
  <c r="X35" i="7" s="1"/>
  <c r="M31" i="7"/>
  <c r="C31" i="7"/>
  <c r="D31" i="7" s="1"/>
  <c r="G31" i="7" s="1"/>
  <c r="B31" i="7"/>
  <c r="W28" i="7"/>
  <c r="V28" i="7"/>
  <c r="X27" i="7"/>
  <c r="M27" i="7"/>
  <c r="C27" i="7"/>
  <c r="B27" i="7"/>
  <c r="D27" i="7" s="1"/>
  <c r="N27" i="7" s="1"/>
  <c r="O27" i="7" s="1"/>
  <c r="X26" i="7"/>
  <c r="M26" i="7"/>
  <c r="C26" i="7"/>
  <c r="B26" i="7"/>
  <c r="X25" i="7"/>
  <c r="M25" i="7"/>
  <c r="D25" i="7"/>
  <c r="N25" i="7" s="1"/>
  <c r="O25" i="7" s="1"/>
  <c r="C25" i="7"/>
  <c r="B25" i="7"/>
  <c r="X24" i="7"/>
  <c r="M24" i="7"/>
  <c r="D24" i="7"/>
  <c r="N24" i="7" s="1"/>
  <c r="O24" i="7" s="1"/>
  <c r="C24" i="7"/>
  <c r="B24" i="7"/>
  <c r="X23" i="7"/>
  <c r="N23" i="7"/>
  <c r="O23" i="7" s="1"/>
  <c r="M23" i="7"/>
  <c r="C23" i="7"/>
  <c r="D23" i="7" s="1"/>
  <c r="B23" i="7"/>
  <c r="X22" i="7"/>
  <c r="M22" i="7"/>
  <c r="C22" i="7"/>
  <c r="B22" i="7"/>
  <c r="D22" i="7" s="1"/>
  <c r="N22" i="7" s="1"/>
  <c r="O22" i="7" s="1"/>
  <c r="X21" i="7"/>
  <c r="M21" i="7"/>
  <c r="C21" i="7"/>
  <c r="B21" i="7"/>
  <c r="X20" i="7"/>
  <c r="O20" i="7"/>
  <c r="M20" i="7"/>
  <c r="D20" i="7"/>
  <c r="N20" i="7" s="1"/>
  <c r="C20" i="7"/>
  <c r="B20" i="7"/>
  <c r="X19" i="7"/>
  <c r="M19" i="7"/>
  <c r="C19" i="7"/>
  <c r="B19" i="7"/>
  <c r="D19" i="7" s="1"/>
  <c r="N19" i="7" s="1"/>
  <c r="O19" i="7" s="1"/>
  <c r="X18" i="7"/>
  <c r="M18" i="7"/>
  <c r="C18" i="7"/>
  <c r="D18" i="7" s="1"/>
  <c r="N18" i="7" s="1"/>
  <c r="O18" i="7" s="1"/>
  <c r="B18" i="7"/>
  <c r="X17" i="7"/>
  <c r="M17" i="7"/>
  <c r="C17" i="7"/>
  <c r="D17" i="7" s="1"/>
  <c r="N17" i="7" s="1"/>
  <c r="O17" i="7" s="1"/>
  <c r="B17" i="7"/>
  <c r="X16" i="7"/>
  <c r="M16" i="7"/>
  <c r="F16" i="7"/>
  <c r="H16" i="7" s="1"/>
  <c r="C16" i="7"/>
  <c r="D16" i="7" s="1"/>
  <c r="N16" i="7" s="1"/>
  <c r="O16" i="7" s="1"/>
  <c r="B16" i="7"/>
  <c r="X15" i="7"/>
  <c r="M15" i="7"/>
  <c r="F15" i="7"/>
  <c r="C15" i="7"/>
  <c r="D15" i="7" s="1"/>
  <c r="B15" i="7"/>
  <c r="X14" i="7"/>
  <c r="X28" i="7" s="1"/>
  <c r="M14" i="7"/>
  <c r="H14" i="7"/>
  <c r="J14" i="7" s="1"/>
  <c r="L14" i="7" s="1"/>
  <c r="C14" i="7"/>
  <c r="C28" i="7" s="1"/>
  <c r="B14" i="7"/>
  <c r="C13" i="7"/>
  <c r="B13" i="7"/>
  <c r="C12" i="7"/>
  <c r="B12" i="7"/>
  <c r="X11" i="7"/>
  <c r="M11" i="7"/>
  <c r="C11" i="7"/>
  <c r="B11" i="7"/>
  <c r="D11" i="7" s="1"/>
  <c r="H10" i="7"/>
  <c r="H4" i="7"/>
  <c r="A1" i="7"/>
  <c r="H11" i="5" l="1"/>
  <c r="G11" i="7"/>
  <c r="N11" i="7"/>
  <c r="O11" i="7" s="1"/>
  <c r="J16" i="7"/>
  <c r="L16" i="7" s="1"/>
  <c r="I16" i="7"/>
  <c r="O47" i="7"/>
  <c r="H33" i="7"/>
  <c r="F34" i="7"/>
  <c r="G15" i="7"/>
  <c r="N15" i="7"/>
  <c r="O15" i="7" s="1"/>
  <c r="G32" i="7"/>
  <c r="H365" i="7"/>
  <c r="H362" i="7"/>
  <c r="H302" i="7"/>
  <c r="H350" i="7"/>
  <c r="H333" i="7"/>
  <c r="H367" i="7"/>
  <c r="H338" i="7"/>
  <c r="H397" i="7"/>
  <c r="H393" i="7"/>
  <c r="H385" i="7"/>
  <c r="H373" i="7"/>
  <c r="H363" i="7"/>
  <c r="H324" i="7"/>
  <c r="H323" i="7"/>
  <c r="H332" i="7"/>
  <c r="H326" i="7"/>
  <c r="H320" i="7"/>
  <c r="H317" i="7"/>
  <c r="H366" i="7"/>
  <c r="H344" i="7"/>
  <c r="H322" i="7"/>
  <c r="H301" i="7"/>
  <c r="H293" i="7"/>
  <c r="H319" i="7"/>
  <c r="H383" i="7"/>
  <c r="H278" i="7"/>
  <c r="H223" i="7"/>
  <c r="H217" i="7"/>
  <c r="H375" i="7"/>
  <c r="H315" i="7"/>
  <c r="H206" i="7"/>
  <c r="H200" i="7"/>
  <c r="H294" i="7"/>
  <c r="H279" i="7"/>
  <c r="H168" i="7"/>
  <c r="H156" i="7"/>
  <c r="H257" i="7"/>
  <c r="H209" i="7"/>
  <c r="H190" i="7"/>
  <c r="H287" i="7"/>
  <c r="H233" i="7"/>
  <c r="H173" i="7"/>
  <c r="H167" i="7"/>
  <c r="H243" i="7"/>
  <c r="H227" i="7"/>
  <c r="H226" i="7"/>
  <c r="H379" i="7"/>
  <c r="H318" i="7"/>
  <c r="H316" i="7"/>
  <c r="H266" i="7"/>
  <c r="H159" i="7"/>
  <c r="H281" i="7"/>
  <c r="H163" i="7"/>
  <c r="H157" i="7"/>
  <c r="H134" i="7"/>
  <c r="H267" i="7"/>
  <c r="H172" i="7"/>
  <c r="H189" i="7"/>
  <c r="H96" i="7"/>
  <c r="H197" i="7"/>
  <c r="H135" i="7"/>
  <c r="H71" i="7"/>
  <c r="H62" i="7"/>
  <c r="H210" i="7"/>
  <c r="H161" i="7"/>
  <c r="H182" i="7"/>
  <c r="H158" i="7"/>
  <c r="H47" i="7"/>
  <c r="H38" i="7"/>
  <c r="H285" i="7"/>
  <c r="H115" i="7"/>
  <c r="H55" i="7"/>
  <c r="H11" i="7"/>
  <c r="H97" i="7"/>
  <c r="H83" i="7"/>
  <c r="D26" i="7"/>
  <c r="N26" i="7" s="1"/>
  <c r="O26" i="7" s="1"/>
  <c r="C44" i="7"/>
  <c r="G48" i="7"/>
  <c r="F49" i="7"/>
  <c r="D49" i="7"/>
  <c r="N49" i="7" s="1"/>
  <c r="O49" i="7" s="1"/>
  <c r="N75" i="7"/>
  <c r="O75" i="7" s="1"/>
  <c r="H85" i="7"/>
  <c r="G85" i="7"/>
  <c r="F86" i="7"/>
  <c r="N102" i="7"/>
  <c r="O102" i="7" s="1"/>
  <c r="H116" i="7"/>
  <c r="F117" i="7"/>
  <c r="G116" i="7"/>
  <c r="H162" i="7"/>
  <c r="C35" i="7"/>
  <c r="D14" i="7"/>
  <c r="B59" i="7"/>
  <c r="D55" i="7"/>
  <c r="I48" i="7"/>
  <c r="J48" i="7"/>
  <c r="L48" i="7" s="1"/>
  <c r="M77" i="7"/>
  <c r="M78" i="7" s="1"/>
  <c r="M79" i="7" s="1"/>
  <c r="N76" i="7"/>
  <c r="O76" i="7" s="1"/>
  <c r="W193" i="7"/>
  <c r="X112" i="7"/>
  <c r="N100" i="7"/>
  <c r="O100" i="7" s="1"/>
  <c r="M126" i="7"/>
  <c r="M127" i="7" s="1"/>
  <c r="M128" i="7" s="1"/>
  <c r="M129" i="7" s="1"/>
  <c r="M130" i="7" s="1"/>
  <c r="N125" i="7"/>
  <c r="O125" i="7" s="1"/>
  <c r="D153" i="7"/>
  <c r="G134" i="7"/>
  <c r="N134" i="7"/>
  <c r="M143" i="7"/>
  <c r="M144" i="7" s="1"/>
  <c r="M145" i="7" s="1"/>
  <c r="M146" i="7" s="1"/>
  <c r="M147" i="7" s="1"/>
  <c r="M148" i="7" s="1"/>
  <c r="M149" i="7" s="1"/>
  <c r="M150" i="7" s="1"/>
  <c r="M151" i="7" s="1"/>
  <c r="M152" i="7" s="1"/>
  <c r="N142" i="7"/>
  <c r="O142" i="7" s="1"/>
  <c r="N139" i="7"/>
  <c r="O139" i="7" s="1"/>
  <c r="N141" i="7"/>
  <c r="O141" i="7" s="1"/>
  <c r="J56" i="7"/>
  <c r="L56" i="7" s="1"/>
  <c r="I56" i="7"/>
  <c r="N38" i="7"/>
  <c r="D44" i="7"/>
  <c r="X44" i="7"/>
  <c r="M52" i="7"/>
  <c r="F57" i="7"/>
  <c r="H72" i="7"/>
  <c r="N124" i="7"/>
  <c r="O124" i="7" s="1"/>
  <c r="F17" i="7"/>
  <c r="G16" i="7"/>
  <c r="D33" i="7"/>
  <c r="N33" i="7" s="1"/>
  <c r="O33" i="7" s="1"/>
  <c r="B28" i="7"/>
  <c r="H15" i="7"/>
  <c r="N34" i="7"/>
  <c r="O34" i="7" s="1"/>
  <c r="C68" i="7"/>
  <c r="D64" i="7"/>
  <c r="B131" i="7"/>
  <c r="D117" i="7"/>
  <c r="N117" i="7" s="1"/>
  <c r="O117" i="7" s="1"/>
  <c r="N31" i="7"/>
  <c r="D80" i="7"/>
  <c r="C169" i="7"/>
  <c r="D167" i="7"/>
  <c r="F40" i="7"/>
  <c r="G39" i="7"/>
  <c r="D21" i="7"/>
  <c r="N21" i="7" s="1"/>
  <c r="O21" i="7" s="1"/>
  <c r="H31" i="7"/>
  <c r="H32" i="7"/>
  <c r="H39" i="7"/>
  <c r="N48" i="7"/>
  <c r="O48" i="7" s="1"/>
  <c r="P48" i="7" s="1"/>
  <c r="Q48" i="7" s="1"/>
  <c r="R48" i="7" s="1"/>
  <c r="O62" i="7"/>
  <c r="M64" i="7"/>
  <c r="M65" i="7" s="1"/>
  <c r="M66" i="7" s="1"/>
  <c r="N77" i="7"/>
  <c r="O77" i="7" s="1"/>
  <c r="O80" i="7" s="1"/>
  <c r="G172" i="7"/>
  <c r="D176" i="7"/>
  <c r="C179" i="7"/>
  <c r="D79" i="7"/>
  <c r="N79" i="7" s="1"/>
  <c r="O79" i="7" s="1"/>
  <c r="H84" i="7"/>
  <c r="M100" i="7"/>
  <c r="M101" i="7" s="1"/>
  <c r="M102" i="7" s="1"/>
  <c r="M103" i="7" s="1"/>
  <c r="M104" i="7" s="1"/>
  <c r="M105" i="7" s="1"/>
  <c r="M106" i="7" s="1"/>
  <c r="M107" i="7" s="1"/>
  <c r="N99" i="7"/>
  <c r="O99" i="7" s="1"/>
  <c r="N136" i="7"/>
  <c r="O136" i="7" s="1"/>
  <c r="G159" i="7"/>
  <c r="N159" i="7"/>
  <c r="O159" i="7" s="1"/>
  <c r="G209" i="7"/>
  <c r="N209" i="7"/>
  <c r="H63" i="7"/>
  <c r="F64" i="7"/>
  <c r="G63" i="7"/>
  <c r="N78" i="7"/>
  <c r="O78" i="7" s="1"/>
  <c r="D96" i="7"/>
  <c r="C112" i="7"/>
  <c r="N122" i="7"/>
  <c r="O122" i="7" s="1"/>
  <c r="B80" i="7"/>
  <c r="N152" i="7"/>
  <c r="O152" i="7" s="1"/>
  <c r="X164" i="7"/>
  <c r="G259" i="7"/>
  <c r="H259" i="7"/>
  <c r="F260" i="7"/>
  <c r="D56" i="7"/>
  <c r="N56" i="7" s="1"/>
  <c r="O56" i="7" s="1"/>
  <c r="D93" i="7"/>
  <c r="N83" i="7"/>
  <c r="X93" i="7"/>
  <c r="N105" i="7"/>
  <c r="O105" i="7" s="1"/>
  <c r="N118" i="7"/>
  <c r="O118" i="7" s="1"/>
  <c r="F138" i="7"/>
  <c r="H137" i="7"/>
  <c r="C93" i="7"/>
  <c r="B153" i="7"/>
  <c r="B193" i="7" s="1"/>
  <c r="G157" i="7"/>
  <c r="N157" i="7"/>
  <c r="O157" i="7" s="1"/>
  <c r="H228" i="7"/>
  <c r="G228" i="7"/>
  <c r="F229" i="7"/>
  <c r="D90" i="7"/>
  <c r="N90" i="7" s="1"/>
  <c r="O90" i="7" s="1"/>
  <c r="F98" i="7"/>
  <c r="G97" i="7"/>
  <c r="D120" i="7"/>
  <c r="N120" i="7" s="1"/>
  <c r="O120" i="7" s="1"/>
  <c r="N123" i="7"/>
  <c r="O123" i="7" s="1"/>
  <c r="C153" i="7"/>
  <c r="D137" i="7"/>
  <c r="N137" i="7" s="1"/>
  <c r="O137" i="7" s="1"/>
  <c r="N140" i="7"/>
  <c r="O140" i="7" s="1"/>
  <c r="N161" i="7"/>
  <c r="O161" i="7" s="1"/>
  <c r="N98" i="7"/>
  <c r="O98" i="7" s="1"/>
  <c r="D103" i="7"/>
  <c r="N103" i="7" s="1"/>
  <c r="O103" i="7" s="1"/>
  <c r="N106" i="7"/>
  <c r="O106" i="7" s="1"/>
  <c r="D111" i="7"/>
  <c r="X131" i="7"/>
  <c r="D128" i="7"/>
  <c r="N128" i="7" s="1"/>
  <c r="O128" i="7" s="1"/>
  <c r="H136" i="7"/>
  <c r="G136" i="7"/>
  <c r="D145" i="7"/>
  <c r="N145" i="7" s="1"/>
  <c r="O145" i="7" s="1"/>
  <c r="N148" i="7"/>
  <c r="O148" i="7" s="1"/>
  <c r="N150" i="7"/>
  <c r="O150" i="7" s="1"/>
  <c r="X169" i="7"/>
  <c r="F175" i="7"/>
  <c r="G174" i="7"/>
  <c r="H174" i="7"/>
  <c r="D184" i="7"/>
  <c r="C186" i="7"/>
  <c r="G72" i="7"/>
  <c r="F73" i="7"/>
  <c r="C131" i="7"/>
  <c r="D115" i="7"/>
  <c r="D127" i="7"/>
  <c r="N127" i="7" s="1"/>
  <c r="O127" i="7" s="1"/>
  <c r="N129" i="7"/>
  <c r="O129" i="7" s="1"/>
  <c r="N130" i="7"/>
  <c r="O130" i="7" s="1"/>
  <c r="D144" i="7"/>
  <c r="N144" i="7" s="1"/>
  <c r="O144" i="7" s="1"/>
  <c r="N146" i="7"/>
  <c r="O146" i="7" s="1"/>
  <c r="N147" i="7"/>
  <c r="O147" i="7" s="1"/>
  <c r="N149" i="7"/>
  <c r="O149" i="7" s="1"/>
  <c r="N151" i="7"/>
  <c r="O151" i="7" s="1"/>
  <c r="N162" i="7"/>
  <c r="O162" i="7" s="1"/>
  <c r="H234" i="7"/>
  <c r="G234" i="7"/>
  <c r="F235" i="7"/>
  <c r="N85" i="7"/>
  <c r="O85" i="7" s="1"/>
  <c r="B112" i="7"/>
  <c r="N126" i="7"/>
  <c r="O126" i="7" s="1"/>
  <c r="N143" i="7"/>
  <c r="O143" i="7" s="1"/>
  <c r="H160" i="7"/>
  <c r="B186" i="7"/>
  <c r="G211" i="7"/>
  <c r="F212" i="7"/>
  <c r="G161" i="7"/>
  <c r="B179" i="7"/>
  <c r="D177" i="7"/>
  <c r="D179" i="7" s="1"/>
  <c r="D182" i="7"/>
  <c r="H183" i="7"/>
  <c r="H211" i="7"/>
  <c r="N219" i="7"/>
  <c r="O219" i="7" s="1"/>
  <c r="G226" i="7"/>
  <c r="D230" i="7"/>
  <c r="N226" i="7"/>
  <c r="D282" i="7"/>
  <c r="G278" i="7"/>
  <c r="G282" i="7" s="1"/>
  <c r="N278" i="7"/>
  <c r="C164" i="7"/>
  <c r="D156" i="7"/>
  <c r="D185" i="7"/>
  <c r="N201" i="7"/>
  <c r="H244" i="7"/>
  <c r="G244" i="7"/>
  <c r="F245" i="7"/>
  <c r="H386" i="7"/>
  <c r="G386" i="7"/>
  <c r="F387" i="7"/>
  <c r="G135" i="7"/>
  <c r="D158" i="7"/>
  <c r="X186" i="7"/>
  <c r="H201" i="7"/>
  <c r="G269" i="7"/>
  <c r="F270" i="7"/>
  <c r="H269" i="7"/>
  <c r="D160" i="7"/>
  <c r="V193" i="7"/>
  <c r="F185" i="7"/>
  <c r="H184" i="7"/>
  <c r="G184" i="7"/>
  <c r="D203" i="7"/>
  <c r="G288" i="7"/>
  <c r="F289" i="7"/>
  <c r="H288" i="7"/>
  <c r="F202" i="7"/>
  <c r="G266" i="7"/>
  <c r="D275" i="7"/>
  <c r="H268" i="7"/>
  <c r="G268" i="7"/>
  <c r="H374" i="7"/>
  <c r="G374" i="7"/>
  <c r="N218" i="7"/>
  <c r="O218" i="7" s="1"/>
  <c r="N223" i="7"/>
  <c r="O223" i="7" s="1"/>
  <c r="H258" i="7"/>
  <c r="G258" i="7"/>
  <c r="G201" i="7"/>
  <c r="H219" i="7"/>
  <c r="H398" i="7"/>
  <c r="G398" i="7"/>
  <c r="F399" i="7"/>
  <c r="N217" i="7"/>
  <c r="G218" i="7"/>
  <c r="G220" i="7" s="1"/>
  <c r="N266" i="7"/>
  <c r="H394" i="7"/>
  <c r="G394" i="7"/>
  <c r="F395" i="7"/>
  <c r="H382" i="7"/>
  <c r="G382" i="7"/>
  <c r="H218" i="7"/>
  <c r="G286" i="7"/>
  <c r="G351" i="7"/>
  <c r="F352" i="7"/>
  <c r="H351" i="7"/>
  <c r="N227" i="7"/>
  <c r="O227" i="7" s="1"/>
  <c r="N233" i="7"/>
  <c r="N243" i="7"/>
  <c r="N257" i="7"/>
  <c r="N279" i="7"/>
  <c r="O279" i="7" s="1"/>
  <c r="H286" i="7"/>
  <c r="G295" i="7"/>
  <c r="F296" i="7"/>
  <c r="G243" i="7"/>
  <c r="G257" i="7"/>
  <c r="H295" i="7"/>
  <c r="H280" i="7"/>
  <c r="G287" i="7"/>
  <c r="G303" i="7"/>
  <c r="H376" i="7"/>
  <c r="H380" i="7"/>
  <c r="H384" i="7"/>
  <c r="H388" i="7"/>
  <c r="D353" i="7"/>
  <c r="D336" i="7"/>
  <c r="F340" i="7"/>
  <c r="G339" i="7"/>
  <c r="H345" i="7"/>
  <c r="H347" i="7"/>
  <c r="F348" i="7"/>
  <c r="H405" i="7"/>
  <c r="G321" i="7"/>
  <c r="F328" i="7"/>
  <c r="G327" i="7"/>
  <c r="G334" i="7"/>
  <c r="H339" i="7"/>
  <c r="G347" i="7"/>
  <c r="F403" i="7"/>
  <c r="F364" i="7"/>
  <c r="F377" i="7"/>
  <c r="F381" i="7"/>
  <c r="F389" i="7"/>
  <c r="G294" i="7"/>
  <c r="H321" i="7"/>
  <c r="F325" i="7"/>
  <c r="G324" i="7"/>
  <c r="H327" i="7"/>
  <c r="H334" i="7"/>
  <c r="F335" i="7"/>
  <c r="H346" i="7"/>
  <c r="G363" i="7"/>
  <c r="H404" i="7"/>
  <c r="G368" i="7" l="1"/>
  <c r="H325" i="7"/>
  <c r="G325" i="7"/>
  <c r="J347" i="7"/>
  <c r="L347" i="7" s="1"/>
  <c r="I347" i="7"/>
  <c r="K347" i="7" s="1"/>
  <c r="I380" i="7"/>
  <c r="K380" i="7" s="1"/>
  <c r="J380" i="7"/>
  <c r="L380" i="7" s="1"/>
  <c r="O243" i="7"/>
  <c r="N254" i="7"/>
  <c r="N275" i="7"/>
  <c r="O266" i="7"/>
  <c r="P218" i="7"/>
  <c r="Q218" i="7" s="1"/>
  <c r="R218" i="7" s="1"/>
  <c r="H202" i="7"/>
  <c r="G202" i="7"/>
  <c r="G203" i="7" s="1"/>
  <c r="O226" i="7"/>
  <c r="N230" i="7"/>
  <c r="N93" i="7"/>
  <c r="O83" i="7"/>
  <c r="X193" i="7"/>
  <c r="J63" i="7"/>
  <c r="L63" i="7" s="1"/>
  <c r="I63" i="7"/>
  <c r="N104" i="7"/>
  <c r="O104" i="7" s="1"/>
  <c r="N101" i="7"/>
  <c r="O101" i="7" s="1"/>
  <c r="N64" i="7"/>
  <c r="D68" i="7"/>
  <c r="G56" i="7"/>
  <c r="K56" i="7" s="1"/>
  <c r="I38" i="7"/>
  <c r="J38" i="7"/>
  <c r="L38" i="7" s="1"/>
  <c r="I135" i="7"/>
  <c r="J135" i="7"/>
  <c r="L135" i="7" s="1"/>
  <c r="I163" i="7"/>
  <c r="J163" i="7"/>
  <c r="L163" i="7" s="1"/>
  <c r="I227" i="7"/>
  <c r="K227" i="7" s="1"/>
  <c r="J227" i="7"/>
  <c r="L227" i="7" s="1"/>
  <c r="I257" i="7"/>
  <c r="J257" i="7"/>
  <c r="L257" i="7" s="1"/>
  <c r="I375" i="7"/>
  <c r="K375" i="7" s="1"/>
  <c r="J375" i="7"/>
  <c r="L375" i="7" s="1"/>
  <c r="I322" i="7"/>
  <c r="K322" i="7" s="1"/>
  <c r="J322" i="7"/>
  <c r="L322" i="7" s="1"/>
  <c r="I324" i="7"/>
  <c r="K324" i="7" s="1"/>
  <c r="J324" i="7"/>
  <c r="L324" i="7" s="1"/>
  <c r="J333" i="7"/>
  <c r="L333" i="7" s="1"/>
  <c r="I333" i="7"/>
  <c r="K333" i="7" s="1"/>
  <c r="H175" i="7"/>
  <c r="G175" i="7"/>
  <c r="F176" i="7"/>
  <c r="J404" i="7"/>
  <c r="L404" i="7" s="1"/>
  <c r="I404" i="7"/>
  <c r="K404" i="7" s="1"/>
  <c r="I321" i="7"/>
  <c r="K321" i="7" s="1"/>
  <c r="J321" i="7"/>
  <c r="L321" i="7" s="1"/>
  <c r="I339" i="7"/>
  <c r="K339" i="7" s="1"/>
  <c r="J339" i="7"/>
  <c r="L339" i="7" s="1"/>
  <c r="J345" i="7"/>
  <c r="L345" i="7" s="1"/>
  <c r="I345" i="7"/>
  <c r="K345" i="7" s="1"/>
  <c r="I376" i="7"/>
  <c r="K376" i="7" s="1"/>
  <c r="J376" i="7"/>
  <c r="L376" i="7" s="1"/>
  <c r="O233" i="7"/>
  <c r="N240" i="7"/>
  <c r="I382" i="7"/>
  <c r="K382" i="7" s="1"/>
  <c r="J382" i="7"/>
  <c r="L382" i="7" s="1"/>
  <c r="J219" i="7"/>
  <c r="L219" i="7" s="1"/>
  <c r="I219" i="7"/>
  <c r="K219" i="7" s="1"/>
  <c r="I288" i="7"/>
  <c r="K288" i="7" s="1"/>
  <c r="J288" i="7"/>
  <c r="L288" i="7" s="1"/>
  <c r="N160" i="7"/>
  <c r="O160" i="7" s="1"/>
  <c r="G160" i="7"/>
  <c r="I386" i="7"/>
  <c r="K386" i="7" s="1"/>
  <c r="J386" i="7"/>
  <c r="L386" i="7" s="1"/>
  <c r="G156" i="7"/>
  <c r="N156" i="7"/>
  <c r="D164" i="7"/>
  <c r="J160" i="7"/>
  <c r="L160" i="7" s="1"/>
  <c r="I160" i="7"/>
  <c r="K160" i="7" s="1"/>
  <c r="G235" i="7"/>
  <c r="H235" i="7"/>
  <c r="F236" i="7"/>
  <c r="I228" i="7"/>
  <c r="J228" i="7"/>
  <c r="L228" i="7" s="1"/>
  <c r="I137" i="7"/>
  <c r="P137" i="7" s="1"/>
  <c r="Q137" i="7" s="1"/>
  <c r="R137" i="7" s="1"/>
  <c r="J137" i="7"/>
  <c r="L137" i="7" s="1"/>
  <c r="N96" i="7"/>
  <c r="D112" i="7"/>
  <c r="G96" i="7"/>
  <c r="O209" i="7"/>
  <c r="N214" i="7"/>
  <c r="G14" i="7"/>
  <c r="N14" i="7"/>
  <c r="D28" i="7"/>
  <c r="H86" i="7"/>
  <c r="G86" i="7"/>
  <c r="F87" i="7"/>
  <c r="J47" i="7"/>
  <c r="L47" i="7" s="1"/>
  <c r="I47" i="7"/>
  <c r="P47" i="7" s="1"/>
  <c r="Q47" i="7" s="1"/>
  <c r="R47" i="7" s="1"/>
  <c r="J197" i="7"/>
  <c r="L197" i="7" s="1"/>
  <c r="I197" i="7"/>
  <c r="J281" i="7"/>
  <c r="L281" i="7" s="1"/>
  <c r="I281" i="7"/>
  <c r="I243" i="7"/>
  <c r="J243" i="7"/>
  <c r="L243" i="7" s="1"/>
  <c r="J156" i="7"/>
  <c r="L156" i="7" s="1"/>
  <c r="I156" i="7"/>
  <c r="J217" i="7"/>
  <c r="L217" i="7" s="1"/>
  <c r="I217" i="7"/>
  <c r="I344" i="7"/>
  <c r="K344" i="7" s="1"/>
  <c r="J344" i="7"/>
  <c r="L344" i="7" s="1"/>
  <c r="I363" i="7"/>
  <c r="K363" i="7" s="1"/>
  <c r="J363" i="7"/>
  <c r="L363" i="7" s="1"/>
  <c r="J350" i="7"/>
  <c r="L350" i="7" s="1"/>
  <c r="I350" i="7"/>
  <c r="K350" i="7" s="1"/>
  <c r="I384" i="7"/>
  <c r="K384" i="7" s="1"/>
  <c r="J384" i="7"/>
  <c r="L384" i="7" s="1"/>
  <c r="H185" i="7"/>
  <c r="G185" i="7"/>
  <c r="F65" i="7"/>
  <c r="G64" i="7"/>
  <c r="H64" i="7"/>
  <c r="P227" i="7"/>
  <c r="Q227" i="7" s="1"/>
  <c r="R227" i="7" s="1"/>
  <c r="N220" i="7"/>
  <c r="O217" i="7"/>
  <c r="I374" i="7"/>
  <c r="K374" i="7" s="1"/>
  <c r="J374" i="7"/>
  <c r="L374" i="7" s="1"/>
  <c r="G289" i="7"/>
  <c r="G290" i="7" s="1"/>
  <c r="H289" i="7"/>
  <c r="G245" i="7"/>
  <c r="F246" i="7"/>
  <c r="H245" i="7"/>
  <c r="C193" i="7"/>
  <c r="P157" i="7"/>
  <c r="Q157" i="7" s="1"/>
  <c r="R157" i="7" s="1"/>
  <c r="G137" i="7"/>
  <c r="M108" i="7"/>
  <c r="N107" i="7"/>
  <c r="O107" i="7" s="1"/>
  <c r="D52" i="7"/>
  <c r="F41" i="7"/>
  <c r="H40" i="7"/>
  <c r="G40" i="7"/>
  <c r="D35" i="7"/>
  <c r="G17" i="7"/>
  <c r="F18" i="7"/>
  <c r="H17" i="7"/>
  <c r="J83" i="7"/>
  <c r="L83" i="7" s="1"/>
  <c r="I83" i="7"/>
  <c r="I158" i="7"/>
  <c r="J158" i="7"/>
  <c r="L158" i="7" s="1"/>
  <c r="J96" i="7"/>
  <c r="L96" i="7" s="1"/>
  <c r="I96" i="7"/>
  <c r="I159" i="7"/>
  <c r="K159" i="7" s="1"/>
  <c r="J159" i="7"/>
  <c r="L159" i="7" s="1"/>
  <c r="J167" i="7"/>
  <c r="L167" i="7" s="1"/>
  <c r="I167" i="7"/>
  <c r="J168" i="7"/>
  <c r="L168" i="7" s="1"/>
  <c r="I168" i="7"/>
  <c r="K168" i="7" s="1"/>
  <c r="J223" i="7"/>
  <c r="L223" i="7" s="1"/>
  <c r="I223" i="7"/>
  <c r="K223" i="7" s="1"/>
  <c r="J366" i="7"/>
  <c r="L366" i="7" s="1"/>
  <c r="I366" i="7"/>
  <c r="K366" i="7" s="1"/>
  <c r="I373" i="7"/>
  <c r="J373" i="7"/>
  <c r="L373" i="7" s="1"/>
  <c r="I302" i="7"/>
  <c r="K302" i="7" s="1"/>
  <c r="J302" i="7"/>
  <c r="L302" i="7" s="1"/>
  <c r="G33" i="7"/>
  <c r="G35" i="7" s="1"/>
  <c r="O257" i="7"/>
  <c r="N263" i="7"/>
  <c r="O201" i="7"/>
  <c r="N203" i="7"/>
  <c r="G229" i="7"/>
  <c r="G230" i="7" s="1"/>
  <c r="H229" i="7"/>
  <c r="N55" i="7"/>
  <c r="D59" i="7"/>
  <c r="G55" i="7"/>
  <c r="O52" i="7"/>
  <c r="I346" i="7"/>
  <c r="K346" i="7" s="1"/>
  <c r="J346" i="7"/>
  <c r="L346" i="7" s="1"/>
  <c r="H389" i="7"/>
  <c r="G389" i="7"/>
  <c r="F390" i="7"/>
  <c r="H340" i="7"/>
  <c r="F341" i="7"/>
  <c r="G340" i="7"/>
  <c r="G296" i="7"/>
  <c r="F297" i="7"/>
  <c r="H296" i="7"/>
  <c r="J351" i="7"/>
  <c r="L351" i="7" s="1"/>
  <c r="I351" i="7"/>
  <c r="K351" i="7" s="1"/>
  <c r="F396" i="7"/>
  <c r="G395" i="7"/>
  <c r="H395" i="7"/>
  <c r="G399" i="7"/>
  <c r="H399" i="7"/>
  <c r="J201" i="7"/>
  <c r="L201" i="7" s="1"/>
  <c r="I201" i="7"/>
  <c r="K201" i="7" s="1"/>
  <c r="N282" i="7"/>
  <c r="N305" i="7" s="1"/>
  <c r="O278" i="7"/>
  <c r="I234" i="7"/>
  <c r="J234" i="7"/>
  <c r="L234" i="7" s="1"/>
  <c r="H138" i="7"/>
  <c r="F139" i="7"/>
  <c r="G138" i="7"/>
  <c r="P56" i="7"/>
  <c r="Q56" i="7" s="1"/>
  <c r="R56" i="7" s="1"/>
  <c r="J39" i="7"/>
  <c r="L39" i="7" s="1"/>
  <c r="I39" i="7"/>
  <c r="N35" i="7"/>
  <c r="O31" i="7"/>
  <c r="I14" i="7"/>
  <c r="N65" i="7"/>
  <c r="O65" i="7" s="1"/>
  <c r="I162" i="7"/>
  <c r="K162" i="7" s="1"/>
  <c r="J162" i="7"/>
  <c r="L162" i="7" s="1"/>
  <c r="J85" i="7"/>
  <c r="L85" i="7" s="1"/>
  <c r="I85" i="7"/>
  <c r="K85" i="7" s="1"/>
  <c r="J97" i="7"/>
  <c r="L97" i="7" s="1"/>
  <c r="I97" i="7"/>
  <c r="I182" i="7"/>
  <c r="J182" i="7"/>
  <c r="L182" i="7" s="1"/>
  <c r="J189" i="7"/>
  <c r="L189" i="7" s="1"/>
  <c r="I189" i="7"/>
  <c r="I266" i="7"/>
  <c r="J266" i="7"/>
  <c r="L266" i="7" s="1"/>
  <c r="J173" i="7"/>
  <c r="L173" i="7" s="1"/>
  <c r="I173" i="7"/>
  <c r="K173" i="7" s="1"/>
  <c r="J279" i="7"/>
  <c r="L279" i="7" s="1"/>
  <c r="I279" i="7"/>
  <c r="K279" i="7" s="1"/>
  <c r="J278" i="7"/>
  <c r="L278" i="7" s="1"/>
  <c r="I278" i="7"/>
  <c r="I317" i="7"/>
  <c r="K317" i="7" s="1"/>
  <c r="J317" i="7"/>
  <c r="L317" i="7" s="1"/>
  <c r="I385" i="7"/>
  <c r="K385" i="7" s="1"/>
  <c r="J385" i="7"/>
  <c r="L385" i="7" s="1"/>
  <c r="J362" i="7"/>
  <c r="L362" i="7" s="1"/>
  <c r="I362" i="7"/>
  <c r="G34" i="7"/>
  <c r="H34" i="7"/>
  <c r="G348" i="7"/>
  <c r="F349" i="7"/>
  <c r="H348" i="7"/>
  <c r="G387" i="7"/>
  <c r="H387" i="7"/>
  <c r="D186" i="7"/>
  <c r="G182" i="7"/>
  <c r="F74" i="7"/>
  <c r="G73" i="7"/>
  <c r="H73" i="7"/>
  <c r="I71" i="7"/>
  <c r="J71" i="7"/>
  <c r="L71" i="7" s="1"/>
  <c r="I226" i="7"/>
  <c r="J226" i="7"/>
  <c r="L226" i="7" s="1"/>
  <c r="I315" i="7"/>
  <c r="J315" i="7"/>
  <c r="L315" i="7" s="1"/>
  <c r="J323" i="7"/>
  <c r="L323" i="7" s="1"/>
  <c r="I323" i="7"/>
  <c r="K323" i="7" s="1"/>
  <c r="H335" i="7"/>
  <c r="G335" i="7"/>
  <c r="F336" i="7"/>
  <c r="H381" i="7"/>
  <c r="G381" i="7"/>
  <c r="H328" i="7"/>
  <c r="G328" i="7"/>
  <c r="F329" i="7"/>
  <c r="H352" i="7"/>
  <c r="G352" i="7"/>
  <c r="F353" i="7"/>
  <c r="I268" i="7"/>
  <c r="J268" i="7"/>
  <c r="L268" i="7" s="1"/>
  <c r="J269" i="7"/>
  <c r="L269" i="7" s="1"/>
  <c r="I269" i="7"/>
  <c r="I244" i="7"/>
  <c r="J244" i="7"/>
  <c r="L244" i="7" s="1"/>
  <c r="P162" i="7"/>
  <c r="Q162" i="7" s="1"/>
  <c r="R162" i="7" s="1"/>
  <c r="G260" i="7"/>
  <c r="F261" i="7"/>
  <c r="H260" i="7"/>
  <c r="I84" i="7"/>
  <c r="J84" i="7"/>
  <c r="L84" i="7" s="1"/>
  <c r="I32" i="7"/>
  <c r="J32" i="7"/>
  <c r="L32" i="7" s="1"/>
  <c r="N44" i="7"/>
  <c r="O38" i="7"/>
  <c r="J11" i="7"/>
  <c r="L11" i="7" s="1"/>
  <c r="I11" i="7"/>
  <c r="K11" i="7" s="1"/>
  <c r="I161" i="7"/>
  <c r="K161" i="7" s="1"/>
  <c r="J161" i="7"/>
  <c r="L161" i="7" s="1"/>
  <c r="I172" i="7"/>
  <c r="J172" i="7"/>
  <c r="L172" i="7" s="1"/>
  <c r="J316" i="7"/>
  <c r="L316" i="7" s="1"/>
  <c r="I316" i="7"/>
  <c r="K316" i="7" s="1"/>
  <c r="I233" i="7"/>
  <c r="J233" i="7"/>
  <c r="L233" i="7" s="1"/>
  <c r="I294" i="7"/>
  <c r="K294" i="7" s="1"/>
  <c r="J294" i="7"/>
  <c r="L294" i="7" s="1"/>
  <c r="I383" i="7"/>
  <c r="K383" i="7" s="1"/>
  <c r="J383" i="7"/>
  <c r="L383" i="7" s="1"/>
  <c r="J320" i="7"/>
  <c r="L320" i="7" s="1"/>
  <c r="I320" i="7"/>
  <c r="K320" i="7" s="1"/>
  <c r="I393" i="7"/>
  <c r="K393" i="7" s="1"/>
  <c r="J393" i="7"/>
  <c r="L393" i="7" s="1"/>
  <c r="J365" i="7"/>
  <c r="L365" i="7" s="1"/>
  <c r="I365" i="7"/>
  <c r="K365" i="7" s="1"/>
  <c r="J33" i="7"/>
  <c r="L33" i="7" s="1"/>
  <c r="I33" i="7"/>
  <c r="K33" i="7" s="1"/>
  <c r="K16" i="7"/>
  <c r="P16" i="7"/>
  <c r="Q16" i="7" s="1"/>
  <c r="R16" i="7" s="1"/>
  <c r="J218" i="7"/>
  <c r="L218" i="7" s="1"/>
  <c r="I218" i="7"/>
  <c r="K218" i="7" s="1"/>
  <c r="G57" i="7"/>
  <c r="F58" i="7"/>
  <c r="H57" i="7"/>
  <c r="I285" i="7"/>
  <c r="J285" i="7"/>
  <c r="L285" i="7" s="1"/>
  <c r="I157" i="7"/>
  <c r="K157" i="7" s="1"/>
  <c r="J157" i="7"/>
  <c r="L157" i="7" s="1"/>
  <c r="I209" i="7"/>
  <c r="J209" i="7"/>
  <c r="L209" i="7" s="1"/>
  <c r="J367" i="7"/>
  <c r="L367" i="7" s="1"/>
  <c r="I367" i="7"/>
  <c r="K367" i="7" s="1"/>
  <c r="J334" i="7"/>
  <c r="L334" i="7" s="1"/>
  <c r="I334" i="7"/>
  <c r="K334" i="7" s="1"/>
  <c r="H377" i="7"/>
  <c r="G377" i="7"/>
  <c r="F378" i="7"/>
  <c r="I280" i="7"/>
  <c r="J280" i="7"/>
  <c r="L280" i="7" s="1"/>
  <c r="I286" i="7"/>
  <c r="K286" i="7" s="1"/>
  <c r="J286" i="7"/>
  <c r="L286" i="7" s="1"/>
  <c r="I394" i="7"/>
  <c r="K394" i="7" s="1"/>
  <c r="J394" i="7"/>
  <c r="L394" i="7" s="1"/>
  <c r="I398" i="7"/>
  <c r="K398" i="7" s="1"/>
  <c r="J398" i="7"/>
  <c r="L398" i="7" s="1"/>
  <c r="I258" i="7"/>
  <c r="J258" i="7"/>
  <c r="L258" i="7" s="1"/>
  <c r="G270" i="7"/>
  <c r="F271" i="7"/>
  <c r="H270" i="7"/>
  <c r="G158" i="7"/>
  <c r="N158" i="7"/>
  <c r="O158" i="7" s="1"/>
  <c r="P158" i="7" s="1"/>
  <c r="Q158" i="7" s="1"/>
  <c r="R158" i="7" s="1"/>
  <c r="I211" i="7"/>
  <c r="J211" i="7"/>
  <c r="L211" i="7" s="1"/>
  <c r="N115" i="7"/>
  <c r="D131" i="7"/>
  <c r="G115" i="7"/>
  <c r="I174" i="7"/>
  <c r="K174" i="7" s="1"/>
  <c r="J174" i="7"/>
  <c r="L174" i="7" s="1"/>
  <c r="F99" i="7"/>
  <c r="H98" i="7"/>
  <c r="G98" i="7"/>
  <c r="J259" i="7"/>
  <c r="L259" i="7" s="1"/>
  <c r="I259" i="7"/>
  <c r="N80" i="7"/>
  <c r="M67" i="7"/>
  <c r="N67" i="7" s="1"/>
  <c r="O67" i="7" s="1"/>
  <c r="N66" i="7"/>
  <c r="O66" i="7" s="1"/>
  <c r="J31" i="7"/>
  <c r="L31" i="7" s="1"/>
  <c r="I31" i="7"/>
  <c r="J15" i="7"/>
  <c r="L15" i="7" s="1"/>
  <c r="I15" i="7"/>
  <c r="K15" i="7" s="1"/>
  <c r="N153" i="7"/>
  <c r="O134" i="7"/>
  <c r="H117" i="7"/>
  <c r="F118" i="7"/>
  <c r="G117" i="7"/>
  <c r="J55" i="7"/>
  <c r="L55" i="7" s="1"/>
  <c r="I55" i="7"/>
  <c r="J210" i="7"/>
  <c r="L210" i="7" s="1"/>
  <c r="I210" i="7"/>
  <c r="I267" i="7"/>
  <c r="J267" i="7"/>
  <c r="L267" i="7" s="1"/>
  <c r="I318" i="7"/>
  <c r="K318" i="7" s="1"/>
  <c r="J318" i="7"/>
  <c r="L318" i="7" s="1"/>
  <c r="I287" i="7"/>
  <c r="K287" i="7" s="1"/>
  <c r="J287" i="7"/>
  <c r="L287" i="7" s="1"/>
  <c r="J200" i="7"/>
  <c r="L200" i="7" s="1"/>
  <c r="I200" i="7"/>
  <c r="I319" i="7"/>
  <c r="K319" i="7" s="1"/>
  <c r="J319" i="7"/>
  <c r="L319" i="7" s="1"/>
  <c r="J326" i="7"/>
  <c r="L326" i="7" s="1"/>
  <c r="I326" i="7"/>
  <c r="K326" i="7" s="1"/>
  <c r="I397" i="7"/>
  <c r="K397" i="7" s="1"/>
  <c r="J397" i="7"/>
  <c r="L397" i="7" s="1"/>
  <c r="H403" i="7"/>
  <c r="G403" i="7"/>
  <c r="G406" i="7" s="1"/>
  <c r="J301" i="7"/>
  <c r="L301" i="7" s="1"/>
  <c r="I301" i="7"/>
  <c r="I327" i="7"/>
  <c r="K327" i="7" s="1"/>
  <c r="J327" i="7"/>
  <c r="L327" i="7" s="1"/>
  <c r="H364" i="7"/>
  <c r="G364" i="7"/>
  <c r="J405" i="7"/>
  <c r="L405" i="7" s="1"/>
  <c r="I405" i="7"/>
  <c r="K405" i="7" s="1"/>
  <c r="I388" i="7"/>
  <c r="K388" i="7" s="1"/>
  <c r="J388" i="7"/>
  <c r="L388" i="7" s="1"/>
  <c r="I295" i="7"/>
  <c r="K295" i="7" s="1"/>
  <c r="J295" i="7"/>
  <c r="L295" i="7" s="1"/>
  <c r="P279" i="7"/>
  <c r="Q279" i="7" s="1"/>
  <c r="R279" i="7" s="1"/>
  <c r="I184" i="7"/>
  <c r="K184" i="7" s="1"/>
  <c r="J184" i="7"/>
  <c r="L184" i="7" s="1"/>
  <c r="J183" i="7"/>
  <c r="L183" i="7" s="1"/>
  <c r="I183" i="7"/>
  <c r="K183" i="7" s="1"/>
  <c r="G212" i="7"/>
  <c r="F213" i="7"/>
  <c r="H212" i="7"/>
  <c r="J136" i="7"/>
  <c r="L136" i="7" s="1"/>
  <c r="I136" i="7"/>
  <c r="K136" i="7" s="1"/>
  <c r="P161" i="7"/>
  <c r="Q161" i="7" s="1"/>
  <c r="R161" i="7" s="1"/>
  <c r="D169" i="7"/>
  <c r="G167" i="7"/>
  <c r="G169" i="7" s="1"/>
  <c r="J72" i="7"/>
  <c r="L72" i="7" s="1"/>
  <c r="I72" i="7"/>
  <c r="K48" i="7"/>
  <c r="I116" i="7"/>
  <c r="J116" i="7"/>
  <c r="L116" i="7" s="1"/>
  <c r="H49" i="7"/>
  <c r="G49" i="7"/>
  <c r="F50" i="7"/>
  <c r="J115" i="7"/>
  <c r="L115" i="7" s="1"/>
  <c r="I115" i="7"/>
  <c r="I62" i="7"/>
  <c r="J62" i="7"/>
  <c r="L62" i="7" s="1"/>
  <c r="J134" i="7"/>
  <c r="L134" i="7" s="1"/>
  <c r="I134" i="7"/>
  <c r="I379" i="7"/>
  <c r="K379" i="7" s="1"/>
  <c r="J379" i="7"/>
  <c r="L379" i="7" s="1"/>
  <c r="I190" i="7"/>
  <c r="K190" i="7" s="1"/>
  <c r="J190" i="7"/>
  <c r="L190" i="7" s="1"/>
  <c r="J206" i="7"/>
  <c r="L206" i="7" s="1"/>
  <c r="I206" i="7"/>
  <c r="I293" i="7"/>
  <c r="J293" i="7"/>
  <c r="L293" i="7" s="1"/>
  <c r="I332" i="7"/>
  <c r="K332" i="7" s="1"/>
  <c r="J332" i="7"/>
  <c r="L332" i="7" s="1"/>
  <c r="J338" i="7"/>
  <c r="L338" i="7" s="1"/>
  <c r="I338" i="7"/>
  <c r="K338" i="7" s="1"/>
  <c r="N52" i="7"/>
  <c r="K301" i="7" l="1"/>
  <c r="K303" i="7" s="1"/>
  <c r="I303" i="7"/>
  <c r="F119" i="7"/>
  <c r="G118" i="7"/>
  <c r="H118" i="7"/>
  <c r="K62" i="7"/>
  <c r="P62" i="7"/>
  <c r="Q62" i="7" s="1"/>
  <c r="R62" i="7" s="1"/>
  <c r="G261" i="7"/>
  <c r="H261" i="7"/>
  <c r="F262" i="7"/>
  <c r="P159" i="7"/>
  <c r="Q159" i="7" s="1"/>
  <c r="R159" i="7" s="1"/>
  <c r="G246" i="7"/>
  <c r="F247" i="7"/>
  <c r="H246" i="7"/>
  <c r="K32" i="7"/>
  <c r="P32" i="7"/>
  <c r="Q32" i="7" s="1"/>
  <c r="R32" i="7" s="1"/>
  <c r="K244" i="7"/>
  <c r="P244" i="7"/>
  <c r="Q244" i="7" s="1"/>
  <c r="R244" i="7" s="1"/>
  <c r="K226" i="7"/>
  <c r="G186" i="7"/>
  <c r="I282" i="7"/>
  <c r="K278" i="7"/>
  <c r="I296" i="7"/>
  <c r="K296" i="7" s="1"/>
  <c r="J296" i="7"/>
  <c r="L296" i="7" s="1"/>
  <c r="I389" i="7"/>
  <c r="K389" i="7" s="1"/>
  <c r="J389" i="7"/>
  <c r="L389" i="7" s="1"/>
  <c r="J229" i="7"/>
  <c r="L229" i="7" s="1"/>
  <c r="I229" i="7"/>
  <c r="G236" i="7"/>
  <c r="F237" i="7"/>
  <c r="H236" i="7"/>
  <c r="G164" i="7"/>
  <c r="K135" i="7"/>
  <c r="P135" i="7"/>
  <c r="Q135" i="7" s="1"/>
  <c r="R135" i="7" s="1"/>
  <c r="O64" i="7"/>
  <c r="N68" i="7"/>
  <c r="J98" i="7"/>
  <c r="L98" i="7" s="1"/>
  <c r="I98" i="7"/>
  <c r="K172" i="7"/>
  <c r="K269" i="7"/>
  <c r="P269" i="7"/>
  <c r="Q269" i="7" s="1"/>
  <c r="R269" i="7" s="1"/>
  <c r="J352" i="7"/>
  <c r="L352" i="7" s="1"/>
  <c r="I352" i="7"/>
  <c r="K352" i="7" s="1"/>
  <c r="J335" i="7"/>
  <c r="L335" i="7" s="1"/>
  <c r="I335" i="7"/>
  <c r="K335" i="7" s="1"/>
  <c r="K362" i="7"/>
  <c r="K266" i="7"/>
  <c r="K14" i="7"/>
  <c r="I399" i="7"/>
  <c r="K399" i="7" s="1"/>
  <c r="J399" i="7"/>
  <c r="L399" i="7" s="1"/>
  <c r="G297" i="7"/>
  <c r="H297" i="7"/>
  <c r="I17" i="7"/>
  <c r="J17" i="7"/>
  <c r="L17" i="7" s="1"/>
  <c r="I289" i="7"/>
  <c r="K289" i="7" s="1"/>
  <c r="J289" i="7"/>
  <c r="L289" i="7" s="1"/>
  <c r="J64" i="7"/>
  <c r="L64" i="7" s="1"/>
  <c r="I64" i="7"/>
  <c r="K64" i="7" s="1"/>
  <c r="K281" i="7"/>
  <c r="P281" i="7"/>
  <c r="Q281" i="7" s="1"/>
  <c r="R281" i="7" s="1"/>
  <c r="J235" i="7"/>
  <c r="L235" i="7" s="1"/>
  <c r="I235" i="7"/>
  <c r="P33" i="7"/>
  <c r="Q33" i="7" s="1"/>
  <c r="R33" i="7" s="1"/>
  <c r="O275" i="7"/>
  <c r="P266" i="7"/>
  <c r="Q266" i="7" s="1"/>
  <c r="R266" i="7" s="1"/>
  <c r="J49" i="7"/>
  <c r="L49" i="7" s="1"/>
  <c r="I49" i="7"/>
  <c r="H58" i="7"/>
  <c r="G58" i="7"/>
  <c r="G59" i="7" s="1"/>
  <c r="I260" i="7"/>
  <c r="J260" i="7"/>
  <c r="L260" i="7" s="1"/>
  <c r="I270" i="7"/>
  <c r="J270" i="7"/>
  <c r="L270" i="7" s="1"/>
  <c r="I34" i="7"/>
  <c r="J34" i="7"/>
  <c r="L34" i="7" s="1"/>
  <c r="K116" i="7"/>
  <c r="P116" i="7"/>
  <c r="Q116" i="7" s="1"/>
  <c r="R116" i="7" s="1"/>
  <c r="F140" i="7"/>
  <c r="G139" i="7"/>
  <c r="H139" i="7"/>
  <c r="K210" i="7"/>
  <c r="P210" i="7"/>
  <c r="Q210" i="7" s="1"/>
  <c r="R210" i="7" s="1"/>
  <c r="N131" i="7"/>
  <c r="O115" i="7"/>
  <c r="K209" i="7"/>
  <c r="F354" i="7"/>
  <c r="G353" i="7"/>
  <c r="H353" i="7"/>
  <c r="N59" i="7"/>
  <c r="O55" i="7"/>
  <c r="K243" i="7"/>
  <c r="K55" i="7"/>
  <c r="G271" i="7"/>
  <c r="H271" i="7"/>
  <c r="F272" i="7"/>
  <c r="K134" i="7"/>
  <c r="I212" i="7"/>
  <c r="J212" i="7"/>
  <c r="L212" i="7" s="1"/>
  <c r="H99" i="7"/>
  <c r="F100" i="7"/>
  <c r="G99" i="7"/>
  <c r="O44" i="7"/>
  <c r="P38" i="7"/>
  <c r="Q38" i="7" s="1"/>
  <c r="R38" i="7" s="1"/>
  <c r="K234" i="7"/>
  <c r="P234" i="7"/>
  <c r="Q234" i="7" s="1"/>
  <c r="R234" i="7" s="1"/>
  <c r="I169" i="7"/>
  <c r="K167" i="7"/>
  <c r="K169" i="7" s="1"/>
  <c r="H18" i="7"/>
  <c r="G18" i="7"/>
  <c r="F19" i="7"/>
  <c r="I164" i="7"/>
  <c r="K156" i="7"/>
  <c r="K137" i="7"/>
  <c r="F177" i="7"/>
  <c r="H176" i="7"/>
  <c r="G176" i="7"/>
  <c r="K206" i="7"/>
  <c r="P206" i="7"/>
  <c r="Q206" i="7" s="1"/>
  <c r="R206" i="7" s="1"/>
  <c r="F51" i="7"/>
  <c r="G50" i="7"/>
  <c r="H50" i="7"/>
  <c r="H213" i="7"/>
  <c r="G213" i="7"/>
  <c r="G214" i="7" s="1"/>
  <c r="J403" i="7"/>
  <c r="L403" i="7" s="1"/>
  <c r="I403" i="7"/>
  <c r="K200" i="7"/>
  <c r="P200" i="7"/>
  <c r="Q200" i="7" s="1"/>
  <c r="R200" i="7" s="1"/>
  <c r="K71" i="7"/>
  <c r="P71" i="7"/>
  <c r="Q71" i="7" s="1"/>
  <c r="R71" i="7" s="1"/>
  <c r="J138" i="7"/>
  <c r="L138" i="7" s="1"/>
  <c r="I138" i="7"/>
  <c r="P219" i="7"/>
  <c r="Q219" i="7" s="1"/>
  <c r="R219" i="7" s="1"/>
  <c r="I395" i="7"/>
  <c r="K395" i="7" s="1"/>
  <c r="J395" i="7"/>
  <c r="L395" i="7" s="1"/>
  <c r="P201" i="7"/>
  <c r="Q201" i="7" s="1"/>
  <c r="R201" i="7" s="1"/>
  <c r="O203" i="7"/>
  <c r="M109" i="7"/>
  <c r="N108" i="7"/>
  <c r="O108" i="7" s="1"/>
  <c r="F66" i="7"/>
  <c r="G65" i="7"/>
  <c r="H65" i="7"/>
  <c r="K197" i="7"/>
  <c r="P197" i="7"/>
  <c r="Q197" i="7" s="1"/>
  <c r="R197" i="7" s="1"/>
  <c r="P209" i="7"/>
  <c r="Q209" i="7" s="1"/>
  <c r="R209" i="7" s="1"/>
  <c r="O214" i="7"/>
  <c r="K38" i="7"/>
  <c r="P85" i="7"/>
  <c r="Q85" i="7" s="1"/>
  <c r="R85" i="7" s="1"/>
  <c r="J325" i="7"/>
  <c r="L325" i="7" s="1"/>
  <c r="I325" i="7"/>
  <c r="K325" i="7" s="1"/>
  <c r="K280" i="7"/>
  <c r="P280" i="7"/>
  <c r="Q280" i="7" s="1"/>
  <c r="R280" i="7" s="1"/>
  <c r="I381" i="7"/>
  <c r="K381" i="7" s="1"/>
  <c r="J381" i="7"/>
  <c r="L381" i="7" s="1"/>
  <c r="O153" i="7"/>
  <c r="P134" i="7"/>
  <c r="Q134" i="7" s="1"/>
  <c r="R134" i="7" s="1"/>
  <c r="F337" i="7"/>
  <c r="G336" i="7"/>
  <c r="H336" i="7"/>
  <c r="H74" i="7"/>
  <c r="F75" i="7"/>
  <c r="G74" i="7"/>
  <c r="I220" i="7"/>
  <c r="K217" i="7"/>
  <c r="K220" i="7" s="1"/>
  <c r="K115" i="7"/>
  <c r="I377" i="7"/>
  <c r="K377" i="7" s="1"/>
  <c r="J377" i="7"/>
  <c r="L377" i="7" s="1"/>
  <c r="K293" i="7"/>
  <c r="P136" i="7"/>
  <c r="Q136" i="7" s="1"/>
  <c r="R136" i="7" s="1"/>
  <c r="J364" i="7"/>
  <c r="L364" i="7" s="1"/>
  <c r="I364" i="7"/>
  <c r="K364" i="7" s="1"/>
  <c r="F330" i="7"/>
  <c r="H329" i="7"/>
  <c r="G329" i="7"/>
  <c r="I387" i="7"/>
  <c r="K387" i="7" s="1"/>
  <c r="J387" i="7"/>
  <c r="L387" i="7" s="1"/>
  <c r="K189" i="7"/>
  <c r="K191" i="7" s="1"/>
  <c r="I191" i="7"/>
  <c r="O35" i="7"/>
  <c r="P31" i="7"/>
  <c r="Q31" i="7" s="1"/>
  <c r="R31" i="7" s="1"/>
  <c r="G298" i="7"/>
  <c r="K373" i="7"/>
  <c r="H87" i="7"/>
  <c r="F88" i="7"/>
  <c r="G87" i="7"/>
  <c r="K72" i="7"/>
  <c r="P72" i="7"/>
  <c r="Q72" i="7" s="1"/>
  <c r="R72" i="7" s="1"/>
  <c r="P15" i="7"/>
  <c r="Q15" i="7" s="1"/>
  <c r="R15" i="7" s="1"/>
  <c r="K267" i="7"/>
  <c r="P267" i="7"/>
  <c r="Q267" i="7" s="1"/>
  <c r="R267" i="7" s="1"/>
  <c r="K259" i="7"/>
  <c r="P259" i="7"/>
  <c r="Q259" i="7" s="1"/>
  <c r="R259" i="7" s="1"/>
  <c r="K211" i="7"/>
  <c r="P211" i="7"/>
  <c r="Q211" i="7" s="1"/>
  <c r="R211" i="7" s="1"/>
  <c r="K258" i="7"/>
  <c r="P258" i="7"/>
  <c r="Q258" i="7" s="1"/>
  <c r="R258" i="7" s="1"/>
  <c r="I290" i="7"/>
  <c r="K285" i="7"/>
  <c r="K290" i="7" s="1"/>
  <c r="K84" i="7"/>
  <c r="P84" i="7"/>
  <c r="Q84" i="7" s="1"/>
  <c r="R84" i="7" s="1"/>
  <c r="J328" i="7"/>
  <c r="L328" i="7" s="1"/>
  <c r="I328" i="7"/>
  <c r="K328" i="7" s="1"/>
  <c r="J348" i="7"/>
  <c r="L348" i="7" s="1"/>
  <c r="I348" i="7"/>
  <c r="K348" i="7" s="1"/>
  <c r="K39" i="7"/>
  <c r="P39" i="7"/>
  <c r="Q39" i="7" s="1"/>
  <c r="R39" i="7" s="1"/>
  <c r="O282" i="7"/>
  <c r="P278" i="7"/>
  <c r="Q278" i="7" s="1"/>
  <c r="R278" i="7" s="1"/>
  <c r="F342" i="7"/>
  <c r="G341" i="7"/>
  <c r="H341" i="7"/>
  <c r="K158" i="7"/>
  <c r="I86" i="7"/>
  <c r="J86" i="7"/>
  <c r="L86" i="7" s="1"/>
  <c r="P160" i="7"/>
  <c r="Q160" i="7" s="1"/>
  <c r="R160" i="7" s="1"/>
  <c r="J175" i="7"/>
  <c r="L175" i="7" s="1"/>
  <c r="I175" i="7"/>
  <c r="K175" i="7" s="1"/>
  <c r="K63" i="7"/>
  <c r="P63" i="7"/>
  <c r="Q63" i="7" s="1"/>
  <c r="R63" i="7" s="1"/>
  <c r="P243" i="7"/>
  <c r="Q243" i="7" s="1"/>
  <c r="R243" i="7" s="1"/>
  <c r="O254" i="7"/>
  <c r="P11" i="7"/>
  <c r="Q11" i="7" s="1"/>
  <c r="R11" i="7" s="1"/>
  <c r="I57" i="7"/>
  <c r="J57" i="7"/>
  <c r="L57" i="7" s="1"/>
  <c r="K233" i="7"/>
  <c r="K315" i="7"/>
  <c r="J73" i="7"/>
  <c r="L73" i="7" s="1"/>
  <c r="I73" i="7"/>
  <c r="H349" i="7"/>
  <c r="G349" i="7"/>
  <c r="K182" i="7"/>
  <c r="G396" i="7"/>
  <c r="H396" i="7"/>
  <c r="J340" i="7"/>
  <c r="L340" i="7" s="1"/>
  <c r="I340" i="7"/>
  <c r="K340" i="7" s="1"/>
  <c r="O263" i="7"/>
  <c r="P257" i="7"/>
  <c r="Q257" i="7" s="1"/>
  <c r="R257" i="7" s="1"/>
  <c r="K83" i="7"/>
  <c r="O220" i="7"/>
  <c r="P217" i="7"/>
  <c r="Q217" i="7" s="1"/>
  <c r="R217" i="7" s="1"/>
  <c r="K228" i="7"/>
  <c r="P228" i="7"/>
  <c r="Q228" i="7" s="1"/>
  <c r="R228" i="7" s="1"/>
  <c r="P233" i="7"/>
  <c r="Q233" i="7" s="1"/>
  <c r="R233" i="7" s="1"/>
  <c r="O240" i="7"/>
  <c r="K163" i="7"/>
  <c r="P163" i="7"/>
  <c r="Q163" i="7" s="1"/>
  <c r="R163" i="7" s="1"/>
  <c r="O230" i="7"/>
  <c r="P226" i="7"/>
  <c r="Q226" i="7" s="1"/>
  <c r="R226" i="7" s="1"/>
  <c r="K31" i="7"/>
  <c r="K97" i="7"/>
  <c r="P97" i="7"/>
  <c r="Q97" i="7" s="1"/>
  <c r="R97" i="7" s="1"/>
  <c r="H390" i="7"/>
  <c r="G390" i="7"/>
  <c r="F391" i="7"/>
  <c r="J40" i="7"/>
  <c r="L40" i="7" s="1"/>
  <c r="I40" i="7"/>
  <c r="J245" i="7"/>
  <c r="L245" i="7" s="1"/>
  <c r="I245" i="7"/>
  <c r="J185" i="7"/>
  <c r="L185" i="7" s="1"/>
  <c r="I185" i="7"/>
  <c r="K185" i="7" s="1"/>
  <c r="K47" i="7"/>
  <c r="N28" i="7"/>
  <c r="O14" i="7"/>
  <c r="O96" i="7"/>
  <c r="D193" i="7"/>
  <c r="P223" i="7"/>
  <c r="Q223" i="7" s="1"/>
  <c r="R223" i="7" s="1"/>
  <c r="J117" i="7"/>
  <c r="L117" i="7" s="1"/>
  <c r="I117" i="7"/>
  <c r="H378" i="7"/>
  <c r="G378" i="7"/>
  <c r="K268" i="7"/>
  <c r="P268" i="7"/>
  <c r="Q268" i="7" s="1"/>
  <c r="R268" i="7" s="1"/>
  <c r="K96" i="7"/>
  <c r="H41" i="7"/>
  <c r="F42" i="7"/>
  <c r="G41" i="7"/>
  <c r="O156" i="7"/>
  <c r="N164" i="7"/>
  <c r="K257" i="7"/>
  <c r="O93" i="7"/>
  <c r="P83" i="7"/>
  <c r="Q83" i="7" s="1"/>
  <c r="R83" i="7" s="1"/>
  <c r="J202" i="7"/>
  <c r="L202" i="7" s="1"/>
  <c r="I202" i="7"/>
  <c r="I203" i="7" s="1"/>
  <c r="H337" i="7" l="1"/>
  <c r="G337" i="7"/>
  <c r="H262" i="7"/>
  <c r="G262" i="7"/>
  <c r="G263" i="7" s="1"/>
  <c r="H342" i="7"/>
  <c r="G342" i="7"/>
  <c r="F343" i="7"/>
  <c r="K34" i="7"/>
  <c r="P34" i="7"/>
  <c r="Q34" i="7" s="1"/>
  <c r="R34" i="7" s="1"/>
  <c r="F89" i="7"/>
  <c r="G88" i="7"/>
  <c r="H88" i="7"/>
  <c r="G51" i="7"/>
  <c r="H51" i="7"/>
  <c r="K164" i="7"/>
  <c r="J139" i="7"/>
  <c r="L139" i="7" s="1"/>
  <c r="I139" i="7"/>
  <c r="K49" i="7"/>
  <c r="P49" i="7"/>
  <c r="Q49" i="7" s="1"/>
  <c r="R49" i="7" s="1"/>
  <c r="G237" i="7"/>
  <c r="F238" i="7"/>
  <c r="H237" i="7"/>
  <c r="J50" i="7"/>
  <c r="L50" i="7" s="1"/>
  <c r="I50" i="7"/>
  <c r="H119" i="7"/>
  <c r="G119" i="7"/>
  <c r="F120" i="7"/>
  <c r="K57" i="7"/>
  <c r="P57" i="7"/>
  <c r="Q57" i="7" s="1"/>
  <c r="R57" i="7" s="1"/>
  <c r="J65" i="7"/>
  <c r="L65" i="7" s="1"/>
  <c r="I65" i="7"/>
  <c r="I353" i="7"/>
  <c r="K353" i="7" s="1"/>
  <c r="J353" i="7"/>
  <c r="L353" i="7" s="1"/>
  <c r="J58" i="7"/>
  <c r="L58" i="7" s="1"/>
  <c r="I58" i="7"/>
  <c r="K235" i="7"/>
  <c r="P235" i="7"/>
  <c r="Q235" i="7" s="1"/>
  <c r="R235" i="7" s="1"/>
  <c r="I236" i="7"/>
  <c r="J236" i="7"/>
  <c r="L236" i="7" s="1"/>
  <c r="I261" i="7"/>
  <c r="J261" i="7"/>
  <c r="L261" i="7" s="1"/>
  <c r="K245" i="7"/>
  <c r="P245" i="7"/>
  <c r="Q245" i="7" s="1"/>
  <c r="R245" i="7" s="1"/>
  <c r="I390" i="7"/>
  <c r="K390" i="7" s="1"/>
  <c r="J390" i="7"/>
  <c r="L390" i="7" s="1"/>
  <c r="H42" i="7"/>
  <c r="F43" i="7"/>
  <c r="G42" i="7"/>
  <c r="I378" i="7"/>
  <c r="J378" i="7"/>
  <c r="L378" i="7" s="1"/>
  <c r="P96" i="7"/>
  <c r="Q96" i="7" s="1"/>
  <c r="R96" i="7" s="1"/>
  <c r="O305" i="7"/>
  <c r="I87" i="7"/>
  <c r="J87" i="7"/>
  <c r="L87" i="7" s="1"/>
  <c r="H66" i="7"/>
  <c r="F67" i="7"/>
  <c r="G66" i="7"/>
  <c r="H354" i="7"/>
  <c r="F355" i="7"/>
  <c r="G354" i="7"/>
  <c r="K282" i="7"/>
  <c r="I41" i="7"/>
  <c r="J41" i="7"/>
  <c r="L41" i="7" s="1"/>
  <c r="I99" i="7"/>
  <c r="J99" i="7"/>
  <c r="L99" i="7" s="1"/>
  <c r="I396" i="7"/>
  <c r="K396" i="7" s="1"/>
  <c r="J396" i="7"/>
  <c r="L396" i="7" s="1"/>
  <c r="G52" i="7"/>
  <c r="I246" i="7"/>
  <c r="J246" i="7"/>
  <c r="L246" i="7" s="1"/>
  <c r="K35" i="7"/>
  <c r="J74" i="7"/>
  <c r="L74" i="7" s="1"/>
  <c r="I74" i="7"/>
  <c r="M110" i="7"/>
  <c r="N109" i="7"/>
  <c r="O109" i="7" s="1"/>
  <c r="F20" i="7"/>
  <c r="G19" i="7"/>
  <c r="H19" i="7"/>
  <c r="K212" i="7"/>
  <c r="P212" i="7"/>
  <c r="Q212" i="7" s="1"/>
  <c r="R212" i="7" s="1"/>
  <c r="K17" i="7"/>
  <c r="P17" i="7"/>
  <c r="Q17" i="7" s="1"/>
  <c r="R17" i="7" s="1"/>
  <c r="P64" i="7"/>
  <c r="Q64" i="7" s="1"/>
  <c r="R64" i="7" s="1"/>
  <c r="O68" i="7"/>
  <c r="G247" i="7"/>
  <c r="F248" i="7"/>
  <c r="H247" i="7"/>
  <c r="K202" i="7"/>
  <c r="K203" i="7" s="1"/>
  <c r="P202" i="7"/>
  <c r="Q202" i="7" s="1"/>
  <c r="R202" i="7" s="1"/>
  <c r="F392" i="7"/>
  <c r="G391" i="7"/>
  <c r="H391" i="7"/>
  <c r="H177" i="7"/>
  <c r="F178" i="7"/>
  <c r="G177" i="7"/>
  <c r="K117" i="7"/>
  <c r="P117" i="7"/>
  <c r="Q117" i="7" s="1"/>
  <c r="R117" i="7" s="1"/>
  <c r="H75" i="7"/>
  <c r="G75" i="7"/>
  <c r="F76" i="7"/>
  <c r="K138" i="7"/>
  <c r="P138" i="7"/>
  <c r="Q138" i="7" s="1"/>
  <c r="R138" i="7" s="1"/>
  <c r="I406" i="7"/>
  <c r="K403" i="7"/>
  <c r="K406" i="7" s="1"/>
  <c r="I59" i="7"/>
  <c r="H140" i="7"/>
  <c r="F141" i="7"/>
  <c r="G140" i="7"/>
  <c r="K229" i="7"/>
  <c r="P229" i="7"/>
  <c r="Q229" i="7" s="1"/>
  <c r="R229" i="7" s="1"/>
  <c r="K40" i="7"/>
  <c r="P40" i="7"/>
  <c r="Q40" i="7" s="1"/>
  <c r="R40" i="7" s="1"/>
  <c r="I35" i="7"/>
  <c r="I329" i="7"/>
  <c r="K329" i="7" s="1"/>
  <c r="J329" i="7"/>
  <c r="L329" i="7" s="1"/>
  <c r="I336" i="7"/>
  <c r="K336" i="7" s="1"/>
  <c r="J336" i="7"/>
  <c r="L336" i="7" s="1"/>
  <c r="O131" i="7"/>
  <c r="P115" i="7"/>
  <c r="Q115" i="7" s="1"/>
  <c r="R115" i="7" s="1"/>
  <c r="I297" i="7"/>
  <c r="J297" i="7"/>
  <c r="L297" i="7" s="1"/>
  <c r="K368" i="7"/>
  <c r="K230" i="7"/>
  <c r="I118" i="7"/>
  <c r="J118" i="7"/>
  <c r="L118" i="7" s="1"/>
  <c r="H272" i="7"/>
  <c r="G272" i="7"/>
  <c r="F273" i="7"/>
  <c r="K98" i="7"/>
  <c r="P98" i="7"/>
  <c r="Q98" i="7" s="1"/>
  <c r="R98" i="7" s="1"/>
  <c r="I271" i="7"/>
  <c r="J271" i="7"/>
  <c r="L271" i="7" s="1"/>
  <c r="P14" i="7"/>
  <c r="Q14" i="7" s="1"/>
  <c r="R14" i="7" s="1"/>
  <c r="O28" i="7"/>
  <c r="K186" i="7"/>
  <c r="K270" i="7"/>
  <c r="P270" i="7"/>
  <c r="Q270" i="7" s="1"/>
  <c r="R270" i="7" s="1"/>
  <c r="I186" i="7"/>
  <c r="K86" i="7"/>
  <c r="P86" i="7"/>
  <c r="Q86" i="7" s="1"/>
  <c r="R86" i="7" s="1"/>
  <c r="J349" i="7"/>
  <c r="L349" i="7" s="1"/>
  <c r="I349" i="7"/>
  <c r="K349" i="7" s="1"/>
  <c r="I341" i="7"/>
  <c r="K341" i="7" s="1"/>
  <c r="J341" i="7"/>
  <c r="L341" i="7" s="1"/>
  <c r="H330" i="7"/>
  <c r="G330" i="7"/>
  <c r="F331" i="7"/>
  <c r="I213" i="7"/>
  <c r="J213" i="7"/>
  <c r="L213" i="7" s="1"/>
  <c r="I176" i="7"/>
  <c r="K176" i="7" s="1"/>
  <c r="J176" i="7"/>
  <c r="L176" i="7" s="1"/>
  <c r="I18" i="7"/>
  <c r="J18" i="7"/>
  <c r="L18" i="7" s="1"/>
  <c r="H100" i="7"/>
  <c r="F101" i="7"/>
  <c r="G100" i="7"/>
  <c r="O59" i="7"/>
  <c r="P55" i="7"/>
  <c r="Q55" i="7" s="1"/>
  <c r="R55" i="7" s="1"/>
  <c r="K260" i="7"/>
  <c r="P260" i="7"/>
  <c r="Q260" i="7" s="1"/>
  <c r="R260" i="7" s="1"/>
  <c r="I368" i="7"/>
  <c r="I230" i="7"/>
  <c r="P156" i="7"/>
  <c r="Q156" i="7" s="1"/>
  <c r="R156" i="7" s="1"/>
  <c r="O164" i="7"/>
  <c r="K73" i="7"/>
  <c r="P73" i="7"/>
  <c r="Q73" i="7" s="1"/>
  <c r="R73" i="7" s="1"/>
  <c r="H178" i="7" l="1"/>
  <c r="G178" i="7"/>
  <c r="G179" i="7" s="1"/>
  <c r="K99" i="7"/>
  <c r="P99" i="7"/>
  <c r="Q99" i="7" s="1"/>
  <c r="R99" i="7" s="1"/>
  <c r="G331" i="7"/>
  <c r="H331" i="7"/>
  <c r="I272" i="7"/>
  <c r="J272" i="7"/>
  <c r="L272" i="7" s="1"/>
  <c r="H141" i="7"/>
  <c r="F142" i="7"/>
  <c r="G141" i="7"/>
  <c r="J177" i="7"/>
  <c r="L177" i="7" s="1"/>
  <c r="I177" i="7"/>
  <c r="H248" i="7"/>
  <c r="G248" i="7"/>
  <c r="F249" i="7"/>
  <c r="K74" i="7"/>
  <c r="P74" i="7"/>
  <c r="Q74" i="7" s="1"/>
  <c r="R74" i="7" s="1"/>
  <c r="K246" i="7"/>
  <c r="P246" i="7"/>
  <c r="Q246" i="7" s="1"/>
  <c r="R246" i="7" s="1"/>
  <c r="J354" i="7"/>
  <c r="L354" i="7" s="1"/>
  <c r="I354" i="7"/>
  <c r="K354" i="7" s="1"/>
  <c r="K87" i="7"/>
  <c r="P87" i="7"/>
  <c r="Q87" i="7" s="1"/>
  <c r="R87" i="7" s="1"/>
  <c r="G43" i="7"/>
  <c r="G44" i="7" s="1"/>
  <c r="H43" i="7"/>
  <c r="J342" i="7"/>
  <c r="L342" i="7" s="1"/>
  <c r="I342" i="7"/>
  <c r="K342" i="7" s="1"/>
  <c r="K18" i="7"/>
  <c r="P18" i="7"/>
  <c r="Q18" i="7" s="1"/>
  <c r="R18" i="7" s="1"/>
  <c r="I247" i="7"/>
  <c r="J247" i="7"/>
  <c r="L247" i="7" s="1"/>
  <c r="M111" i="7"/>
  <c r="N111" i="7" s="1"/>
  <c r="O111" i="7" s="1"/>
  <c r="N110" i="7"/>
  <c r="F356" i="7"/>
  <c r="G355" i="7"/>
  <c r="H355" i="7"/>
  <c r="I75" i="7"/>
  <c r="J75" i="7"/>
  <c r="L75" i="7" s="1"/>
  <c r="J42" i="7"/>
  <c r="L42" i="7" s="1"/>
  <c r="I42" i="7"/>
  <c r="J88" i="7"/>
  <c r="L88" i="7" s="1"/>
  <c r="I88" i="7"/>
  <c r="K139" i="7"/>
  <c r="P139" i="7"/>
  <c r="Q139" i="7" s="1"/>
  <c r="R139" i="7" s="1"/>
  <c r="K297" i="7"/>
  <c r="K298" i="7" s="1"/>
  <c r="I298" i="7"/>
  <c r="J140" i="7"/>
  <c r="L140" i="7" s="1"/>
  <c r="I140" i="7"/>
  <c r="K41" i="7"/>
  <c r="P41" i="7"/>
  <c r="Q41" i="7" s="1"/>
  <c r="R41" i="7" s="1"/>
  <c r="K58" i="7"/>
  <c r="K59" i="7" s="1"/>
  <c r="P58" i="7"/>
  <c r="Q58" i="7" s="1"/>
  <c r="R58" i="7" s="1"/>
  <c r="I237" i="7"/>
  <c r="J237" i="7"/>
  <c r="L237" i="7" s="1"/>
  <c r="I262" i="7"/>
  <c r="J262" i="7"/>
  <c r="L262" i="7" s="1"/>
  <c r="H76" i="7"/>
  <c r="F77" i="7"/>
  <c r="G76" i="7"/>
  <c r="I391" i="7"/>
  <c r="K391" i="7" s="1"/>
  <c r="J391" i="7"/>
  <c r="L391" i="7" s="1"/>
  <c r="J330" i="7"/>
  <c r="L330" i="7" s="1"/>
  <c r="I330" i="7"/>
  <c r="K330" i="7" s="1"/>
  <c r="K271" i="7"/>
  <c r="P271" i="7"/>
  <c r="Q271" i="7" s="1"/>
  <c r="R271" i="7" s="1"/>
  <c r="K118" i="7"/>
  <c r="P118" i="7"/>
  <c r="Q118" i="7" s="1"/>
  <c r="R118" i="7" s="1"/>
  <c r="G392" i="7"/>
  <c r="G400" i="7" s="1"/>
  <c r="G408" i="7" s="1"/>
  <c r="H392" i="7"/>
  <c r="I19" i="7"/>
  <c r="J19" i="7"/>
  <c r="L19" i="7" s="1"/>
  <c r="H67" i="7"/>
  <c r="G67" i="7"/>
  <c r="G68" i="7" s="1"/>
  <c r="K261" i="7"/>
  <c r="P261" i="7"/>
  <c r="Q261" i="7" s="1"/>
  <c r="R261" i="7" s="1"/>
  <c r="I263" i="7"/>
  <c r="F121" i="7"/>
  <c r="G120" i="7"/>
  <c r="H120" i="7"/>
  <c r="H238" i="7"/>
  <c r="G238" i="7"/>
  <c r="F239" i="7"/>
  <c r="H89" i="7"/>
  <c r="G89" i="7"/>
  <c r="F90" i="7"/>
  <c r="F102" i="7"/>
  <c r="G101" i="7"/>
  <c r="H101" i="7"/>
  <c r="I66" i="7"/>
  <c r="J66" i="7"/>
  <c r="L66" i="7" s="1"/>
  <c r="I51" i="7"/>
  <c r="J51" i="7"/>
  <c r="L51" i="7" s="1"/>
  <c r="J337" i="7"/>
  <c r="L337" i="7" s="1"/>
  <c r="I337" i="7"/>
  <c r="K337" i="7" s="1"/>
  <c r="G273" i="7"/>
  <c r="F274" i="7"/>
  <c r="H273" i="7"/>
  <c r="J100" i="7"/>
  <c r="L100" i="7" s="1"/>
  <c r="I100" i="7"/>
  <c r="K213" i="7"/>
  <c r="K214" i="7" s="1"/>
  <c r="P213" i="7"/>
  <c r="Q213" i="7" s="1"/>
  <c r="R213" i="7" s="1"/>
  <c r="I214" i="7"/>
  <c r="H20" i="7"/>
  <c r="F21" i="7"/>
  <c r="G20" i="7"/>
  <c r="J119" i="7"/>
  <c r="L119" i="7" s="1"/>
  <c r="I119" i="7"/>
  <c r="K378" i="7"/>
  <c r="K236" i="7"/>
  <c r="P236" i="7"/>
  <c r="Q236" i="7" s="1"/>
  <c r="R236" i="7" s="1"/>
  <c r="K65" i="7"/>
  <c r="P65" i="7"/>
  <c r="Q65" i="7" s="1"/>
  <c r="R65" i="7" s="1"/>
  <c r="K50" i="7"/>
  <c r="P50" i="7"/>
  <c r="Q50" i="7" s="1"/>
  <c r="R50" i="7" s="1"/>
  <c r="I52" i="7"/>
  <c r="H343" i="7"/>
  <c r="G343" i="7"/>
  <c r="J89" i="7" l="1"/>
  <c r="L89" i="7" s="1"/>
  <c r="I89" i="7"/>
  <c r="H356" i="7"/>
  <c r="G356" i="7"/>
  <c r="F357" i="7"/>
  <c r="J76" i="7"/>
  <c r="L76" i="7" s="1"/>
  <c r="I76" i="7"/>
  <c r="K100" i="7"/>
  <c r="P100" i="7"/>
  <c r="Q100" i="7" s="1"/>
  <c r="R100" i="7" s="1"/>
  <c r="G239" i="7"/>
  <c r="G240" i="7" s="1"/>
  <c r="H239" i="7"/>
  <c r="O110" i="7"/>
  <c r="N112" i="7"/>
  <c r="N193" i="7" s="1"/>
  <c r="N307" i="7" s="1"/>
  <c r="I343" i="7"/>
  <c r="K343" i="7" s="1"/>
  <c r="J343" i="7"/>
  <c r="L343" i="7" s="1"/>
  <c r="F22" i="7"/>
  <c r="G21" i="7"/>
  <c r="H21" i="7"/>
  <c r="I43" i="7"/>
  <c r="J43" i="7"/>
  <c r="L43" i="7" s="1"/>
  <c r="H142" i="7"/>
  <c r="F143" i="7"/>
  <c r="G142" i="7"/>
  <c r="I392" i="7"/>
  <c r="J392" i="7"/>
  <c r="L392" i="7" s="1"/>
  <c r="J20" i="7"/>
  <c r="L20" i="7" s="1"/>
  <c r="I20" i="7"/>
  <c r="I101" i="7"/>
  <c r="J101" i="7"/>
  <c r="L101" i="7" s="1"/>
  <c r="I238" i="7"/>
  <c r="J238" i="7"/>
  <c r="L238" i="7" s="1"/>
  <c r="J67" i="7"/>
  <c r="L67" i="7" s="1"/>
  <c r="I67" i="7"/>
  <c r="I141" i="7"/>
  <c r="J141" i="7"/>
  <c r="L141" i="7" s="1"/>
  <c r="J331" i="7"/>
  <c r="L331" i="7" s="1"/>
  <c r="I331" i="7"/>
  <c r="K331" i="7" s="1"/>
  <c r="K51" i="7"/>
  <c r="P51" i="7"/>
  <c r="Q51" i="7" s="1"/>
  <c r="R51" i="7" s="1"/>
  <c r="I120" i="7"/>
  <c r="J120" i="7"/>
  <c r="L120" i="7" s="1"/>
  <c r="K262" i="7"/>
  <c r="K263" i="7" s="1"/>
  <c r="P262" i="7"/>
  <c r="Q262" i="7" s="1"/>
  <c r="R262" i="7" s="1"/>
  <c r="K88" i="7"/>
  <c r="P88" i="7"/>
  <c r="Q88" i="7" s="1"/>
  <c r="R88" i="7" s="1"/>
  <c r="G249" i="7"/>
  <c r="H249" i="7"/>
  <c r="F250" i="7"/>
  <c r="J178" i="7"/>
  <c r="L178" i="7" s="1"/>
  <c r="I178" i="7"/>
  <c r="K178" i="7" s="1"/>
  <c r="K237" i="7"/>
  <c r="P237" i="7"/>
  <c r="Q237" i="7" s="1"/>
  <c r="R237" i="7" s="1"/>
  <c r="K177" i="7"/>
  <c r="K66" i="7"/>
  <c r="P66" i="7"/>
  <c r="Q66" i="7" s="1"/>
  <c r="R66" i="7" s="1"/>
  <c r="I68" i="7"/>
  <c r="K52" i="7"/>
  <c r="G274" i="7"/>
  <c r="G275" i="7" s="1"/>
  <c r="H274" i="7"/>
  <c r="H102" i="7"/>
  <c r="F103" i="7"/>
  <c r="G102" i="7"/>
  <c r="K140" i="7"/>
  <c r="P140" i="7"/>
  <c r="Q140" i="7" s="1"/>
  <c r="R140" i="7" s="1"/>
  <c r="K75" i="7"/>
  <c r="P75" i="7"/>
  <c r="Q75" i="7" s="1"/>
  <c r="R75" i="7" s="1"/>
  <c r="K247" i="7"/>
  <c r="P247" i="7"/>
  <c r="Q247" i="7" s="1"/>
  <c r="R247" i="7" s="1"/>
  <c r="K42" i="7"/>
  <c r="P42" i="7"/>
  <c r="Q42" i="7" s="1"/>
  <c r="R42" i="7" s="1"/>
  <c r="J273" i="7"/>
  <c r="L273" i="7" s="1"/>
  <c r="I273" i="7"/>
  <c r="K119" i="7"/>
  <c r="P119" i="7"/>
  <c r="Q119" i="7" s="1"/>
  <c r="R119" i="7" s="1"/>
  <c r="H90" i="7"/>
  <c r="G90" i="7"/>
  <c r="F91" i="7"/>
  <c r="H121" i="7"/>
  <c r="F122" i="7"/>
  <c r="G121" i="7"/>
  <c r="K19" i="7"/>
  <c r="P19" i="7"/>
  <c r="Q19" i="7" s="1"/>
  <c r="R19" i="7" s="1"/>
  <c r="F78" i="7"/>
  <c r="G77" i="7"/>
  <c r="H77" i="7"/>
  <c r="I355" i="7"/>
  <c r="K355" i="7" s="1"/>
  <c r="J355" i="7"/>
  <c r="L355" i="7" s="1"/>
  <c r="I248" i="7"/>
  <c r="J248" i="7"/>
  <c r="L248" i="7" s="1"/>
  <c r="K272" i="7"/>
  <c r="P272" i="7"/>
  <c r="Q272" i="7" s="1"/>
  <c r="R272" i="7" s="1"/>
  <c r="F123" i="7" l="1"/>
  <c r="G122" i="7"/>
  <c r="H122" i="7"/>
  <c r="J121" i="7"/>
  <c r="L121" i="7" s="1"/>
  <c r="I121" i="7"/>
  <c r="K76" i="7"/>
  <c r="P76" i="7"/>
  <c r="Q76" i="7" s="1"/>
  <c r="R76" i="7" s="1"/>
  <c r="K89" i="7"/>
  <c r="P89" i="7"/>
  <c r="Q89" i="7" s="1"/>
  <c r="R89" i="7" s="1"/>
  <c r="J77" i="7"/>
  <c r="L77" i="7" s="1"/>
  <c r="I77" i="7"/>
  <c r="K67" i="7"/>
  <c r="K68" i="7" s="1"/>
  <c r="P67" i="7"/>
  <c r="Q67" i="7" s="1"/>
  <c r="R67" i="7" s="1"/>
  <c r="K101" i="7"/>
  <c r="P101" i="7"/>
  <c r="Q101" i="7" s="1"/>
  <c r="R101" i="7" s="1"/>
  <c r="K43" i="7"/>
  <c r="K44" i="7" s="1"/>
  <c r="P43" i="7"/>
  <c r="Q43" i="7" s="1"/>
  <c r="R43" i="7" s="1"/>
  <c r="I44" i="7"/>
  <c r="H91" i="7"/>
  <c r="F92" i="7"/>
  <c r="G91" i="7"/>
  <c r="G250" i="7"/>
  <c r="F251" i="7"/>
  <c r="H250" i="7"/>
  <c r="K20" i="7"/>
  <c r="P20" i="7"/>
  <c r="Q20" i="7" s="1"/>
  <c r="R20" i="7" s="1"/>
  <c r="J21" i="7"/>
  <c r="L21" i="7" s="1"/>
  <c r="I21" i="7"/>
  <c r="O112" i="7"/>
  <c r="O193" i="7" s="1"/>
  <c r="O307" i="7" s="1"/>
  <c r="H78" i="7"/>
  <c r="F79" i="7"/>
  <c r="G78" i="7"/>
  <c r="I90" i="7"/>
  <c r="J90" i="7"/>
  <c r="L90" i="7" s="1"/>
  <c r="F104" i="7"/>
  <c r="G103" i="7"/>
  <c r="H103" i="7"/>
  <c r="I179" i="7"/>
  <c r="J249" i="7"/>
  <c r="L249" i="7" s="1"/>
  <c r="I249" i="7"/>
  <c r="F144" i="7"/>
  <c r="G143" i="7"/>
  <c r="H143" i="7"/>
  <c r="H357" i="7"/>
  <c r="G357" i="7"/>
  <c r="G358" i="7" s="1"/>
  <c r="G370" i="7" s="1"/>
  <c r="G410" i="7" s="1"/>
  <c r="K392" i="7"/>
  <c r="K400" i="7" s="1"/>
  <c r="K408" i="7" s="1"/>
  <c r="I400" i="7"/>
  <c r="I408" i="7" s="1"/>
  <c r="J102" i="7"/>
  <c r="L102" i="7" s="1"/>
  <c r="I102" i="7"/>
  <c r="K179" i="7"/>
  <c r="J142" i="7"/>
  <c r="L142" i="7" s="1"/>
  <c r="I142" i="7"/>
  <c r="G22" i="7"/>
  <c r="F23" i="7"/>
  <c r="H22" i="7"/>
  <c r="J239" i="7"/>
  <c r="L239" i="7" s="1"/>
  <c r="I239" i="7"/>
  <c r="I274" i="7"/>
  <c r="J274" i="7"/>
  <c r="L274" i="7" s="1"/>
  <c r="K120" i="7"/>
  <c r="P120" i="7"/>
  <c r="Q120" i="7" s="1"/>
  <c r="R120" i="7" s="1"/>
  <c r="J356" i="7"/>
  <c r="L356" i="7" s="1"/>
  <c r="I356" i="7"/>
  <c r="K356" i="7" s="1"/>
  <c r="K248" i="7"/>
  <c r="P248" i="7"/>
  <c r="Q248" i="7" s="1"/>
  <c r="R248" i="7" s="1"/>
  <c r="K273" i="7"/>
  <c r="P273" i="7"/>
  <c r="Q273" i="7" s="1"/>
  <c r="R273" i="7" s="1"/>
  <c r="I275" i="7"/>
  <c r="K141" i="7"/>
  <c r="P141" i="7"/>
  <c r="Q141" i="7" s="1"/>
  <c r="R141" i="7" s="1"/>
  <c r="K238" i="7"/>
  <c r="P238" i="7"/>
  <c r="Q238" i="7" s="1"/>
  <c r="R238" i="7" s="1"/>
  <c r="I103" i="7" l="1"/>
  <c r="J103" i="7"/>
  <c r="L103" i="7" s="1"/>
  <c r="J78" i="7"/>
  <c r="L78" i="7" s="1"/>
  <c r="I78" i="7"/>
  <c r="I250" i="7"/>
  <c r="J250" i="7"/>
  <c r="L250" i="7" s="1"/>
  <c r="I143" i="7"/>
  <c r="J143" i="7"/>
  <c r="L143" i="7" s="1"/>
  <c r="G251" i="7"/>
  <c r="H251" i="7"/>
  <c r="F252" i="7"/>
  <c r="K121" i="7"/>
  <c r="P121" i="7"/>
  <c r="Q121" i="7" s="1"/>
  <c r="R121" i="7" s="1"/>
  <c r="I22" i="7"/>
  <c r="J22" i="7"/>
  <c r="L22" i="7" s="1"/>
  <c r="H104" i="7"/>
  <c r="F105" i="7"/>
  <c r="G104" i="7"/>
  <c r="K239" i="7"/>
  <c r="K240" i="7" s="1"/>
  <c r="P239" i="7"/>
  <c r="Q239" i="7" s="1"/>
  <c r="R239" i="7" s="1"/>
  <c r="I240" i="7"/>
  <c r="K102" i="7"/>
  <c r="P102" i="7"/>
  <c r="Q102" i="7" s="1"/>
  <c r="R102" i="7" s="1"/>
  <c r="H23" i="7"/>
  <c r="F24" i="7"/>
  <c r="G23" i="7"/>
  <c r="H144" i="7"/>
  <c r="G144" i="7"/>
  <c r="F145" i="7"/>
  <c r="K21" i="7"/>
  <c r="P21" i="7"/>
  <c r="Q21" i="7" s="1"/>
  <c r="R21" i="7" s="1"/>
  <c r="J122" i="7"/>
  <c r="L122" i="7" s="1"/>
  <c r="I122" i="7"/>
  <c r="H79" i="7"/>
  <c r="G79" i="7"/>
  <c r="G80" i="7" s="1"/>
  <c r="K249" i="7"/>
  <c r="P249" i="7"/>
  <c r="Q249" i="7" s="1"/>
  <c r="R249" i="7" s="1"/>
  <c r="K142" i="7"/>
  <c r="P142" i="7"/>
  <c r="Q142" i="7" s="1"/>
  <c r="R142" i="7" s="1"/>
  <c r="K90" i="7"/>
  <c r="P90" i="7"/>
  <c r="Q90" i="7" s="1"/>
  <c r="R90" i="7" s="1"/>
  <c r="G92" i="7"/>
  <c r="G93" i="7" s="1"/>
  <c r="H92" i="7"/>
  <c r="H123" i="7"/>
  <c r="F124" i="7"/>
  <c r="G123" i="7"/>
  <c r="I357" i="7"/>
  <c r="J357" i="7"/>
  <c r="L357" i="7" s="1"/>
  <c r="K77" i="7"/>
  <c r="P77" i="7"/>
  <c r="Q77" i="7" s="1"/>
  <c r="R77" i="7" s="1"/>
  <c r="K274" i="7"/>
  <c r="K275" i="7" s="1"/>
  <c r="P274" i="7"/>
  <c r="Q274" i="7" s="1"/>
  <c r="R274" i="7" s="1"/>
  <c r="G413" i="7"/>
  <c r="I413" i="7" s="1"/>
  <c r="K413" i="7" s="1"/>
  <c r="J91" i="7"/>
  <c r="L91" i="7" s="1"/>
  <c r="I91" i="7"/>
  <c r="J104" i="7" l="1"/>
  <c r="L104" i="7" s="1"/>
  <c r="I104" i="7"/>
  <c r="I251" i="7"/>
  <c r="J251" i="7"/>
  <c r="L251" i="7" s="1"/>
  <c r="K250" i="7"/>
  <c r="P250" i="7"/>
  <c r="Q250" i="7" s="1"/>
  <c r="R250" i="7" s="1"/>
  <c r="H124" i="7"/>
  <c r="F125" i="7"/>
  <c r="G124" i="7"/>
  <c r="K78" i="7"/>
  <c r="P78" i="7"/>
  <c r="Q78" i="7" s="1"/>
  <c r="R78" i="7" s="1"/>
  <c r="I23" i="7"/>
  <c r="J23" i="7"/>
  <c r="L23" i="7" s="1"/>
  <c r="F146" i="7"/>
  <c r="G145" i="7"/>
  <c r="H145" i="7"/>
  <c r="K143" i="7"/>
  <c r="P143" i="7"/>
  <c r="Q143" i="7" s="1"/>
  <c r="R143" i="7" s="1"/>
  <c r="K22" i="7"/>
  <c r="P22" i="7"/>
  <c r="Q22" i="7" s="1"/>
  <c r="R22" i="7" s="1"/>
  <c r="K91" i="7"/>
  <c r="P91" i="7"/>
  <c r="Q91" i="7" s="1"/>
  <c r="R91" i="7" s="1"/>
  <c r="I79" i="7"/>
  <c r="J79" i="7"/>
  <c r="L79" i="7" s="1"/>
  <c r="J144" i="7"/>
  <c r="L144" i="7" s="1"/>
  <c r="I144" i="7"/>
  <c r="I92" i="7"/>
  <c r="J92" i="7"/>
  <c r="L92" i="7" s="1"/>
  <c r="K122" i="7"/>
  <c r="P122" i="7"/>
  <c r="Q122" i="7" s="1"/>
  <c r="R122" i="7" s="1"/>
  <c r="K103" i="7"/>
  <c r="P103" i="7"/>
  <c r="Q103" i="7" s="1"/>
  <c r="R103" i="7" s="1"/>
  <c r="J123" i="7"/>
  <c r="L123" i="7" s="1"/>
  <c r="I123" i="7"/>
  <c r="K357" i="7"/>
  <c r="K358" i="7" s="1"/>
  <c r="K370" i="7" s="1"/>
  <c r="K410" i="7" s="1"/>
  <c r="I358" i="7"/>
  <c r="I370" i="7" s="1"/>
  <c r="I410" i="7" s="1"/>
  <c r="F25" i="7"/>
  <c r="G24" i="7"/>
  <c r="H24" i="7"/>
  <c r="F106" i="7"/>
  <c r="G105" i="7"/>
  <c r="H105" i="7"/>
  <c r="H252" i="7"/>
  <c r="G252" i="7"/>
  <c r="F253" i="7"/>
  <c r="K144" i="7" l="1"/>
  <c r="P144" i="7"/>
  <c r="Q144" i="7" s="1"/>
  <c r="R144" i="7" s="1"/>
  <c r="K23" i="7"/>
  <c r="P23" i="7"/>
  <c r="Q23" i="7" s="1"/>
  <c r="R23" i="7" s="1"/>
  <c r="G253" i="7"/>
  <c r="G254" i="7" s="1"/>
  <c r="G305" i="7" s="1"/>
  <c r="H253" i="7"/>
  <c r="I252" i="7"/>
  <c r="J252" i="7"/>
  <c r="L252" i="7" s="1"/>
  <c r="J105" i="7"/>
  <c r="L105" i="7" s="1"/>
  <c r="I105" i="7"/>
  <c r="K123" i="7"/>
  <c r="P123" i="7"/>
  <c r="Q123" i="7" s="1"/>
  <c r="R123" i="7" s="1"/>
  <c r="K251" i="7"/>
  <c r="P251" i="7"/>
  <c r="Q251" i="7" s="1"/>
  <c r="R251" i="7" s="1"/>
  <c r="I412" i="7"/>
  <c r="K79" i="7"/>
  <c r="K80" i="7" s="1"/>
  <c r="P79" i="7"/>
  <c r="Q79" i="7" s="1"/>
  <c r="R79" i="7" s="1"/>
  <c r="I80" i="7"/>
  <c r="I145" i="7"/>
  <c r="J145" i="7"/>
  <c r="L145" i="7" s="1"/>
  <c r="K104" i="7"/>
  <c r="P104" i="7"/>
  <c r="Q104" i="7" s="1"/>
  <c r="R104" i="7" s="1"/>
  <c r="F26" i="7"/>
  <c r="G25" i="7"/>
  <c r="H25" i="7"/>
  <c r="F107" i="7"/>
  <c r="H106" i="7"/>
  <c r="G106" i="7"/>
  <c r="K92" i="7"/>
  <c r="K93" i="7" s="1"/>
  <c r="P92" i="7"/>
  <c r="Q92" i="7" s="1"/>
  <c r="R92" i="7" s="1"/>
  <c r="I93" i="7"/>
  <c r="H125" i="7"/>
  <c r="F126" i="7"/>
  <c r="G125" i="7"/>
  <c r="K412" i="7"/>
  <c r="J24" i="7"/>
  <c r="L24" i="7" s="1"/>
  <c r="I24" i="7"/>
  <c r="H146" i="7"/>
  <c r="F147" i="7"/>
  <c r="G146" i="7"/>
  <c r="I124" i="7"/>
  <c r="J124" i="7"/>
  <c r="L124" i="7" s="1"/>
  <c r="K252" i="7" l="1"/>
  <c r="P252" i="7"/>
  <c r="Q252" i="7" s="1"/>
  <c r="R252" i="7" s="1"/>
  <c r="J106" i="7"/>
  <c r="L106" i="7" s="1"/>
  <c r="I106" i="7"/>
  <c r="H107" i="7"/>
  <c r="F108" i="7"/>
  <c r="G107" i="7"/>
  <c r="K145" i="7"/>
  <c r="P145" i="7"/>
  <c r="Q145" i="7" s="1"/>
  <c r="R145" i="7" s="1"/>
  <c r="J253" i="7"/>
  <c r="L253" i="7" s="1"/>
  <c r="I253" i="7"/>
  <c r="J125" i="7"/>
  <c r="L125" i="7" s="1"/>
  <c r="I125" i="7"/>
  <c r="K105" i="7"/>
  <c r="P105" i="7"/>
  <c r="Q105" i="7" s="1"/>
  <c r="R105" i="7" s="1"/>
  <c r="I25" i="7"/>
  <c r="J25" i="7"/>
  <c r="L25" i="7" s="1"/>
  <c r="K24" i="7"/>
  <c r="P24" i="7"/>
  <c r="Q24" i="7" s="1"/>
  <c r="R24" i="7" s="1"/>
  <c r="H26" i="7"/>
  <c r="F27" i="7"/>
  <c r="G26" i="7"/>
  <c r="K124" i="7"/>
  <c r="P124" i="7"/>
  <c r="Q124" i="7" s="1"/>
  <c r="R124" i="7" s="1"/>
  <c r="F148" i="7"/>
  <c r="G147" i="7"/>
  <c r="H147" i="7"/>
  <c r="F127" i="7"/>
  <c r="G126" i="7"/>
  <c r="H126" i="7"/>
  <c r="I146" i="7"/>
  <c r="J146" i="7"/>
  <c r="L146" i="7" s="1"/>
  <c r="I107" i="7" l="1"/>
  <c r="J107" i="7"/>
  <c r="L107" i="7" s="1"/>
  <c r="H108" i="7"/>
  <c r="F109" i="7"/>
  <c r="G108" i="7"/>
  <c r="K106" i="7"/>
  <c r="P106" i="7"/>
  <c r="Q106" i="7" s="1"/>
  <c r="R106" i="7" s="1"/>
  <c r="K253" i="7"/>
  <c r="K254" i="7" s="1"/>
  <c r="K305" i="7" s="1"/>
  <c r="P253" i="7"/>
  <c r="Q253" i="7" s="1"/>
  <c r="R253" i="7" s="1"/>
  <c r="I254" i="7"/>
  <c r="I305" i="7" s="1"/>
  <c r="H127" i="7"/>
  <c r="G127" i="7"/>
  <c r="F128" i="7"/>
  <c r="G27" i="7"/>
  <c r="G28" i="7" s="1"/>
  <c r="H27" i="7"/>
  <c r="F149" i="7"/>
  <c r="G148" i="7"/>
  <c r="H148" i="7"/>
  <c r="K146" i="7"/>
  <c r="P146" i="7"/>
  <c r="Q146" i="7" s="1"/>
  <c r="R146" i="7" s="1"/>
  <c r="I126" i="7"/>
  <c r="J126" i="7"/>
  <c r="L126" i="7" s="1"/>
  <c r="J147" i="7"/>
  <c r="L147" i="7" s="1"/>
  <c r="I147" i="7"/>
  <c r="J26" i="7"/>
  <c r="L26" i="7" s="1"/>
  <c r="I26" i="7"/>
  <c r="K125" i="7"/>
  <c r="P125" i="7"/>
  <c r="Q125" i="7" s="1"/>
  <c r="R125" i="7" s="1"/>
  <c r="K25" i="7"/>
  <c r="P25" i="7"/>
  <c r="Q25" i="7" s="1"/>
  <c r="R25" i="7" s="1"/>
  <c r="F129" i="7" l="1"/>
  <c r="G128" i="7"/>
  <c r="H128" i="7"/>
  <c r="F110" i="7"/>
  <c r="G109" i="7"/>
  <c r="H109" i="7"/>
  <c r="J127" i="7"/>
  <c r="L127" i="7" s="1"/>
  <c r="I127" i="7"/>
  <c r="J108" i="7"/>
  <c r="L108" i="7" s="1"/>
  <c r="I108" i="7"/>
  <c r="K126" i="7"/>
  <c r="P126" i="7"/>
  <c r="Q126" i="7" s="1"/>
  <c r="R126" i="7" s="1"/>
  <c r="J148" i="7"/>
  <c r="L148" i="7" s="1"/>
  <c r="I148" i="7"/>
  <c r="K26" i="7"/>
  <c r="P26" i="7"/>
  <c r="Q26" i="7" s="1"/>
  <c r="R26" i="7" s="1"/>
  <c r="K147" i="7"/>
  <c r="P147" i="7"/>
  <c r="Q147" i="7" s="1"/>
  <c r="R147" i="7" s="1"/>
  <c r="I27" i="7"/>
  <c r="J27" i="7"/>
  <c r="L27" i="7" s="1"/>
  <c r="H149" i="7"/>
  <c r="F150" i="7"/>
  <c r="G149" i="7"/>
  <c r="K107" i="7"/>
  <c r="P107" i="7"/>
  <c r="Q107" i="7" s="1"/>
  <c r="R107" i="7" s="1"/>
  <c r="K27" i="7" l="1"/>
  <c r="K28" i="7" s="1"/>
  <c r="P27" i="7"/>
  <c r="Q27" i="7" s="1"/>
  <c r="R27" i="7" s="1"/>
  <c r="I28" i="7"/>
  <c r="I109" i="7"/>
  <c r="J109" i="7"/>
  <c r="L109" i="7" s="1"/>
  <c r="K108" i="7"/>
  <c r="P108" i="7"/>
  <c r="Q108" i="7" s="1"/>
  <c r="R108" i="7" s="1"/>
  <c r="H110" i="7"/>
  <c r="F111" i="7"/>
  <c r="G110" i="7"/>
  <c r="F151" i="7"/>
  <c r="G150" i="7"/>
  <c r="H150" i="7"/>
  <c r="I128" i="7"/>
  <c r="J128" i="7"/>
  <c r="L128" i="7" s="1"/>
  <c r="J149" i="7"/>
  <c r="L149" i="7" s="1"/>
  <c r="I149" i="7"/>
  <c r="K148" i="7"/>
  <c r="P148" i="7"/>
  <c r="Q148" i="7" s="1"/>
  <c r="R148" i="7" s="1"/>
  <c r="K127" i="7"/>
  <c r="P127" i="7"/>
  <c r="Q127" i="7" s="1"/>
  <c r="R127" i="7" s="1"/>
  <c r="H129" i="7"/>
  <c r="F130" i="7"/>
  <c r="G129" i="7"/>
  <c r="I150" i="7" l="1"/>
  <c r="J150" i="7"/>
  <c r="L150" i="7" s="1"/>
  <c r="K149" i="7"/>
  <c r="P149" i="7"/>
  <c r="Q149" i="7" s="1"/>
  <c r="R149" i="7" s="1"/>
  <c r="H151" i="7"/>
  <c r="F152" i="7"/>
  <c r="G151" i="7"/>
  <c r="K109" i="7"/>
  <c r="P109" i="7"/>
  <c r="Q109" i="7" s="1"/>
  <c r="R109" i="7" s="1"/>
  <c r="K128" i="7"/>
  <c r="P128" i="7"/>
  <c r="Q128" i="7" s="1"/>
  <c r="R128" i="7" s="1"/>
  <c r="G130" i="7"/>
  <c r="G131" i="7" s="1"/>
  <c r="H130" i="7"/>
  <c r="G111" i="7"/>
  <c r="G112" i="7" s="1"/>
  <c r="H111" i="7"/>
  <c r="I129" i="7"/>
  <c r="J129" i="7"/>
  <c r="L129" i="7" s="1"/>
  <c r="J110" i="7"/>
  <c r="L110" i="7" s="1"/>
  <c r="I110" i="7"/>
  <c r="G152" i="7" l="1"/>
  <c r="G153" i="7" s="1"/>
  <c r="G193" i="7" s="1"/>
  <c r="H152" i="7"/>
  <c r="I111" i="7"/>
  <c r="J111" i="7"/>
  <c r="L111" i="7" s="1"/>
  <c r="I151" i="7"/>
  <c r="J151" i="7"/>
  <c r="L151" i="7" s="1"/>
  <c r="K110" i="7"/>
  <c r="P110" i="7"/>
  <c r="Q110" i="7" s="1"/>
  <c r="R110" i="7" s="1"/>
  <c r="J130" i="7"/>
  <c r="L130" i="7" s="1"/>
  <c r="I130" i="7"/>
  <c r="K129" i="7"/>
  <c r="P129" i="7"/>
  <c r="Q129" i="7" s="1"/>
  <c r="R129" i="7" s="1"/>
  <c r="K150" i="7"/>
  <c r="P150" i="7"/>
  <c r="Q150" i="7" s="1"/>
  <c r="R150" i="7" s="1"/>
  <c r="K151" i="7" l="1"/>
  <c r="P151" i="7"/>
  <c r="Q151" i="7" s="1"/>
  <c r="R151" i="7" s="1"/>
  <c r="K111" i="7"/>
  <c r="K112" i="7" s="1"/>
  <c r="P111" i="7"/>
  <c r="Q111" i="7" s="1"/>
  <c r="R111" i="7" s="1"/>
  <c r="I112" i="7"/>
  <c r="K130" i="7"/>
  <c r="K131" i="7" s="1"/>
  <c r="P130" i="7"/>
  <c r="Q130" i="7" s="1"/>
  <c r="R130" i="7" s="1"/>
  <c r="I131" i="7"/>
  <c r="J152" i="7"/>
  <c r="L152" i="7" s="1"/>
  <c r="I152" i="7"/>
  <c r="G4" i="7"/>
  <c r="I4" i="7" s="1"/>
  <c r="J4" i="7" s="1"/>
  <c r="G307" i="7"/>
  <c r="G310" i="7" l="1"/>
  <c r="I310" i="7" s="1"/>
  <c r="K310" i="7" s="1"/>
  <c r="G416" i="7"/>
  <c r="G419" i="7" s="1"/>
  <c r="I419" i="7" s="1"/>
  <c r="K419" i="7" s="1"/>
  <c r="K152" i="7"/>
  <c r="K153" i="7" s="1"/>
  <c r="K193" i="7" s="1"/>
  <c r="K307" i="7" s="1"/>
  <c r="P152" i="7"/>
  <c r="Q152" i="7" s="1"/>
  <c r="R152" i="7" s="1"/>
  <c r="I153" i="7"/>
  <c r="I193" i="7" s="1"/>
  <c r="I307" i="7" s="1"/>
  <c r="I309" i="7" l="1"/>
  <c r="I418" i="7" s="1"/>
  <c r="I416" i="7"/>
  <c r="K309" i="7"/>
  <c r="K418" i="7" s="1"/>
  <c r="K416" i="7"/>
  <c r="G11" i="2" l="1"/>
  <c r="E18" i="2" l="1"/>
  <c r="E27" i="2" s="1"/>
  <c r="G72" i="5" l="1"/>
  <c r="G71" i="5"/>
  <c r="G69" i="5"/>
  <c r="G70" i="5"/>
  <c r="G68" i="5"/>
  <c r="H70" i="5" l="1"/>
  <c r="H71" i="5"/>
  <c r="G65" i="5"/>
  <c r="H65" i="5" s="1"/>
  <c r="G64" i="5"/>
  <c r="H64" i="5" s="1"/>
  <c r="G63" i="5"/>
  <c r="H63" i="5" s="1"/>
  <c r="G57" i="5"/>
  <c r="H57" i="5" s="1"/>
  <c r="G58" i="5"/>
  <c r="H58" i="5" s="1"/>
  <c r="G59" i="5"/>
  <c r="H59" i="5" s="1"/>
  <c r="G60" i="5"/>
  <c r="H60" i="5" s="1"/>
  <c r="G61" i="5"/>
  <c r="H61" i="5" s="1"/>
  <c r="G62" i="5"/>
  <c r="H62" i="5" s="1"/>
  <c r="G56" i="5"/>
  <c r="H56" i="5" s="1"/>
  <c r="G50" i="5"/>
  <c r="H50" i="5" s="1"/>
  <c r="G51" i="5"/>
  <c r="H51" i="5" s="1"/>
  <c r="G52" i="5"/>
  <c r="H52" i="5" s="1"/>
  <c r="G53" i="5"/>
  <c r="H53" i="5" s="1"/>
  <c r="G54" i="5"/>
  <c r="H54" i="5" s="1"/>
  <c r="G55" i="5"/>
  <c r="H55" i="5" s="1"/>
  <c r="G49" i="5"/>
  <c r="G48" i="5"/>
  <c r="H48" i="5" s="1"/>
  <c r="G47" i="5"/>
  <c r="G46" i="5"/>
  <c r="H46" i="5" s="1"/>
  <c r="G45" i="5"/>
  <c r="H45" i="5" s="1"/>
  <c r="H68" i="5"/>
  <c r="H69" i="5"/>
  <c r="H72" i="5"/>
  <c r="H49" i="5"/>
  <c r="G43" i="5"/>
  <c r="G42" i="5"/>
  <c r="G41" i="5"/>
  <c r="G40" i="5"/>
  <c r="H47" i="5"/>
  <c r="G39" i="5"/>
  <c r="G38" i="5"/>
  <c r="G37" i="5"/>
  <c r="G67" i="5" l="1"/>
  <c r="H67" i="5" s="1"/>
  <c r="G66" i="5"/>
  <c r="H66" i="5" s="1"/>
  <c r="G30" i="5"/>
  <c r="G29" i="5"/>
  <c r="G28" i="5"/>
  <c r="G23" i="5"/>
  <c r="G24" i="5"/>
  <c r="G25" i="5"/>
  <c r="G26" i="5"/>
  <c r="G27" i="5"/>
  <c r="G22" i="5"/>
  <c r="G21" i="5"/>
  <c r="G20" i="5"/>
  <c r="G19" i="5"/>
  <c r="G18" i="5"/>
  <c r="G17" i="5"/>
  <c r="G15" i="5" l="1"/>
  <c r="G14" i="5"/>
  <c r="G13" i="5"/>
  <c r="G12" i="5"/>
  <c r="G10" i="5"/>
  <c r="G2" i="5"/>
  <c r="G3" i="5"/>
  <c r="F15" i="5" l="1"/>
  <c r="H15" i="5" s="1"/>
  <c r="O15" i="5"/>
  <c r="B49" i="6" l="1"/>
  <c r="B52" i="6" s="1"/>
  <c r="C48" i="6"/>
  <c r="C47" i="6"/>
  <c r="B9" i="6"/>
  <c r="E3" i="5" s="1"/>
  <c r="B8" i="6"/>
  <c r="B7" i="6"/>
  <c r="H7" i="6" s="1"/>
  <c r="B6" i="6"/>
  <c r="G6" i="6" s="1"/>
  <c r="B5" i="6"/>
  <c r="E5" i="6" s="1"/>
  <c r="B4" i="6"/>
  <c r="F4" i="6" s="1"/>
  <c r="B3" i="6"/>
  <c r="G3" i="6" s="1"/>
  <c r="D32" i="5"/>
  <c r="D3" i="6" l="1"/>
  <c r="C49" i="6"/>
  <c r="C6" i="6"/>
  <c r="D7" i="6"/>
  <c r="D4" i="6"/>
  <c r="E6" i="6"/>
  <c r="F8" i="6"/>
  <c r="G8" i="6"/>
  <c r="H3" i="6"/>
  <c r="E4" i="6"/>
  <c r="F6" i="6"/>
  <c r="G7" i="6"/>
  <c r="E41" i="5"/>
  <c r="F41" i="5" s="1"/>
  <c r="H41" i="5" s="1"/>
  <c r="E40" i="5"/>
  <c r="F40" i="5" s="1"/>
  <c r="H40" i="5" s="1"/>
  <c r="E38" i="5"/>
  <c r="F38" i="5" s="1"/>
  <c r="H38" i="5" s="1"/>
  <c r="E37" i="5"/>
  <c r="F37" i="5" s="1"/>
  <c r="H37" i="5" s="1"/>
  <c r="E6" i="5"/>
  <c r="F6" i="5" s="1"/>
  <c r="H6" i="5" s="1"/>
  <c r="E14" i="5"/>
  <c r="F14" i="5" s="1"/>
  <c r="H14" i="5" s="1"/>
  <c r="E5" i="5"/>
  <c r="F5" i="5" s="1"/>
  <c r="H5" i="5" s="1"/>
  <c r="E10" i="5"/>
  <c r="F10" i="5" s="1"/>
  <c r="H10" i="5" s="1"/>
  <c r="E7" i="5"/>
  <c r="F7" i="5" s="1"/>
  <c r="H7" i="5" s="1"/>
  <c r="E4" i="5"/>
  <c r="F4" i="5" s="1"/>
  <c r="H4" i="5" s="1"/>
  <c r="E13" i="5"/>
  <c r="F13" i="5" s="1"/>
  <c r="H13" i="5" s="1"/>
  <c r="E12" i="5"/>
  <c r="F12" i="5" s="1"/>
  <c r="H12" i="5" s="1"/>
  <c r="C8" i="6"/>
  <c r="H8" i="6"/>
  <c r="G4" i="6"/>
  <c r="D8" i="6"/>
  <c r="E9" i="6"/>
  <c r="E42" i="5"/>
  <c r="F42" i="5" s="1"/>
  <c r="H42" i="5" s="1"/>
  <c r="E43" i="5"/>
  <c r="F43" i="5" s="1"/>
  <c r="H43" i="5" s="1"/>
  <c r="E39" i="5"/>
  <c r="F39" i="5" s="1"/>
  <c r="H39" i="5" s="1"/>
  <c r="E2" i="5"/>
  <c r="F2" i="5" s="1"/>
  <c r="H2" i="5" s="1"/>
  <c r="G50" i="6"/>
  <c r="G52" i="6" s="1"/>
  <c r="C4" i="6"/>
  <c r="H4" i="6"/>
  <c r="E8" i="6"/>
  <c r="D16" i="5"/>
  <c r="D33" i="5" s="1"/>
  <c r="F3" i="5"/>
  <c r="H3" i="5" s="1"/>
  <c r="F9" i="6"/>
  <c r="E3" i="6"/>
  <c r="C5" i="6"/>
  <c r="G5" i="6"/>
  <c r="D6" i="6"/>
  <c r="H6" i="6"/>
  <c r="E7" i="6"/>
  <c r="C9" i="6"/>
  <c r="G9" i="6"/>
  <c r="F5" i="6"/>
  <c r="F3" i="6"/>
  <c r="D5" i="6"/>
  <c r="H5" i="6"/>
  <c r="F7" i="6"/>
  <c r="D9" i="6"/>
  <c r="H9" i="6"/>
  <c r="C3" i="6"/>
  <c r="C7" i="6"/>
  <c r="O12" i="5"/>
  <c r="O3" i="5"/>
  <c r="O2" i="5"/>
  <c r="O10" i="5"/>
  <c r="O4" i="5"/>
  <c r="O5" i="5"/>
  <c r="O6" i="5"/>
  <c r="O7" i="5"/>
  <c r="O14" i="5"/>
  <c r="O13" i="5"/>
  <c r="B53" i="6" l="1"/>
  <c r="J11" i="2"/>
  <c r="H16" i="5"/>
  <c r="O16" i="5"/>
  <c r="F16" i="5"/>
  <c r="H22" i="5" l="1"/>
  <c r="O22" i="5"/>
  <c r="O18" i="5"/>
  <c r="H18" i="5"/>
  <c r="H25" i="5"/>
  <c r="O25" i="5"/>
  <c r="H29" i="5"/>
  <c r="O29" i="5"/>
  <c r="O30" i="5"/>
  <c r="H30" i="5"/>
  <c r="O23" i="5"/>
  <c r="H23" i="5"/>
  <c r="O17" i="5"/>
  <c r="H17" i="5"/>
  <c r="F32" i="5"/>
  <c r="F33" i="5" s="1"/>
  <c r="D83" i="5" s="1"/>
  <c r="O28" i="5"/>
  <c r="H28" i="5"/>
  <c r="O20" i="5"/>
  <c r="H20" i="5"/>
  <c r="O27" i="5"/>
  <c r="H27" i="5"/>
  <c r="H24" i="5"/>
  <c r="O24" i="5"/>
  <c r="O21" i="5"/>
  <c r="H21" i="5"/>
  <c r="H19" i="5"/>
  <c r="O19" i="5"/>
  <c r="O26" i="5"/>
  <c r="H26" i="5"/>
  <c r="H32" i="5" l="1"/>
  <c r="H33" i="5" s="1"/>
  <c r="O32" i="5"/>
  <c r="O33" i="5" s="1"/>
  <c r="G27" i="2" l="1"/>
  <c r="H27" i="2" s="1"/>
  <c r="F27" i="2"/>
  <c r="F28" i="2" s="1"/>
  <c r="D19" i="2"/>
  <c r="D28" i="2"/>
  <c r="F18" i="2"/>
  <c r="G18" i="2" l="1"/>
  <c r="H18" i="2" s="1"/>
  <c r="H19" i="2" s="1"/>
  <c r="I27" i="2"/>
  <c r="H28" i="2"/>
  <c r="F19" i="2"/>
  <c r="I18" i="2" l="1"/>
  <c r="I19" i="2" s="1"/>
  <c r="D12" i="2"/>
  <c r="D21" i="2" s="1"/>
  <c r="F11" i="2"/>
  <c r="H11" i="2"/>
  <c r="H12" i="2" s="1"/>
  <c r="H21" i="2" s="1"/>
  <c r="H31" i="2" s="1"/>
  <c r="I28" i="2"/>
  <c r="K27" i="2"/>
  <c r="K28" i="2" s="1"/>
  <c r="I11" i="2" l="1"/>
  <c r="I12" i="2" s="1"/>
  <c r="I21" i="2" s="1"/>
  <c r="I31" i="2" s="1"/>
  <c r="F12" i="2"/>
  <c r="F21" i="2" s="1"/>
  <c r="F31" i="2" s="1"/>
  <c r="B54" i="6"/>
  <c r="B55" i="6" s="1"/>
  <c r="D81" i="5"/>
  <c r="D82" i="5" s="1"/>
  <c r="D84" i="5" s="1"/>
  <c r="I11" i="5" s="1"/>
  <c r="J11" i="5" s="1"/>
  <c r="K11" i="5" s="1"/>
  <c r="L11" i="5" s="1"/>
  <c r="N11" i="5" s="1"/>
  <c r="D31" i="2"/>
  <c r="S11" i="5" l="1"/>
  <c r="P11" i="5"/>
  <c r="Q11" i="5" s="1"/>
  <c r="I8" i="5"/>
  <c r="J8" i="5" s="1"/>
  <c r="K8" i="5" s="1"/>
  <c r="L8" i="5" s="1"/>
  <c r="N8" i="5" s="1"/>
  <c r="P8" i="5" s="1"/>
  <c r="Q8" i="5" s="1"/>
  <c r="I9" i="5"/>
  <c r="J9" i="5" s="1"/>
  <c r="K9" i="5" s="1"/>
  <c r="L9" i="5" s="1"/>
  <c r="N9" i="5" s="1"/>
  <c r="P9" i="5" s="1"/>
  <c r="Q9" i="5" s="1"/>
  <c r="I70" i="5"/>
  <c r="J70" i="5" s="1"/>
  <c r="K70" i="5" s="1"/>
  <c r="L70" i="5" s="1"/>
  <c r="N70" i="5" s="1"/>
  <c r="I72" i="5"/>
  <c r="J72" i="5" s="1"/>
  <c r="K72" i="5" s="1"/>
  <c r="L72" i="5" s="1"/>
  <c r="N72" i="5" s="1"/>
  <c r="I51" i="5"/>
  <c r="J51" i="5" s="1"/>
  <c r="K51" i="5" s="1"/>
  <c r="L51" i="5" s="1"/>
  <c r="N51" i="5" s="1"/>
  <c r="I54" i="5"/>
  <c r="J54" i="5" s="1"/>
  <c r="K54" i="5" s="1"/>
  <c r="L54" i="5" s="1"/>
  <c r="N54" i="5" s="1"/>
  <c r="I47" i="5"/>
  <c r="J47" i="5" s="1"/>
  <c r="K47" i="5" s="1"/>
  <c r="L47" i="5" s="1"/>
  <c r="N47" i="5" s="1"/>
  <c r="I45" i="5"/>
  <c r="J45" i="5" s="1"/>
  <c r="K45" i="5" s="1"/>
  <c r="L45" i="5" s="1"/>
  <c r="N45" i="5" s="1"/>
  <c r="I41" i="5"/>
  <c r="J41" i="5" s="1"/>
  <c r="K41" i="5" s="1"/>
  <c r="L41" i="5" s="1"/>
  <c r="N41" i="5" s="1"/>
  <c r="I43" i="5"/>
  <c r="J43" i="5" s="1"/>
  <c r="K43" i="5" s="1"/>
  <c r="L43" i="5" s="1"/>
  <c r="N43" i="5" s="1"/>
  <c r="I22" i="5"/>
  <c r="J22" i="5" s="1"/>
  <c r="K22" i="5" s="1"/>
  <c r="L22" i="5" s="1"/>
  <c r="N22" i="5" s="1"/>
  <c r="S22" i="5" s="1"/>
  <c r="I29" i="5"/>
  <c r="J29" i="5" s="1"/>
  <c r="K29" i="5" s="1"/>
  <c r="L29" i="5" s="1"/>
  <c r="N29" i="5" s="1"/>
  <c r="S29" i="5" s="1"/>
  <c r="I25" i="5"/>
  <c r="J25" i="5" s="1"/>
  <c r="K25" i="5" s="1"/>
  <c r="L25" i="5" s="1"/>
  <c r="N25" i="5" s="1"/>
  <c r="S25" i="5" s="1"/>
  <c r="I3" i="5"/>
  <c r="J3" i="5" s="1"/>
  <c r="K3" i="5" s="1"/>
  <c r="L3" i="5" s="1"/>
  <c r="N3" i="5" s="1"/>
  <c r="S3" i="5" s="1"/>
  <c r="I19" i="5"/>
  <c r="J19" i="5" s="1"/>
  <c r="K19" i="5" s="1"/>
  <c r="L19" i="5" s="1"/>
  <c r="N19" i="5" s="1"/>
  <c r="S19" i="5" s="1"/>
  <c r="I14" i="5"/>
  <c r="J14" i="5" s="1"/>
  <c r="K14" i="5" s="1"/>
  <c r="L14" i="5" s="1"/>
  <c r="N14" i="5" s="1"/>
  <c r="S14" i="5" s="1"/>
  <c r="I10" i="5"/>
  <c r="J10" i="5" s="1"/>
  <c r="K10" i="5" s="1"/>
  <c r="L10" i="5" s="1"/>
  <c r="N10" i="5" s="1"/>
  <c r="S10" i="5" s="1"/>
  <c r="I7" i="5"/>
  <c r="J7" i="5" s="1"/>
  <c r="K7" i="5" s="1"/>
  <c r="L7" i="5" s="1"/>
  <c r="N7" i="5" s="1"/>
  <c r="S7" i="5" s="1"/>
  <c r="I64" i="5"/>
  <c r="J64" i="5" s="1"/>
  <c r="K64" i="5" s="1"/>
  <c r="L64" i="5" s="1"/>
  <c r="N64" i="5" s="1"/>
  <c r="I71" i="5"/>
  <c r="J71" i="5" s="1"/>
  <c r="K71" i="5" s="1"/>
  <c r="L71" i="5" s="1"/>
  <c r="N71" i="5" s="1"/>
  <c r="I55" i="5"/>
  <c r="J55" i="5" s="1"/>
  <c r="K55" i="5" s="1"/>
  <c r="L55" i="5" s="1"/>
  <c r="N55" i="5" s="1"/>
  <c r="I49" i="5"/>
  <c r="J49" i="5" s="1"/>
  <c r="K49" i="5" s="1"/>
  <c r="L49" i="5" s="1"/>
  <c r="N49" i="5" s="1"/>
  <c r="I57" i="5"/>
  <c r="J57" i="5" s="1"/>
  <c r="K57" i="5" s="1"/>
  <c r="L57" i="5" s="1"/>
  <c r="N57" i="5" s="1"/>
  <c r="I48" i="5"/>
  <c r="J48" i="5" s="1"/>
  <c r="K48" i="5" s="1"/>
  <c r="L48" i="5" s="1"/>
  <c r="N48" i="5" s="1"/>
  <c r="I60" i="5"/>
  <c r="J60" i="5" s="1"/>
  <c r="K60" i="5" s="1"/>
  <c r="L60" i="5" s="1"/>
  <c r="N60" i="5" s="1"/>
  <c r="I39" i="5"/>
  <c r="J39" i="5" s="1"/>
  <c r="K39" i="5" s="1"/>
  <c r="L39" i="5" s="1"/>
  <c r="N39" i="5" s="1"/>
  <c r="I24" i="5"/>
  <c r="J24" i="5" s="1"/>
  <c r="K24" i="5" s="1"/>
  <c r="L24" i="5" s="1"/>
  <c r="N24" i="5" s="1"/>
  <c r="S24" i="5" s="1"/>
  <c r="I66" i="5"/>
  <c r="J66" i="5" s="1"/>
  <c r="K66" i="5" s="1"/>
  <c r="L66" i="5" s="1"/>
  <c r="N66" i="5" s="1"/>
  <c r="I28" i="5"/>
  <c r="J28" i="5" s="1"/>
  <c r="K28" i="5" s="1"/>
  <c r="L28" i="5" s="1"/>
  <c r="N28" i="5" s="1"/>
  <c r="S28" i="5" s="1"/>
  <c r="I15" i="5"/>
  <c r="J15" i="5" s="1"/>
  <c r="K15" i="5" s="1"/>
  <c r="L15" i="5" s="1"/>
  <c r="N15" i="5" s="1"/>
  <c r="S15" i="5" s="1"/>
  <c r="I12" i="5"/>
  <c r="J12" i="5" s="1"/>
  <c r="K12" i="5" s="1"/>
  <c r="L12" i="5" s="1"/>
  <c r="N12" i="5" s="1"/>
  <c r="S12" i="5" s="1"/>
  <c r="I6" i="5"/>
  <c r="J6" i="5" s="1"/>
  <c r="K6" i="5" s="1"/>
  <c r="L6" i="5" s="1"/>
  <c r="N6" i="5" s="1"/>
  <c r="S6" i="5" s="1"/>
  <c r="I2" i="5"/>
  <c r="I42" i="5"/>
  <c r="J42" i="5" s="1"/>
  <c r="K42" i="5" s="1"/>
  <c r="L42" i="5" s="1"/>
  <c r="N42" i="5" s="1"/>
  <c r="I26" i="5"/>
  <c r="J26" i="5" s="1"/>
  <c r="K26" i="5" s="1"/>
  <c r="L26" i="5" s="1"/>
  <c r="N26" i="5" s="1"/>
  <c r="S26" i="5" s="1"/>
  <c r="I30" i="5"/>
  <c r="J30" i="5" s="1"/>
  <c r="K30" i="5" s="1"/>
  <c r="L30" i="5" s="1"/>
  <c r="N30" i="5" s="1"/>
  <c r="S30" i="5" s="1"/>
  <c r="I13" i="5"/>
  <c r="J13" i="5" s="1"/>
  <c r="K13" i="5" s="1"/>
  <c r="L13" i="5" s="1"/>
  <c r="N13" i="5" s="1"/>
  <c r="S13" i="5" s="1"/>
  <c r="I5" i="5"/>
  <c r="J5" i="5" s="1"/>
  <c r="K5" i="5" s="1"/>
  <c r="L5" i="5" s="1"/>
  <c r="N5" i="5" s="1"/>
  <c r="S5" i="5" s="1"/>
  <c r="I4" i="5"/>
  <c r="J4" i="5" s="1"/>
  <c r="K4" i="5" s="1"/>
  <c r="L4" i="5" s="1"/>
  <c r="N4" i="5" s="1"/>
  <c r="S4" i="5" s="1"/>
  <c r="I68" i="5"/>
  <c r="J68" i="5" s="1"/>
  <c r="K68" i="5" s="1"/>
  <c r="L68" i="5" s="1"/>
  <c r="N68" i="5" s="1"/>
  <c r="I69" i="5"/>
  <c r="J69" i="5" s="1"/>
  <c r="K69" i="5" s="1"/>
  <c r="L69" i="5" s="1"/>
  <c r="N69" i="5" s="1"/>
  <c r="I65" i="5"/>
  <c r="J65" i="5" s="1"/>
  <c r="K65" i="5" s="1"/>
  <c r="L65" i="5" s="1"/>
  <c r="N65" i="5" s="1"/>
  <c r="I52" i="5"/>
  <c r="J52" i="5" s="1"/>
  <c r="K52" i="5" s="1"/>
  <c r="L52" i="5" s="1"/>
  <c r="N52" i="5" s="1"/>
  <c r="I61" i="5"/>
  <c r="J61" i="5" s="1"/>
  <c r="K61" i="5" s="1"/>
  <c r="L61" i="5" s="1"/>
  <c r="N61" i="5" s="1"/>
  <c r="I62" i="5"/>
  <c r="J62" i="5" s="1"/>
  <c r="K62" i="5" s="1"/>
  <c r="L62" i="5" s="1"/>
  <c r="N62" i="5" s="1"/>
  <c r="I58" i="5"/>
  <c r="J58" i="5" s="1"/>
  <c r="K58" i="5" s="1"/>
  <c r="L58" i="5" s="1"/>
  <c r="N58" i="5" s="1"/>
  <c r="I37" i="5"/>
  <c r="J37" i="5" s="1"/>
  <c r="K37" i="5" s="1"/>
  <c r="L37" i="5" s="1"/>
  <c r="N37" i="5" s="1"/>
  <c r="I21" i="5"/>
  <c r="J21" i="5" s="1"/>
  <c r="K21" i="5" s="1"/>
  <c r="L21" i="5" s="1"/>
  <c r="N21" i="5" s="1"/>
  <c r="S21" i="5" s="1"/>
  <c r="I18" i="5"/>
  <c r="J18" i="5" s="1"/>
  <c r="K18" i="5" s="1"/>
  <c r="L18" i="5" s="1"/>
  <c r="N18" i="5" s="1"/>
  <c r="S18" i="5" s="1"/>
  <c r="I67" i="5"/>
  <c r="J67" i="5" s="1"/>
  <c r="K67" i="5" s="1"/>
  <c r="L67" i="5" s="1"/>
  <c r="N67" i="5" s="1"/>
  <c r="I63" i="5"/>
  <c r="J63" i="5" s="1"/>
  <c r="K63" i="5" s="1"/>
  <c r="L63" i="5" s="1"/>
  <c r="N63" i="5" s="1"/>
  <c r="I53" i="5"/>
  <c r="J53" i="5" s="1"/>
  <c r="K53" i="5" s="1"/>
  <c r="L53" i="5" s="1"/>
  <c r="N53" i="5" s="1"/>
  <c r="I50" i="5"/>
  <c r="J50" i="5" s="1"/>
  <c r="K50" i="5" s="1"/>
  <c r="L50" i="5" s="1"/>
  <c r="N50" i="5" s="1"/>
  <c r="I46" i="5"/>
  <c r="J46" i="5" s="1"/>
  <c r="K46" i="5" s="1"/>
  <c r="L46" i="5" s="1"/>
  <c r="N46" i="5" s="1"/>
  <c r="I56" i="5"/>
  <c r="J56" i="5" s="1"/>
  <c r="K56" i="5" s="1"/>
  <c r="L56" i="5" s="1"/>
  <c r="N56" i="5" s="1"/>
  <c r="I59" i="5"/>
  <c r="J59" i="5" s="1"/>
  <c r="K59" i="5" s="1"/>
  <c r="L59" i="5" s="1"/>
  <c r="N59" i="5" s="1"/>
  <c r="I40" i="5"/>
  <c r="J40" i="5" s="1"/>
  <c r="K40" i="5" s="1"/>
  <c r="L40" i="5" s="1"/>
  <c r="N40" i="5" s="1"/>
  <c r="I38" i="5"/>
  <c r="J38" i="5" s="1"/>
  <c r="K38" i="5" s="1"/>
  <c r="L38" i="5" s="1"/>
  <c r="N38" i="5" s="1"/>
  <c r="I27" i="5"/>
  <c r="J27" i="5" s="1"/>
  <c r="K27" i="5" s="1"/>
  <c r="L27" i="5" s="1"/>
  <c r="N27" i="5" s="1"/>
  <c r="S27" i="5" s="1"/>
  <c r="I23" i="5"/>
  <c r="J23" i="5" s="1"/>
  <c r="K23" i="5" s="1"/>
  <c r="L23" i="5" s="1"/>
  <c r="N23" i="5" s="1"/>
  <c r="S23" i="5" s="1"/>
  <c r="I20" i="5"/>
  <c r="J20" i="5" s="1"/>
  <c r="K20" i="5" s="1"/>
  <c r="L20" i="5" s="1"/>
  <c r="N20" i="5" s="1"/>
  <c r="S20" i="5" s="1"/>
  <c r="I17" i="5"/>
  <c r="P5" i="5" l="1"/>
  <c r="Q5" i="5" s="1"/>
  <c r="P15" i="5"/>
  <c r="Q15" i="5" s="1"/>
  <c r="P7" i="5"/>
  <c r="Q7" i="5" s="1"/>
  <c r="P3" i="5"/>
  <c r="Q3" i="5" s="1"/>
  <c r="P20" i="5"/>
  <c r="Q20" i="5" s="1"/>
  <c r="P18" i="5"/>
  <c r="Q18" i="5" s="1"/>
  <c r="P13" i="5"/>
  <c r="Q13" i="5" s="1"/>
  <c r="I16" i="5"/>
  <c r="J2" i="5"/>
  <c r="K2" i="5" s="1"/>
  <c r="L2" i="5" s="1"/>
  <c r="N2" i="5" s="1"/>
  <c r="S2" i="5" s="1"/>
  <c r="P28" i="5"/>
  <c r="Q28" i="5" s="1"/>
  <c r="P10" i="5"/>
  <c r="Q10" i="5" s="1"/>
  <c r="P25" i="5"/>
  <c r="Q25" i="5" s="1"/>
  <c r="P23" i="5"/>
  <c r="Q23" i="5" s="1"/>
  <c r="P21" i="5"/>
  <c r="Q21" i="5" s="1"/>
  <c r="P30" i="5"/>
  <c r="Q30" i="5" s="1"/>
  <c r="P6" i="5"/>
  <c r="Q6" i="5" s="1"/>
  <c r="P14" i="5"/>
  <c r="Q14" i="5" s="1"/>
  <c r="P29" i="5"/>
  <c r="Q29" i="5" s="1"/>
  <c r="J17" i="5"/>
  <c r="I32" i="5"/>
  <c r="P27" i="5"/>
  <c r="Q27" i="5" s="1"/>
  <c r="P4" i="5"/>
  <c r="Q4" i="5" s="1"/>
  <c r="P26" i="5"/>
  <c r="Q26" i="5" s="1"/>
  <c r="P12" i="5"/>
  <c r="Q12" i="5" s="1"/>
  <c r="P24" i="5"/>
  <c r="Q24" i="5" s="1"/>
  <c r="P19" i="5"/>
  <c r="Q19" i="5" s="1"/>
  <c r="P22" i="5"/>
  <c r="Q22" i="5" s="1"/>
  <c r="K17" i="5" l="1"/>
  <c r="J32" i="5"/>
  <c r="P2" i="5"/>
  <c r="Q2" i="5" s="1"/>
  <c r="I33" i="5"/>
  <c r="L17" i="5" l="1"/>
  <c r="N17" i="5" s="1"/>
  <c r="K32" i="5"/>
  <c r="Q16" i="5"/>
  <c r="P16" i="5"/>
  <c r="S16" i="5" l="1"/>
  <c r="L16" i="5"/>
  <c r="S17" i="5"/>
  <c r="P17" i="5"/>
  <c r="Q17" i="5" l="1"/>
  <c r="Q32" i="5" s="1"/>
  <c r="P32" i="5"/>
  <c r="P33" i="5" s="1"/>
  <c r="Q33" i="5" l="1"/>
  <c r="S33" i="5" s="1"/>
  <c r="S32" i="5"/>
  <c r="J18" i="2"/>
  <c r="K18" i="2" s="1"/>
  <c r="K19" i="2" s="1"/>
  <c r="K11" i="2"/>
  <c r="K12" i="2" s="1"/>
  <c r="K21" i="2" l="1"/>
  <c r="K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Melissa Cheesman</author>
  </authors>
  <commentList>
    <comment ref="D5" authorId="0" shapeId="0" xr:uid="{37EA341F-0571-4C2D-93DC-5224EFAE1844}">
      <text>
        <r>
          <rPr>
            <b/>
            <sz val="9"/>
            <color indexed="81"/>
            <rFont val="Tahoma"/>
            <family val="2"/>
          </rPr>
          <t>Weinstein, Mike:</t>
        </r>
        <r>
          <rPr>
            <sz val="9"/>
            <color indexed="81"/>
            <rFont val="Tahoma"/>
            <family val="2"/>
          </rPr>
          <t xml:space="preserve">
This represents the previous % difference between the test period revenue and the revenue as previously calculated in the price out.</t>
        </r>
      </text>
    </comment>
    <comment ref="H10" authorId="1" shapeId="0" xr:uid="{24CAF5CF-B90E-4DDD-AE17-46BF454BEB14}">
      <text>
        <r>
          <rPr>
            <b/>
            <sz val="9"/>
            <color indexed="81"/>
            <rFont val="Tahoma"/>
            <family val="2"/>
          </rPr>
          <t>Melissa Cheesman:</t>
        </r>
        <r>
          <rPr>
            <sz val="9"/>
            <color indexed="81"/>
            <rFont val="Tahoma"/>
            <family val="2"/>
          </rPr>
          <t xml:space="preserve">
0.003 is staff adjustment to calculate the LG garbage additioanl annual revenue.</t>
        </r>
      </text>
    </comment>
    <comment ref="C312" authorId="0" shapeId="0" xr:uid="{450B8149-BEB6-4D5D-A77A-4110A3296292}">
      <text>
        <r>
          <rPr>
            <b/>
            <sz val="9"/>
            <color indexed="81"/>
            <rFont val="Tahoma"/>
            <family val="2"/>
          </rPr>
          <t>Weinstein, Mike:</t>
        </r>
        <r>
          <rPr>
            <sz val="9"/>
            <color indexed="81"/>
            <rFont val="Tahoma"/>
            <family val="2"/>
          </rPr>
          <t xml:space="preserve">
This represents the previous % difference between the test period revenue and the revenue as previously calculated in the price out.</t>
        </r>
      </text>
    </comment>
    <comment ref="G362" authorId="0" shapeId="0" xr:uid="{C14C5F98-17F8-47EA-A760-ABD979942DB8}">
      <text>
        <r>
          <rPr>
            <b/>
            <sz val="9"/>
            <color indexed="81"/>
            <rFont val="Tahoma"/>
            <family val="2"/>
          </rPr>
          <t>Weinstein, Mike:</t>
        </r>
        <r>
          <rPr>
            <sz val="9"/>
            <color indexed="81"/>
            <rFont val="Tahoma"/>
            <family val="2"/>
          </rPr>
          <t xml:space="preserve">
20 represents the average number of days per month that the daily rental rate was charged on temporary roll off rentals. This was used to approximate the revenue billed for this service during the year.
</t>
        </r>
      </text>
    </comment>
  </commentList>
</comments>
</file>

<file path=xl/sharedStrings.xml><?xml version="1.0" encoding="utf-8"?>
<sst xmlns="http://schemas.openxmlformats.org/spreadsheetml/2006/main" count="564" uniqueCount="415">
  <si>
    <t>Waste Management of North Sound &amp; Marysville</t>
  </si>
  <si>
    <t>TG-151382</t>
  </si>
  <si>
    <t>Total</t>
  </si>
  <si>
    <t>Pro Forma</t>
  </si>
  <si>
    <t>Proposed</t>
  </si>
  <si>
    <t>Revenue</t>
  </si>
  <si>
    <t>Rate</t>
  </si>
  <si>
    <t>Tons</t>
  </si>
  <si>
    <t>Extras</t>
  </si>
  <si>
    <t>Regulated Revenue and Expense Adjustment</t>
  </si>
  <si>
    <t>January 1, 2014 - December 31, 2014</t>
  </si>
  <si>
    <t>Regulated</t>
  </si>
  <si>
    <t>Expense</t>
  </si>
  <si>
    <t>Gross up</t>
  </si>
  <si>
    <t>Cost</t>
  </si>
  <si>
    <t>Adj.</t>
  </si>
  <si>
    <t>Factor</t>
  </si>
  <si>
    <t>Commercial</t>
  </si>
  <si>
    <t>King County</t>
  </si>
  <si>
    <t>North Sound</t>
  </si>
  <si>
    <t>Residential</t>
  </si>
  <si>
    <t>Roll Off</t>
  </si>
  <si>
    <t>Per Ton</t>
  </si>
  <si>
    <t>Per Pound</t>
  </si>
  <si>
    <t>Gross Up Factors</t>
  </si>
  <si>
    <t xml:space="preserve">Current Rate </t>
  </si>
  <si>
    <t>B&amp;O tax</t>
  </si>
  <si>
    <t>New Rate per ton</t>
  </si>
  <si>
    <t>WUTC fees</t>
  </si>
  <si>
    <t>Increase</t>
  </si>
  <si>
    <t>Bad Debts</t>
  </si>
  <si>
    <t>Transfer Station</t>
  </si>
  <si>
    <t>Increase per ton</t>
  </si>
  <si>
    <t>Grossed Up Increase per ton</t>
  </si>
  <si>
    <t>Tons Collected</t>
  </si>
  <si>
    <t>Disposal Fee Revenue Increase</t>
  </si>
  <si>
    <t>Tariff Page</t>
  </si>
  <si>
    <t>Monthly Customers</t>
  </si>
  <si>
    <t>Monthly Frequency</t>
  </si>
  <si>
    <t>Annual PU's</t>
  </si>
  <si>
    <t>Meeks Weights</t>
  </si>
  <si>
    <t>Calculated Annual Pounds</t>
  </si>
  <si>
    <t>Adjusted Annual Pounds</t>
  </si>
  <si>
    <t>Gross Up</t>
  </si>
  <si>
    <t>Tariff Rate Increase</t>
  </si>
  <si>
    <t>Company Current Tariff</t>
  </si>
  <si>
    <t>Company Current Revenue</t>
  </si>
  <si>
    <t>Revised Revenue Increase</t>
  </si>
  <si>
    <t>Totals</t>
  </si>
  <si>
    <t>No Current Customers</t>
  </si>
  <si>
    <t>Adjustment Factor Calculation</t>
  </si>
  <si>
    <t>Not on Meeks</t>
  </si>
  <si>
    <t>Total Tonnage</t>
  </si>
  <si>
    <t>na - multiple pickups not on tariff</t>
  </si>
  <si>
    <t>Total Pounds</t>
  </si>
  <si>
    <t>Total Pick Ups</t>
  </si>
  <si>
    <t>Adjustment factor</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</si>
  <si>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</si>
  <si>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</si>
  <si>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</si>
  <si>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</si>
  <si>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</si>
  <si>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</si>
  <si>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</si>
  <si>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</si>
  <si>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</si>
  <si>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</si>
  <si>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</si>
  <si>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</si>
  <si>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</si>
  <si>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</si>
  <si>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</si>
  <si>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</si>
  <si>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Res'l</t>
  </si>
  <si>
    <t>Pounds per Pickup</t>
  </si>
  <si>
    <t>20 gal minican</t>
  </si>
  <si>
    <t>1 can</t>
  </si>
  <si>
    <t>2 cans</t>
  </si>
  <si>
    <t>3 cans</t>
  </si>
  <si>
    <t>Lbs. per ton</t>
  </si>
  <si>
    <t>4 cans</t>
  </si>
  <si>
    <t>Yds. Per ton</t>
  </si>
  <si>
    <t>n/a</t>
  </si>
  <si>
    <t>5 cans</t>
  </si>
  <si>
    <t>6 cans</t>
  </si>
  <si>
    <t>35 gallon Can</t>
  </si>
  <si>
    <t>*</t>
  </si>
  <si>
    <t>Supercan 60</t>
  </si>
  <si>
    <t>Supercan 90</t>
  </si>
  <si>
    <t>Once a month</t>
  </si>
  <si>
    <t>Com'l</t>
  </si>
  <si>
    <t>Cans</t>
  </si>
  <si>
    <t>1 yd container</t>
  </si>
  <si>
    <t>1.5 yd container</t>
  </si>
  <si>
    <t>2 yd container</t>
  </si>
  <si>
    <t>3 yd container</t>
  </si>
  <si>
    <t>4 yd container</t>
  </si>
  <si>
    <t>6 yd container</t>
  </si>
  <si>
    <t>8 yd container</t>
  </si>
  <si>
    <t>1 yd packer/compactor</t>
  </si>
  <si>
    <t>1.5 yd packer/compactor</t>
  </si>
  <si>
    <t>2 yd packer/compactor</t>
  </si>
  <si>
    <t>3 yd packer/compactor</t>
  </si>
  <si>
    <t>4 yd packer/compactor</t>
  </si>
  <si>
    <t>5 yd packer/compactor</t>
  </si>
  <si>
    <t>6 yd packer/compactor</t>
  </si>
  <si>
    <t>8 yd packer/compactor</t>
  </si>
  <si>
    <t>Yards</t>
  </si>
  <si>
    <t>* not on meeks - calculated by staff</t>
  </si>
  <si>
    <t>Mini-Can Weekly</t>
  </si>
  <si>
    <t>1 Can Monthly</t>
  </si>
  <si>
    <t>1 Can Weekly</t>
  </si>
  <si>
    <t>2 Can Weekly</t>
  </si>
  <si>
    <t>3 Can Weekly</t>
  </si>
  <si>
    <t>4 Can Weekly</t>
  </si>
  <si>
    <t>Line of Service</t>
  </si>
  <si>
    <t>35 Gal. Cart Weekly</t>
  </si>
  <si>
    <t>5 Cans Weekly</t>
  </si>
  <si>
    <t>6 Cans Weekly</t>
  </si>
  <si>
    <t>20 Gal. Cart Weekly</t>
  </si>
  <si>
    <t>35 Gal. Cart Monthly</t>
  </si>
  <si>
    <t>64 Gal. Cart Weekly</t>
  </si>
  <si>
    <t>96 Gal. Cart Weekly</t>
  </si>
  <si>
    <t>Extra Can/Bag</t>
  </si>
  <si>
    <t>32 Gal Can</t>
  </si>
  <si>
    <t>64 Gal Cart</t>
  </si>
  <si>
    <t>96 Gal Cart</t>
  </si>
  <si>
    <t>1 Yd</t>
  </si>
  <si>
    <t>1.5 Yd</t>
  </si>
  <si>
    <t>2 Yd</t>
  </si>
  <si>
    <t>3 Yd</t>
  </si>
  <si>
    <t>4 Yd</t>
  </si>
  <si>
    <t>6 Yd</t>
  </si>
  <si>
    <t>8 Yd</t>
  </si>
  <si>
    <t>2 Yd Compact</t>
  </si>
  <si>
    <t>3 Yd Compact</t>
  </si>
  <si>
    <t>6 Yd Compact</t>
  </si>
  <si>
    <t>4 Yd Compact</t>
  </si>
  <si>
    <t>35 Gal Cart</t>
  </si>
  <si>
    <t>8 Yd Compact</t>
  </si>
  <si>
    <t>From rate case TG-151382</t>
  </si>
  <si>
    <t>Mini-Can</t>
  </si>
  <si>
    <t>32 Gal Can Special PU</t>
  </si>
  <si>
    <t>35 Cal Cart Special PU</t>
  </si>
  <si>
    <t>64 Gal Cart Special PU</t>
  </si>
  <si>
    <t>96 Gal Cart Special PU</t>
  </si>
  <si>
    <t>1 Yd Temp PU</t>
  </si>
  <si>
    <t>1.5 Yd Temp PU</t>
  </si>
  <si>
    <t>2 Yd Temp PU</t>
  </si>
  <si>
    <t>3 Yd Temp PU</t>
  </si>
  <si>
    <t>4 Yd Temp PU</t>
  </si>
  <si>
    <t>6 Yd Temp PU</t>
  </si>
  <si>
    <t>8 Yd Temp PU</t>
  </si>
  <si>
    <t>64 Gal Bear Cart</t>
  </si>
  <si>
    <t>96 Gal Bear Cart</t>
  </si>
  <si>
    <t>Loose/Bulky Materials 1-4 Yd</t>
  </si>
  <si>
    <t>Loose/Bulky Materials Addtl. Yard</t>
  </si>
  <si>
    <t>1 Yd Special PU</t>
  </si>
  <si>
    <t>2 Yd Special PU</t>
  </si>
  <si>
    <t>3 Yd Special PU</t>
  </si>
  <si>
    <t>4 Yd Special PU</t>
  </si>
  <si>
    <t>6 Yd Special PU</t>
  </si>
  <si>
    <t>1.5 Yd Special PU</t>
  </si>
  <si>
    <t>8 Yd Special PU</t>
  </si>
  <si>
    <t>Mini-Can Minimum Charge</t>
  </si>
  <si>
    <t>32 Gal Can Minimum Charge</t>
  </si>
  <si>
    <t>2 Yd Compact Special PU</t>
  </si>
  <si>
    <t>3 Yd Compact Special PU</t>
  </si>
  <si>
    <t>6 Yd Compact Special PU</t>
  </si>
  <si>
    <t>4 Yd Compact Special PU</t>
  </si>
  <si>
    <t>8 Yd Compact Special PU</t>
  </si>
  <si>
    <t>31 and 44</t>
  </si>
  <si>
    <t>31 and 41</t>
  </si>
  <si>
    <t>Multi-Family / Commercial</t>
  </si>
  <si>
    <t>30 and 42</t>
  </si>
  <si>
    <t>Company Calculated Revenue</t>
  </si>
  <si>
    <t>Company Proposed Rate</t>
  </si>
  <si>
    <t xml:space="preserve">                                                                                                                                                                                                                                                                                                                                                                                                                                                                                                                                                                                                                                                                                                                                                                                                                                                                                                                                                                                                                                                                                                                                                                                                                                                                                                                                                                                                                                                                                                                                                                                                                                                                                                                                                                                                                                                                                                                                                                                                                                                                                                                                                                                                                                                                                                                                                                                                                                                                                                                                                                                                                                                                                                                                                                                                                                                                                                                                                                                                                                                                                                                                                                                                                                                                                                                                                                                                                                                                                                                                                                                                                                                                                                                                                                                                                                                                                                                                                                                                                                                                                                                                                                                                                                                                                                                                                                                                                                                                                                                                                                                                                                                                                                                                                                                                                                                                                                                                                                                                                                                                                                                                                                                                                                                                                                                                                                                                                                                                                                                                                                                                                                                                                                                                                                                                                                                                                                                                                                                                                                                                                                                                                                                                                                                                                                                                                                                                                                                                                                                                                                                                                                                                                                                                                                                                                                                                                                                                                                                                                                                                                                                                                                                                                                                                                                                                                                                                                                                                                                                                                                                                                                                                                                                                                                                                                                                                                                                                                                                                                                                                                                                                                                                                                                                                                                                                                                                                                                                                                                                                                                                                                                                                                                                                                                                                                                                                                                                                                                                                                                                                                                                                                                                                                                                                                                                                                                                                                                                                                                                                                                                                                                                                                                                                                                                                                                                                                                                                                                                                                                                                                                                                                                                                                                                                                                                                                                                                                                                                                                                                                                                                                                                                                                                                                                                                                                                                                                                                                                                                                                                                                                                                                                                                                                                                                                                                                                                                                                                                                                                                                                                                                                                                                                                                                                                                                                                                                                                                                                                                                                                                                                                                                                                                                                                                                                                                                                                                                                                                                                                                                                                                                                                                                                                                                                                                                                                                                                                                                                                                                                                                                                                                                                                                                                                                                                                                                                                                                                                                                                                                                                                                                                                                                                                                                                                                                                                                                                                                                                                                                                                                                                                                                                                                                                                                                                                                                                                                                                                                                                                                                                                                                                                                                                                                                                                                                                                                                                                                                                                                                                                                                                                                                                                                                                                                                                                                                                                                                                                                                                                                                                                                                                                                                                                                                                                                                                                                                                                                                                                                                                                                                                                                                                                                                                                                                                                                                                                                                                                                                                                                                                                                                                                                                                                                                                                                                                                                                                                                                                                                                                                                                                                                                                                                                                                                                                                                                                                                                                                                                                                                                                                                                                                                                                                                                                                                                                                                                                                                                                                                                                                                                                                                                                                                                                                                                                                                                                                                                                                                                                                                                                                                                                                                                                                                                                                                                                                                                                                                                                                                                                                                                                                                                                                                                                                                                                                                                                                                                                                                                                                                                                                                                                                                                                                                                                                                                                                                                                                                                                                                                                                                                                                                                                                                                                                                                                                                                                                                                                                                                                                                                                                                                                                                                                                                                                                                                                                                                                                                                                                                                                                                                                                                                                                                                                                                                                                                                                                                                                                                                                                                                                                                                                                                                                                                                                                                                                                                                                                                                                                                                                                                                                                                                                                                                                                                                                                                                                                                                                                                                                                                                                                                                                                                                                                                                                                                                                                                                                                                                                                                                                                                                                                                                                                                                                                                                                                                                                                                                                                                                                                                                                                                                                                                                                                                                                                                                                                                                                                                                                                                                                                                                                                                                                                                                                                                                                                                                                                                                                                                                                                                                                                                                                                                                                                                                                                                                                                                                                                                                                                                                                                                                                                                                                                                                                                                                                                                                                                                                                                                                                                                                                                                                                                                                                                                                                                                                                                                                                                                                                                                                                                                                                                                                                                                                                                                                                                                                                                                               </t>
  </si>
  <si>
    <t>Commercial Priceout</t>
  </si>
  <si>
    <t xml:space="preserve">Test Year  </t>
  </si>
  <si>
    <t>Test Year</t>
  </si>
  <si>
    <t>Calculated Revenue</t>
  </si>
  <si>
    <t>Actual Revenue</t>
  </si>
  <si>
    <t>Difference</t>
  </si>
  <si>
    <t>Change</t>
  </si>
  <si>
    <t>Garbage</t>
  </si>
  <si>
    <t>Marysville</t>
  </si>
  <si>
    <t>%</t>
  </si>
  <si>
    <t>Average</t>
  </si>
  <si>
    <t xml:space="preserve"># of </t>
  </si>
  <si>
    <t>Current</t>
  </si>
  <si>
    <t>Annual</t>
  </si>
  <si>
    <t>Price</t>
  </si>
  <si>
    <t>INC.</t>
  </si>
  <si>
    <t>lbs./</t>
  </si>
  <si>
    <t>Disposal</t>
  </si>
  <si>
    <t>Row Labels</t>
  </si>
  <si>
    <t>Containers</t>
  </si>
  <si>
    <t>Freq.</t>
  </si>
  <si>
    <t>Diff.</t>
  </si>
  <si>
    <t>(DEC.)</t>
  </si>
  <si>
    <t>Can/YD</t>
  </si>
  <si>
    <t>fee</t>
  </si>
  <si>
    <t>Service</t>
  </si>
  <si>
    <t>Total Snohomish County</t>
  </si>
  <si>
    <t>20N 1-20 GAL CAN</t>
  </si>
  <si>
    <t>1AM 1-32 GAL CAN MSW</t>
  </si>
  <si>
    <t>2AM 2-32 GAL CANS MSW</t>
  </si>
  <si>
    <t>3AM 3-32 GAL CANS MSW</t>
  </si>
  <si>
    <t>4AM 4-32 GAL CANS MSW</t>
  </si>
  <si>
    <t>5AM 5-32 GAL CANS MSW</t>
  </si>
  <si>
    <t>6AM 6-32 GAL CANS MSW</t>
  </si>
  <si>
    <t>7AM 7-32 GAL CANS MSW</t>
  </si>
  <si>
    <t>AF0 16-32 GAL CANS MSW</t>
  </si>
  <si>
    <t>BE0 25-32 GAL CANS MSW</t>
  </si>
  <si>
    <t>CA0 31-32 GAL CANS MSW</t>
  </si>
  <si>
    <t>CF0 36-32 GAL CANS MSW</t>
  </si>
  <si>
    <t>DE0 45-32 GAL CANS MSW</t>
  </si>
  <si>
    <t>EA0 51-32 GAL CANS MSW</t>
  </si>
  <si>
    <t>EZ0 50-32 GAL CANS MSW</t>
  </si>
  <si>
    <t>CM1 35 GAL CART MSW 1X WK</t>
  </si>
  <si>
    <t>CT2 2-35 GAL CARTS MSW</t>
  </si>
  <si>
    <t>CT3 3-35 GAL CARTS MSW</t>
  </si>
  <si>
    <t>CT4 4-35 GAL CARTS MSW</t>
  </si>
  <si>
    <t>1DM 1-64 GAL CART MSW</t>
  </si>
  <si>
    <t>2DM 2-64 GAL CARTS MSW</t>
  </si>
  <si>
    <t>3DM 3-64 GAL CARTS MSW</t>
  </si>
  <si>
    <t>4DM 4-64 GAL CARTS MSW</t>
  </si>
  <si>
    <t>5DM 5-64 GAL CARTS MSW</t>
  </si>
  <si>
    <t>8DM 8-64 GAL CARTS MSW</t>
  </si>
  <si>
    <t>EME 96 GAL CART MSW EOW</t>
  </si>
  <si>
    <t>1EM 1-96 GAL CART MSW</t>
  </si>
  <si>
    <t>2EM 2-96 GAL CARTS MSW</t>
  </si>
  <si>
    <t>3EM 3-96 GAL CARTS MSW</t>
  </si>
  <si>
    <t>4EM 4-96 GAL CARTS MSW</t>
  </si>
  <si>
    <t>8EM 8-96 GAL CARTS MSW</t>
  </si>
  <si>
    <t>1FE 1 YD MSW EOW</t>
  </si>
  <si>
    <t>111 1-1 YD 1X PER WEEK</t>
  </si>
  <si>
    <t>211 2-1 YD 1X PER WEEK</t>
  </si>
  <si>
    <t>311 3-1 YD 1X PER WEEK</t>
  </si>
  <si>
    <t>5FE 1.5 YD MSW EOW</t>
  </si>
  <si>
    <t>151 1-1.5 YD 1X PER WEEK</t>
  </si>
  <si>
    <t>251 2-1.5 YD 1X PER WEEK</t>
  </si>
  <si>
    <t>152 1-1.5 YD 2X PER WEEK</t>
  </si>
  <si>
    <t>252 2-1.5 YD 2X PER WEEK</t>
  </si>
  <si>
    <t>352 3-1.5 YD 2X PER WEEK</t>
  </si>
  <si>
    <t>2FE 2 YD MSW EOW</t>
  </si>
  <si>
    <t>121 1-2 YD 1X PER WEEK</t>
  </si>
  <si>
    <t>221 2-2 YD 1X PER WEEK</t>
  </si>
  <si>
    <t>321 3-2 YD 1X PER WEEK</t>
  </si>
  <si>
    <t>421 4-2 YD 1X PER WEEK</t>
  </si>
  <si>
    <t>521 5-2 YD 1X PER WEEK</t>
  </si>
  <si>
    <t>821 8-2 YD 1X PER WEEK</t>
  </si>
  <si>
    <t>122 1-2 YD 2X PER WEEK</t>
  </si>
  <si>
    <t>125 1-2 YD 5X PER WEEK</t>
  </si>
  <si>
    <t>3FE 3 YD MSW EOW</t>
  </si>
  <si>
    <t>131 1-3 YD 1X PER WEEK</t>
  </si>
  <si>
    <t>231 2-3 YD 1X PER WEEK</t>
  </si>
  <si>
    <t>431 4-3 YD 1X PER WEEK</t>
  </si>
  <si>
    <t>931 9-3 YD 1X PER WEEK</t>
  </si>
  <si>
    <t>132 1-3 YD 2X PER WEEK</t>
  </si>
  <si>
    <t>232 2-3 YD 2X PER WEEK</t>
  </si>
  <si>
    <t>432 4-3 YD 2X PER WEEK</t>
  </si>
  <si>
    <t>632 6-3 YD 2X PER WEEK</t>
  </si>
  <si>
    <t>133 1-3 YD 3X PER WEEK</t>
  </si>
  <si>
    <t>4FE 4 YD MSW EOW</t>
  </si>
  <si>
    <t>141 1-4 YD 1X PER WEEK</t>
  </si>
  <si>
    <t>241 2-4 YD 1X PER WEEK</t>
  </si>
  <si>
    <t>341 3-4 YD 1X PER WEEK</t>
  </si>
  <si>
    <t>441 4-4 YD 1X PER WEEK</t>
  </si>
  <si>
    <t>541 5-4 YD 1X PER WEEK</t>
  </si>
  <si>
    <t>142 1-4 YD 2X PER WEEK</t>
  </si>
  <si>
    <t>242 2-4 YD 2X PER WEEK</t>
  </si>
  <si>
    <t>342 3-4 YD 2X PER WEEK</t>
  </si>
  <si>
    <t>442 4-4 YD 2X PER WEEK</t>
  </si>
  <si>
    <t>542 5-4 YD 2X PER WEEK</t>
  </si>
  <si>
    <t>742 7-4 YD 2X PER WEEK</t>
  </si>
  <si>
    <t>143 1-4 YD 3X PER WEEK</t>
  </si>
  <si>
    <t>243 2-4 YD 3X PER WEEK</t>
  </si>
  <si>
    <t>144 1-4 YD 4X PER WEEK</t>
  </si>
  <si>
    <t>145 1-4 YD 5X PER WEEK</t>
  </si>
  <si>
    <t>6FE 6 YD MSW EOW</t>
  </si>
  <si>
    <t>161 1-6 YD 1X PER WEEK</t>
  </si>
  <si>
    <t>261 2-6 YD 1X PER WEEK</t>
  </si>
  <si>
    <t>361 3-6 YD 1X PER WEEK</t>
  </si>
  <si>
    <t>461 4-6 YD 1X PER WEEK</t>
  </si>
  <si>
    <t>561 5-6 YD 1X PER WEEK</t>
  </si>
  <si>
    <t>661 6-6 YD 1X PER WEEK</t>
  </si>
  <si>
    <t>162 1-6 YD 2X PER WEEK</t>
  </si>
  <si>
    <t>262 2-6 YD 2X PER WEEK</t>
  </si>
  <si>
    <t>362 3-6 YD 2X PER WEEK</t>
  </si>
  <si>
    <t>462 4-6 YD 2X PER WEEK</t>
  </si>
  <si>
    <t>163 1-6 YD 3X PER WEEK</t>
  </si>
  <si>
    <t>263 2-6 YD 3X PER WEEK</t>
  </si>
  <si>
    <t>164 1-6 YD 4X PER WEEK</t>
  </si>
  <si>
    <t>264 2-6 YD 4X PER WEEK</t>
  </si>
  <si>
    <t>165 1-6 YD 5X PER WEEK</t>
  </si>
  <si>
    <t>8FE 8 YD MSW EOW</t>
  </si>
  <si>
    <t>181 1-8 YD 1X PER WEEK</t>
  </si>
  <si>
    <t>281 2-8 YD 1X PER WEEK</t>
  </si>
  <si>
    <t>381 3-8 YD 1X PER WEEK</t>
  </si>
  <si>
    <t>481 4-8 YD 1X PER WEEK</t>
  </si>
  <si>
    <t>581 5-8 YD 1X PER WEEK</t>
  </si>
  <si>
    <t>881 8-8 YD 1X PER WEEK</t>
  </si>
  <si>
    <t>182 1-8 YD 2X PER WEEK</t>
  </si>
  <si>
    <t>282 2-8 YD 2X PER WEEK</t>
  </si>
  <si>
    <t>382 3-8 YD 2X PER WEEK</t>
  </si>
  <si>
    <t>482 4-8 YD 2X PER WEEK</t>
  </si>
  <si>
    <t>582 5-8 YD 2X PER WEEK</t>
  </si>
  <si>
    <t>782 7-8 YD 2X PER WEEK</t>
  </si>
  <si>
    <t>882 8-8 YD 2X PER WEEK</t>
  </si>
  <si>
    <t>183 1-8 YD 3X PER WEEK</t>
  </si>
  <si>
    <t>283 2-8 YD 3X PER WEEK</t>
  </si>
  <si>
    <t>583 5-8 YD 3X PER WEEK</t>
  </si>
  <si>
    <t>184 1-8 YD 4X PER WEEK</t>
  </si>
  <si>
    <t>185 1-8 YD 5X PER WEEK</t>
  </si>
  <si>
    <t>2C1 2 YD COMPACTOR 1X WK</t>
  </si>
  <si>
    <t>2C2 2 YD COMPACTOR 2X WK</t>
  </si>
  <si>
    <t>3C1 3 YD COMPACTOR 1X WK</t>
  </si>
  <si>
    <t>4C1 4 YD COMPACTOR 1X WK</t>
  </si>
  <si>
    <t>4C2 4 YD COMPACTOR 2X WK</t>
  </si>
  <si>
    <t>4C3 4 YD COMPACTOR 3X WK</t>
  </si>
  <si>
    <t>6C1 6 YD COMPACTOR 1X WK</t>
  </si>
  <si>
    <t>8C2 8 YD COMPACTOR 2X WK</t>
  </si>
  <si>
    <t>1DF DISTANCE 1 FLAT</t>
  </si>
  <si>
    <t>DDC DISTANCE DRIVE-IN</t>
  </si>
  <si>
    <t>FG1 FEL GATE FEE 1X WK</t>
  </si>
  <si>
    <t>FG2 FEL GATE FEE 2X WK</t>
  </si>
  <si>
    <t>FG3 FEL GATE FEE 3X WK</t>
  </si>
  <si>
    <t>FG4 FEL GATE FEE 4X WK</t>
  </si>
  <si>
    <t>FG5 FEL GATE FEE 5X WK</t>
  </si>
  <si>
    <t>FGE FEL GATE FEE EOW</t>
  </si>
  <si>
    <t>FGM FEL GATE FEE 1X MO</t>
  </si>
  <si>
    <t>FR1 FEL ROLLOUT FEE 1X WK</t>
  </si>
  <si>
    <t>FR2 FEL ROLLOUT FEE 2X WK</t>
  </si>
  <si>
    <t>FR3 FEL ROLLOUT FEE 3X WK</t>
  </si>
  <si>
    <t>FR5 FEL ROLLOUT FEE 5X WK</t>
  </si>
  <si>
    <t>LKC LOCK/UNLOCK FLAT</t>
  </si>
  <si>
    <t>DLT DELIVER CONTAINER MSW TEMP</t>
  </si>
  <si>
    <t>Total King County</t>
  </si>
  <si>
    <t>CET 15-35 GAL CARTS MSW</t>
  </si>
  <si>
    <t>CFT 16-35 GAL CARTS MSW</t>
  </si>
  <si>
    <t>112 1-1 YD 2X PER WEEK</t>
  </si>
  <si>
    <t>123 1-2 YD 3X PER WEEK</t>
  </si>
  <si>
    <t>331 3-3 YD 1X PER WEEK</t>
  </si>
  <si>
    <t>531 5-3 YD 1X PER WEEK</t>
  </si>
  <si>
    <t>233 2-3 YD 3X PER WEEK</t>
  </si>
  <si>
    <t>134 1-3 YD 4X PER WEEK</t>
  </si>
  <si>
    <t>641 6-4 YD 1X PER WEEK</t>
  </si>
  <si>
    <t>443 4-4 YD 3X PER WEEK</t>
  </si>
  <si>
    <t>146 1-4 YD 6X PER WEEK</t>
  </si>
  <si>
    <t>562 5-6 YD 2X PER WEEK</t>
  </si>
  <si>
    <t>3C2 3 YD COMPACTOR 2X WK</t>
  </si>
  <si>
    <t>6C2 6 YD COMPACTOR 2X WK</t>
  </si>
  <si>
    <t>FR4 FEL ROLLOUT FEE 4X WK</t>
  </si>
  <si>
    <t>FR6 FEL ROLLOUT FEE 6X WK</t>
  </si>
  <si>
    <t>Total per WTB</t>
  </si>
  <si>
    <t>RCF RENT 35 GAL CART</t>
  </si>
  <si>
    <t>RDF RENT 64 GAL CART</t>
  </si>
  <si>
    <t>REF RENT 96 GAL CART</t>
  </si>
  <si>
    <t>RE2 RENT 2-96 GAL CARTS</t>
  </si>
  <si>
    <t>R1F RENT 1 YD</t>
  </si>
  <si>
    <t>21F RENT 2-1 YARD</t>
  </si>
  <si>
    <t>31F RENT 3-1 YARD</t>
  </si>
  <si>
    <t>R5F RENT 1.5 YD</t>
  </si>
  <si>
    <t>25F RENT 2-1.5 YD</t>
  </si>
  <si>
    <t>35F RENT 3-1.5 YD</t>
  </si>
  <si>
    <t>45F RENT 4- 1.5 YD</t>
  </si>
  <si>
    <t>R2F RENT 2 YD</t>
  </si>
  <si>
    <t>22F RENT 2-2 YD</t>
  </si>
  <si>
    <t>32F RENT 3-2 YD</t>
  </si>
  <si>
    <t>42F RENT 4-2 YD</t>
  </si>
  <si>
    <t>52F RENT 5-2 YD</t>
  </si>
  <si>
    <t>82F RENT 8-2 YD</t>
  </si>
  <si>
    <t>R3F RENT 3 YD</t>
  </si>
  <si>
    <t>23F RENT 2-3 YD</t>
  </si>
  <si>
    <t>33F RENT 3-3 YD</t>
  </si>
  <si>
    <t>43F RENT 4-3 YD</t>
  </si>
  <si>
    <t>63F RENT 6-3 YD</t>
  </si>
  <si>
    <t>73F RENT 7-3 YD</t>
  </si>
  <si>
    <t>R4F RENT 4 YD</t>
  </si>
  <si>
    <t>24F RENT 2-4 YD</t>
  </si>
  <si>
    <t>34F RENT 3-4 YD</t>
  </si>
  <si>
    <t>44F RENT 4-4 YD</t>
  </si>
  <si>
    <t>54F RENT 5-4 YD</t>
  </si>
  <si>
    <t>74F RENT 7-4 YD</t>
  </si>
  <si>
    <t>R6F RENT 6 YD</t>
  </si>
  <si>
    <t>26F RENT 2-6 YD</t>
  </si>
  <si>
    <t>36F RENT 3-6 YD</t>
  </si>
  <si>
    <t>46F RENT 4-6 YD</t>
  </si>
  <si>
    <t>56F RENT 5-6 YD</t>
  </si>
  <si>
    <t>66F RENT 6-6 YD</t>
  </si>
  <si>
    <t>R8F RENT 8 YD</t>
  </si>
  <si>
    <t>28F RENT 2-8 YD</t>
  </si>
  <si>
    <t>38F RENT 3-8 YD</t>
  </si>
  <si>
    <t>48F RENT 4-8 YD</t>
  </si>
  <si>
    <t>58F RENT 5-8 YD</t>
  </si>
  <si>
    <t>68F RENT 6 - 8 YDS</t>
  </si>
  <si>
    <t>78F RENT 7-8 YD</t>
  </si>
  <si>
    <t>88F RENT 8 - 8 YDS</t>
  </si>
  <si>
    <t>R5T RENT 1.5 YD TEMP</t>
  </si>
  <si>
    <t>R2T RENT 2 YD TEMP</t>
  </si>
  <si>
    <t>R3T RENT 3 YD TEMP</t>
  </si>
  <si>
    <t>R4T RENT 4 YD TEMP</t>
  </si>
  <si>
    <t>R6T RENT 6 YD TEMP</t>
  </si>
  <si>
    <t>R8T RENT 8 YD TEMP</t>
  </si>
  <si>
    <t>RE3 RENT 3-96 GAL CARTS</t>
  </si>
  <si>
    <t>RE4 RENT 4-96 GAL CARTS</t>
  </si>
  <si>
    <t>53F RENT 5-3 YD</t>
  </si>
  <si>
    <t>P/U's</t>
  </si>
  <si>
    <t>5 Can Weekly</t>
  </si>
  <si>
    <t>6 Can Weekly</t>
  </si>
  <si>
    <t>King County Tonnage Fee</t>
  </si>
  <si>
    <t>King County Fixed Annual Charge</t>
  </si>
  <si>
    <t>per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</si>
</sst>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000%"/>
    <numFmt numFmtId="168" formatCode="_(&quot;$&quot;* #,##0.000_);_(&quot;$&quot;* \(#,##0.000\);_(&quot;$&quot;* &quot;-&quot;??_);_(@_)"/>
    <numFmt numFmtId="169" formatCode="_(&quot;$&quot;* #,##0.000000_);_(&quot;$&quot;* \(#,##0.000000\);_(&quot;$&quot;* &quot;-&quot;??_);_(@_)"/>
    <numFmt numFmtId="170" formatCode="0.000000"/>
    <numFmt numFmtId="171" formatCode="0.0%"/>
    <numFmt numFmtId="172" formatCode="_(* #,##0.0_);_(* \(#,##0.0\);_(* &quot;-&quot;??_);_(@_)"/>
  </numFmts>
  <fonts count="39">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name val="Arial"/>
      <family val="2"/>
    </font>
    <font>
      <b/>
      <sz val="10"/>
      <name val="Arial"/>
      <family val="2"/>
    </font>
    <font>
      <u val="singleAccounting"/>
      <sz val="10"/>
      <name val="Arial"/>
      <family val="2"/>
    </font>
    <font>
      <b/>
      <u val="singleAccounting"/>
      <sz val="10"/>
      <name val="Arial"/>
      <family val="2"/>
    </font>
    <font>
      <b/>
      <sz val="12"/>
      <color indexed="8"/>
      <name val="Arial"/>
      <family val="2"/>
    </font>
    <font>
      <b/>
      <i/>
      <u/>
      <sz val="10"/>
      <name val="Arial"/>
      <family val="2"/>
    </font>
    <font>
      <b/>
      <u/>
      <sz val="10"/>
      <name val="Arial"/>
      <family val="2"/>
    </font>
    <font>
      <b/>
      <u val="double"/>
      <sz val="10"/>
      <name val="Arial"/>
      <family val="2"/>
    </font>
    <font>
      <sz val="10"/>
      <color rgb="FFFF0000"/>
      <name val="Arial"/>
      <family val="2"/>
    </font>
    <font>
      <u val="singleAccounting"/>
      <sz val="11"/>
      <color theme="1"/>
      <name val="Calibri"/>
      <family val="2"/>
      <scheme val="minor"/>
    </font>
    <font>
      <b/>
      <u val="doubleAccounting"/>
      <sz val="11"/>
      <color theme="1"/>
      <name val="Calibri"/>
      <family val="2"/>
      <scheme val="minor"/>
    </font>
    <font>
      <b/>
      <sz val="14"/>
      <color theme="1"/>
      <name val="Calibri"/>
      <family val="2"/>
      <scheme val="minor"/>
    </font>
    <font>
      <sz val="11"/>
      <color rgb="FFFF0000"/>
      <name val="Calibri"/>
      <family val="2"/>
      <scheme val="minor"/>
    </font>
    <font>
      <b/>
      <sz val="10"/>
      <color theme="1"/>
      <name val="Arial"/>
      <family val="2"/>
    </font>
    <font>
      <sz val="10"/>
      <color theme="1"/>
      <name val="Arial"/>
      <family val="2"/>
    </font>
    <font>
      <b/>
      <sz val="10"/>
      <color indexed="8"/>
      <name val="Arial"/>
      <family val="2"/>
    </font>
    <font>
      <sz val="10"/>
      <color theme="3" tint="0.39997558519241921"/>
      <name val="Arial"/>
      <family val="2"/>
    </font>
    <font>
      <u/>
      <sz val="11"/>
      <color rgb="FFFF0000"/>
      <name val="Calibri"/>
      <family val="2"/>
      <scheme val="minor"/>
    </font>
    <font>
      <sz val="10"/>
      <name val="Arial"/>
    </font>
    <font>
      <b/>
      <sz val="15"/>
      <color rgb="FF7030A0"/>
      <name val="Calibri"/>
      <family val="2"/>
      <scheme val="minor"/>
    </font>
    <font>
      <b/>
      <u val="singleAccounting"/>
      <sz val="11"/>
      <color theme="1"/>
      <name val="Calibri"/>
      <family val="2"/>
      <scheme val="minor"/>
    </font>
    <font>
      <b/>
      <u/>
      <sz val="11"/>
      <color theme="1"/>
      <name val="Calibri"/>
      <family val="2"/>
      <scheme val="minor"/>
    </font>
    <font>
      <b/>
      <sz val="11"/>
      <color rgb="FF7030A0"/>
      <name val="Calibri"/>
      <family val="2"/>
      <scheme val="minor"/>
    </font>
    <font>
      <sz val="11"/>
      <color rgb="FF7030A0"/>
      <name val="Calibri"/>
      <family val="2"/>
      <scheme val="minor"/>
    </font>
    <font>
      <b/>
      <sz val="10"/>
      <name val="Arial MT"/>
    </font>
    <font>
      <b/>
      <u/>
      <sz val="10"/>
      <name val="Arial MT"/>
    </font>
    <font>
      <b/>
      <sz val="10"/>
      <color rgb="FFFF0000"/>
      <name val="Arial MT"/>
    </font>
    <font>
      <b/>
      <u val="singleAccounting"/>
      <sz val="10"/>
      <name val="Arial MT"/>
    </font>
    <font>
      <sz val="10"/>
      <name val="Arial MT"/>
    </font>
    <font>
      <u/>
      <sz val="10"/>
      <name val="Arial MT"/>
    </font>
    <font>
      <b/>
      <u val="doubleAccounting"/>
      <sz val="10"/>
      <name val="Arial"/>
      <family val="2"/>
    </font>
    <font>
      <b/>
      <i/>
      <sz val="10"/>
      <name val="Arial"/>
      <family val="2"/>
    </font>
    <font>
      <b/>
      <i/>
      <u val="doubleAccounting"/>
      <sz val="9"/>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22" fillId="0" borderId="0"/>
  </cellStyleXfs>
  <cellXfs count="295">
    <xf numFmtId="0" fontId="0" fillId="0" borderId="0" xfId="0"/>
    <xf numFmtId="0" fontId="3" fillId="0" borderId="0" xfId="0" applyFont="1" applyFill="1" applyBorder="1" applyAlignment="1">
      <alignment horizontal="left"/>
    </xf>
    <xf numFmtId="164" fontId="2" fillId="0" borderId="0" xfId="1" applyNumberFormat="1" applyFont="1"/>
    <xf numFmtId="0" fontId="8" fillId="0" borderId="0" xfId="8" applyFont="1" applyFill="1" applyBorder="1"/>
    <xf numFmtId="0" fontId="10" fillId="0" borderId="0" xfId="0" applyFont="1"/>
    <xf numFmtId="0" fontId="0" fillId="0" borderId="0" xfId="0" applyBorder="1"/>
    <xf numFmtId="0" fontId="9" fillId="0" borderId="0" xfId="0" applyFont="1" applyAlignment="1">
      <alignment horizontal="left"/>
    </xf>
    <xf numFmtId="0" fontId="4" fillId="0" borderId="0" xfId="0" applyFont="1"/>
    <xf numFmtId="166" fontId="6" fillId="0" borderId="0" xfId="7" applyNumberFormat="1" applyFont="1" applyBorder="1"/>
    <xf numFmtId="166" fontId="10" fillId="0" borderId="0" xfId="7" applyNumberFormat="1" applyFont="1" applyBorder="1"/>
    <xf numFmtId="44" fontId="10" fillId="0" borderId="0" xfId="7" applyFont="1" applyBorder="1"/>
    <xf numFmtId="166" fontId="7" fillId="0" borderId="0" xfId="7" applyNumberFormat="1" applyFont="1" applyBorder="1"/>
    <xf numFmtId="166" fontId="7" fillId="0" borderId="0" xfId="0" applyNumberFormat="1" applyFont="1" applyBorder="1"/>
    <xf numFmtId="166" fontId="0" fillId="0" borderId="0" xfId="0" applyNumberFormat="1" applyBorder="1"/>
    <xf numFmtId="44" fontId="0" fillId="0" borderId="0" xfId="7" applyFont="1" applyBorder="1"/>
    <xf numFmtId="166" fontId="6" fillId="0" borderId="0" xfId="5" applyNumberFormat="1" applyFont="1" applyBorder="1"/>
    <xf numFmtId="0" fontId="11" fillId="0" borderId="0" xfId="0" applyFont="1"/>
    <xf numFmtId="0" fontId="9" fillId="0" borderId="0" xfId="0" applyFont="1" applyBorder="1" applyAlignment="1">
      <alignment horizontal="center"/>
    </xf>
    <xf numFmtId="0" fontId="5" fillId="0" borderId="0" xfId="0" applyFont="1" applyBorder="1" applyAlignment="1">
      <alignment horizontal="center"/>
    </xf>
    <xf numFmtId="0" fontId="10" fillId="0" borderId="0" xfId="0" applyFont="1" applyBorder="1" applyAlignment="1">
      <alignment horizontal="center"/>
    </xf>
    <xf numFmtId="43" fontId="6" fillId="0" borderId="0" xfId="5" applyFont="1" applyBorder="1"/>
    <xf numFmtId="43" fontId="10" fillId="0" borderId="0" xfId="0" applyNumberFormat="1" applyFont="1" applyBorder="1"/>
    <xf numFmtId="43" fontId="0" fillId="0" borderId="0" xfId="0" applyNumberFormat="1" applyBorder="1"/>
    <xf numFmtId="44" fontId="4" fillId="0" borderId="0" xfId="7" applyFont="1" applyBorder="1"/>
    <xf numFmtId="44" fontId="5" fillId="0" borderId="0" xfId="7" applyFont="1" applyBorder="1"/>
    <xf numFmtId="0" fontId="1" fillId="0" borderId="0" xfId="0" applyFont="1" applyBorder="1"/>
    <xf numFmtId="0" fontId="2" fillId="0" borderId="0" xfId="0" applyFont="1"/>
    <xf numFmtId="0" fontId="0" fillId="0" borderId="0" xfId="0" applyFont="1"/>
    <xf numFmtId="0" fontId="2" fillId="3" borderId="1" xfId="0" applyFont="1" applyFill="1" applyBorder="1"/>
    <xf numFmtId="0" fontId="0" fillId="3" borderId="1" xfId="0" applyFont="1" applyFill="1" applyBorder="1" applyAlignment="1">
      <alignment horizontal="center"/>
    </xf>
    <xf numFmtId="0" fontId="0" fillId="0" borderId="0" xfId="0" applyFont="1" applyAlignment="1">
      <alignment horizontal="left"/>
    </xf>
    <xf numFmtId="44" fontId="1" fillId="0" borderId="0" xfId="2" applyFont="1" applyFill="1"/>
    <xf numFmtId="168" fontId="1" fillId="0" borderId="0" xfId="2" applyNumberFormat="1" applyFont="1" applyFill="1"/>
    <xf numFmtId="168" fontId="1" fillId="0" borderId="1" xfId="2" applyNumberFormat="1" applyFont="1" applyFill="1" applyBorder="1"/>
    <xf numFmtId="0" fontId="0" fillId="0" borderId="0" xfId="0" applyFont="1" applyAlignment="1">
      <alignment horizontal="left" indent="1"/>
    </xf>
    <xf numFmtId="169" fontId="1" fillId="0" borderId="0" xfId="2" applyNumberFormat="1" applyFont="1" applyFill="1"/>
    <xf numFmtId="0" fontId="0" fillId="3" borderId="1" xfId="0" applyFont="1" applyFill="1" applyBorder="1"/>
    <xf numFmtId="44" fontId="0" fillId="0" borderId="0" xfId="0" applyNumberFormat="1" applyFont="1"/>
    <xf numFmtId="170" fontId="0" fillId="0" borderId="0" xfId="0" applyNumberFormat="1" applyFont="1"/>
    <xf numFmtId="166" fontId="13" fillId="0" borderId="0" xfId="2" applyNumberFormat="1" applyFont="1"/>
    <xf numFmtId="166" fontId="6" fillId="0" borderId="0" xfId="2" applyNumberFormat="1" applyFont="1" applyBorder="1"/>
    <xf numFmtId="166" fontId="13" fillId="0" borderId="0" xfId="0" applyNumberFormat="1" applyFont="1"/>
    <xf numFmtId="43" fontId="14" fillId="0" borderId="0" xfId="0" applyNumberFormat="1" applyFont="1" applyBorder="1"/>
    <xf numFmtId="166" fontId="14" fillId="0" borderId="0" xfId="2" applyNumberFormat="1" applyFont="1" applyBorder="1"/>
    <xf numFmtId="43" fontId="11" fillId="0" borderId="0" xfId="0" applyNumberFormat="1" applyFont="1"/>
    <xf numFmtId="166" fontId="11" fillId="0" borderId="0" xfId="2" applyNumberFormat="1" applyFont="1"/>
    <xf numFmtId="0" fontId="10" fillId="0" borderId="0" xfId="0" applyFont="1" applyFill="1" applyBorder="1" applyAlignment="1">
      <alignment horizontal="center"/>
    </xf>
    <xf numFmtId="2" fontId="0" fillId="0" borderId="0" xfId="0" applyNumberFormat="1"/>
    <xf numFmtId="43" fontId="7" fillId="0" borderId="0" xfId="0" applyNumberFormat="1" applyFont="1" applyBorder="1"/>
    <xf numFmtId="44" fontId="7" fillId="0" borderId="0" xfId="7" applyFont="1" applyBorder="1"/>
    <xf numFmtId="0" fontId="7" fillId="0" borderId="0" xfId="0" applyFont="1"/>
    <xf numFmtId="0" fontId="15" fillId="0" borderId="0" xfId="0" applyFont="1"/>
    <xf numFmtId="44" fontId="4" fillId="0" borderId="0" xfId="7" applyFont="1" applyFill="1"/>
    <xf numFmtId="43" fontId="4" fillId="0" borderId="0" xfId="9" applyFont="1" applyFill="1"/>
    <xf numFmtId="164" fontId="4" fillId="0" borderId="0" xfId="1" applyNumberFormat="1" applyFont="1" applyFill="1"/>
    <xf numFmtId="0" fontId="0" fillId="0" borderId="1" xfId="0" applyFont="1" applyFill="1" applyBorder="1" applyAlignment="1">
      <alignment horizontal="center"/>
    </xf>
    <xf numFmtId="0" fontId="0" fillId="0" borderId="1" xfId="0" applyFont="1" applyBorder="1" applyAlignment="1">
      <alignment horizontal="center"/>
    </xf>
    <xf numFmtId="43" fontId="1" fillId="0" borderId="0" xfId="1" applyFont="1"/>
    <xf numFmtId="43" fontId="0" fillId="0" borderId="0" xfId="0" applyNumberFormat="1" applyFont="1" applyBorder="1" applyAlignment="1">
      <alignment horizontal="center"/>
    </xf>
    <xf numFmtId="43" fontId="0" fillId="0" borderId="0" xfId="0" applyNumberFormat="1" applyFont="1"/>
    <xf numFmtId="43" fontId="1" fillId="0" borderId="0" xfId="1" applyFont="1" applyAlignment="1">
      <alignment horizontal="center"/>
    </xf>
    <xf numFmtId="164" fontId="1" fillId="0" borderId="0" xfId="1" applyNumberFormat="1" applyFont="1"/>
    <xf numFmtId="0" fontId="0" fillId="2" borderId="0" xfId="0" applyFont="1" applyFill="1" applyAlignment="1">
      <alignment horizontal="center"/>
    </xf>
    <xf numFmtId="0" fontId="16" fillId="0" borderId="0" xfId="0" applyFont="1" applyFill="1"/>
    <xf numFmtId="0" fontId="16" fillId="0" borderId="0" xfId="0" applyFont="1" applyFill="1" applyAlignment="1">
      <alignment horizontal="center"/>
    </xf>
    <xf numFmtId="44" fontId="1" fillId="7" borderId="0" xfId="2" applyFont="1" applyFill="1"/>
    <xf numFmtId="44" fontId="1" fillId="7" borderId="1" xfId="2" applyFont="1" applyFill="1" applyBorder="1"/>
    <xf numFmtId="167" fontId="0" fillId="0" borderId="0" xfId="0" applyNumberFormat="1" applyFont="1"/>
    <xf numFmtId="44" fontId="2" fillId="0" borderId="0" xfId="0" applyNumberFormat="1" applyFont="1"/>
    <xf numFmtId="43" fontId="6" fillId="7" borderId="0" xfId="5" applyFont="1" applyFill="1" applyBorder="1"/>
    <xf numFmtId="165" fontId="1" fillId="0" borderId="0" xfId="3" applyNumberFormat="1" applyFont="1"/>
    <xf numFmtId="165" fontId="1" fillId="0" borderId="0" xfId="3" applyNumberFormat="1" applyFont="1" applyBorder="1"/>
    <xf numFmtId="164" fontId="1" fillId="7" borderId="1" xfId="1" applyNumberFormat="1" applyFont="1" applyFill="1" applyBorder="1"/>
    <xf numFmtId="0" fontId="17" fillId="3" borderId="1" xfId="0" applyFont="1" applyFill="1" applyBorder="1"/>
    <xf numFmtId="0" fontId="17" fillId="3" borderId="1" xfId="0" applyFont="1" applyFill="1" applyBorder="1" applyAlignment="1">
      <alignment horizontal="center" wrapText="1"/>
    </xf>
    <xf numFmtId="0" fontId="17" fillId="3" borderId="1" xfId="0" applyFont="1" applyFill="1" applyBorder="1" applyAlignment="1">
      <alignment horizontal="center"/>
    </xf>
    <xf numFmtId="164" fontId="17" fillId="3" borderId="1" xfId="1" applyNumberFormat="1" applyFont="1" applyFill="1" applyBorder="1" applyAlignment="1">
      <alignment horizontal="center" wrapText="1"/>
    </xf>
    <xf numFmtId="0" fontId="18" fillId="0" borderId="0" xfId="0" applyFont="1"/>
    <xf numFmtId="0" fontId="18" fillId="0" borderId="0" xfId="0" applyFont="1" applyFill="1" applyBorder="1" applyAlignment="1">
      <alignment horizontal="center" vertical="center"/>
    </xf>
    <xf numFmtId="164" fontId="18" fillId="0" borderId="0" xfId="1" applyNumberFormat="1" applyFont="1" applyFill="1" applyBorder="1"/>
    <xf numFmtId="43" fontId="4" fillId="0" borderId="0" xfId="1" applyNumberFormat="1" applyFont="1" applyFill="1" applyBorder="1"/>
    <xf numFmtId="164" fontId="18" fillId="0" borderId="0" xfId="1" applyNumberFormat="1" applyFont="1" applyFill="1" applyBorder="1" applyAlignment="1">
      <alignment horizontal="center" wrapText="1"/>
    </xf>
    <xf numFmtId="44" fontId="18" fillId="0" borderId="0" xfId="2" applyFont="1" applyFill="1" applyBorder="1"/>
    <xf numFmtId="44" fontId="18" fillId="9" borderId="0" xfId="2" applyFont="1" applyFill="1" applyBorder="1"/>
    <xf numFmtId="166" fontId="18" fillId="0" borderId="0" xfId="2" applyNumberFormat="1" applyFont="1" applyFill="1" applyBorder="1"/>
    <xf numFmtId="44" fontId="18" fillId="4" borderId="0" xfId="2" applyFont="1" applyFill="1" applyBorder="1"/>
    <xf numFmtId="0" fontId="18" fillId="0" borderId="0" xfId="0" applyFont="1" applyFill="1" applyBorder="1" applyAlignment="1">
      <alignment horizontal="center" vertical="center" textRotation="90"/>
    </xf>
    <xf numFmtId="0" fontId="18" fillId="3" borderId="1" xfId="0" applyFont="1" applyFill="1" applyBorder="1" applyAlignment="1">
      <alignment vertical="center" textRotation="90"/>
    </xf>
    <xf numFmtId="0" fontId="18" fillId="3" borderId="1" xfId="0" applyFont="1" applyFill="1" applyBorder="1" applyAlignment="1">
      <alignment horizontal="center" vertical="center"/>
    </xf>
    <xf numFmtId="0" fontId="5" fillId="3" borderId="1" xfId="10" applyFont="1" applyFill="1" applyBorder="1" applyAlignment="1">
      <alignment horizontal="left"/>
    </xf>
    <xf numFmtId="3" fontId="17" fillId="3" borderId="1" xfId="0" applyNumberFormat="1" applyFont="1" applyFill="1" applyBorder="1" applyAlignment="1">
      <alignment horizontal="right"/>
    </xf>
    <xf numFmtId="43" fontId="18" fillId="3" borderId="1" xfId="1" applyFont="1" applyFill="1" applyBorder="1"/>
    <xf numFmtId="164" fontId="17" fillId="3" borderId="1" xfId="0" applyNumberFormat="1" applyFont="1" applyFill="1" applyBorder="1"/>
    <xf numFmtId="43" fontId="18" fillId="3" borderId="1" xfId="0" applyNumberFormat="1" applyFont="1" applyFill="1" applyBorder="1"/>
    <xf numFmtId="3" fontId="17" fillId="3" borderId="1" xfId="0" applyNumberFormat="1" applyFont="1" applyFill="1" applyBorder="1"/>
    <xf numFmtId="164" fontId="17" fillId="3" borderId="1" xfId="1" applyNumberFormat="1" applyFont="1" applyFill="1" applyBorder="1"/>
    <xf numFmtId="44" fontId="18" fillId="3" borderId="1" xfId="2" applyFont="1" applyFill="1" applyBorder="1"/>
    <xf numFmtId="166" fontId="17" fillId="7" borderId="1" xfId="2" applyNumberFormat="1" applyFont="1" applyFill="1" applyBorder="1"/>
    <xf numFmtId="166" fontId="17" fillId="3" borderId="1" xfId="2" applyNumberFormat="1" applyFont="1" applyFill="1" applyBorder="1"/>
    <xf numFmtId="44" fontId="17" fillId="3" borderId="1" xfId="2" applyFont="1" applyFill="1" applyBorder="1"/>
    <xf numFmtId="0" fontId="18" fillId="0" borderId="0" xfId="0" applyFont="1" applyFill="1"/>
    <xf numFmtId="43" fontId="18" fillId="0" borderId="0" xfId="1" applyNumberFormat="1" applyFont="1" applyFill="1" applyBorder="1"/>
    <xf numFmtId="164" fontId="4" fillId="0" borderId="0" xfId="1" applyNumberFormat="1" applyFont="1" applyFill="1" applyBorder="1"/>
    <xf numFmtId="43" fontId="18" fillId="0" borderId="0" xfId="2" applyNumberFormat="1" applyFont="1" applyFill="1" applyBorder="1"/>
    <xf numFmtId="0" fontId="18" fillId="3" borderId="1" xfId="0" applyFont="1" applyFill="1" applyBorder="1" applyAlignment="1">
      <alignment horizontal="center"/>
    </xf>
    <xf numFmtId="0" fontId="18" fillId="0" borderId="0" xfId="0" applyFont="1" applyBorder="1"/>
    <xf numFmtId="0" fontId="18" fillId="0" borderId="0" xfId="0" applyFont="1" applyBorder="1" applyAlignment="1">
      <alignment horizontal="center"/>
    </xf>
    <xf numFmtId="0" fontId="5" fillId="0" borderId="0" xfId="10" applyFont="1" applyFill="1" applyBorder="1" applyAlignment="1">
      <alignment horizontal="left"/>
    </xf>
    <xf numFmtId="164" fontId="17" fillId="0" borderId="0" xfId="1" applyNumberFormat="1" applyFont="1" applyBorder="1" applyAlignment="1">
      <alignment horizontal="right"/>
    </xf>
    <xf numFmtId="44" fontId="17" fillId="0" borderId="0" xfId="2" applyFont="1" applyBorder="1" applyAlignment="1">
      <alignment horizontal="right"/>
    </xf>
    <xf numFmtId="166" fontId="17" fillId="0" borderId="0" xfId="2" applyNumberFormat="1" applyFont="1" applyBorder="1" applyAlignment="1">
      <alignment horizontal="right"/>
    </xf>
    <xf numFmtId="0" fontId="18" fillId="0" borderId="0" xfId="0" applyFont="1" applyBorder="1" applyAlignment="1">
      <alignment horizontal="right"/>
    </xf>
    <xf numFmtId="164" fontId="18" fillId="0" borderId="0" xfId="1" applyNumberFormat="1" applyFont="1" applyBorder="1"/>
    <xf numFmtId="44" fontId="18" fillId="0" borderId="0" xfId="1" applyNumberFormat="1" applyFont="1" applyFill="1" applyBorder="1"/>
    <xf numFmtId="9" fontId="18" fillId="0" borderId="0" xfId="3" applyFont="1" applyBorder="1"/>
    <xf numFmtId="0" fontId="18" fillId="5" borderId="0" xfId="0" applyFont="1" applyFill="1" applyBorder="1"/>
    <xf numFmtId="0" fontId="18" fillId="5" borderId="0" xfId="0" applyFont="1" applyFill="1" applyBorder="1" applyAlignment="1">
      <alignment horizontal="center"/>
    </xf>
    <xf numFmtId="0" fontId="17" fillId="5" borderId="0" xfId="0" applyFont="1" applyFill="1" applyBorder="1"/>
    <xf numFmtId="0" fontId="18" fillId="5" borderId="0" xfId="0" applyFont="1" applyFill="1" applyBorder="1" applyAlignment="1">
      <alignment horizontal="right"/>
    </xf>
    <xf numFmtId="164" fontId="18" fillId="5" borderId="0" xfId="1" applyNumberFormat="1" applyFont="1" applyFill="1" applyBorder="1"/>
    <xf numFmtId="44" fontId="18" fillId="5" borderId="0" xfId="1" applyNumberFormat="1" applyFont="1" applyFill="1" applyBorder="1"/>
    <xf numFmtId="0" fontId="18" fillId="0" borderId="0" xfId="0" applyFont="1" applyFill="1" applyBorder="1"/>
    <xf numFmtId="164" fontId="18" fillId="0" borderId="0" xfId="1" applyNumberFormat="1" applyFont="1" applyFill="1" applyBorder="1" applyAlignment="1">
      <alignment horizontal="right"/>
    </xf>
    <xf numFmtId="0" fontId="18" fillId="0" borderId="0" xfId="0" applyFont="1" applyFill="1" applyBorder="1" applyAlignment="1">
      <alignment horizontal="center"/>
    </xf>
    <xf numFmtId="44" fontId="18" fillId="0" borderId="0" xfId="0" applyNumberFormat="1" applyFont="1" applyFill="1" applyBorder="1"/>
    <xf numFmtId="0" fontId="18" fillId="0" borderId="1" xfId="0" applyFont="1" applyFill="1" applyBorder="1" applyAlignment="1">
      <alignment horizontal="center"/>
    </xf>
    <xf numFmtId="0" fontId="4" fillId="0" borderId="1" xfId="11" applyFont="1" applyFill="1" applyBorder="1"/>
    <xf numFmtId="164" fontId="18" fillId="0" borderId="1" xfId="1" applyNumberFormat="1" applyFont="1" applyFill="1" applyBorder="1" applyAlignment="1">
      <alignment horizontal="right"/>
    </xf>
    <xf numFmtId="43" fontId="18" fillId="0" borderId="1" xfId="1" applyNumberFormat="1" applyFont="1" applyFill="1" applyBorder="1"/>
    <xf numFmtId="164" fontId="18" fillId="0" borderId="1" xfId="1" applyNumberFormat="1" applyFont="1" applyFill="1" applyBorder="1"/>
    <xf numFmtId="44" fontId="18" fillId="0" borderId="1" xfId="2" applyFont="1" applyFill="1" applyBorder="1"/>
    <xf numFmtId="0" fontId="18" fillId="0" borderId="2" xfId="0" applyFont="1" applyFill="1" applyBorder="1" applyAlignment="1">
      <alignment horizontal="center"/>
    </xf>
    <xf numFmtId="0" fontId="18" fillId="0" borderId="2" xfId="0" applyFont="1" applyBorder="1"/>
    <xf numFmtId="164" fontId="4" fillId="0" borderId="2" xfId="1" applyNumberFormat="1" applyFont="1" applyFill="1" applyBorder="1"/>
    <xf numFmtId="164" fontId="4" fillId="0" borderId="2" xfId="1" applyNumberFormat="1" applyFont="1" applyFill="1" applyBorder="1" applyAlignment="1">
      <alignment horizontal="right"/>
    </xf>
    <xf numFmtId="164" fontId="18" fillId="0" borderId="2" xfId="1" applyNumberFormat="1" applyFont="1" applyFill="1" applyBorder="1" applyAlignment="1">
      <alignment horizontal="center" wrapText="1"/>
    </xf>
    <xf numFmtId="44" fontId="18" fillId="0" borderId="2" xfId="2" applyFont="1" applyFill="1" applyBorder="1"/>
    <xf numFmtId="44" fontId="18" fillId="9" borderId="2" xfId="2" applyFont="1" applyFill="1" applyBorder="1"/>
    <xf numFmtId="164" fontId="4" fillId="0" borderId="0" xfId="1" applyNumberFormat="1" applyFont="1" applyFill="1" applyBorder="1" applyAlignment="1">
      <alignment horizontal="right"/>
    </xf>
    <xf numFmtId="0" fontId="4" fillId="0" borderId="0" xfId="11" applyFont="1" applyFill="1" applyBorder="1"/>
    <xf numFmtId="43" fontId="18" fillId="0" borderId="0" xfId="1" applyFont="1" applyFill="1" applyBorder="1"/>
    <xf numFmtId="0" fontId="4" fillId="0" borderId="0" xfId="13" applyFont="1" applyFill="1" applyBorder="1"/>
    <xf numFmtId="0" fontId="18" fillId="0" borderId="7" xfId="0" applyFont="1" applyFill="1" applyBorder="1" applyAlignment="1">
      <alignment horizontal="center"/>
    </xf>
    <xf numFmtId="0" fontId="4" fillId="0" borderId="0" xfId="12" applyFont="1" applyFill="1" applyBorder="1" applyAlignment="1">
      <alignment horizontal="left"/>
    </xf>
    <xf numFmtId="0" fontId="18" fillId="8" borderId="7" xfId="0" applyFont="1" applyFill="1" applyBorder="1" applyAlignment="1">
      <alignment horizontal="center"/>
    </xf>
    <xf numFmtId="0" fontId="4" fillId="8" borderId="0" xfId="12" applyFont="1" applyFill="1" applyBorder="1" applyAlignment="1">
      <alignment horizontal="left"/>
    </xf>
    <xf numFmtId="164" fontId="18" fillId="8" borderId="0" xfId="1" applyNumberFormat="1" applyFont="1" applyFill="1" applyBorder="1" applyAlignment="1">
      <alignment horizontal="right"/>
    </xf>
    <xf numFmtId="43" fontId="18" fillId="8" borderId="0" xfId="1" applyFont="1" applyFill="1" applyBorder="1"/>
    <xf numFmtId="164" fontId="4" fillId="8" borderId="0" xfId="1" applyNumberFormat="1" applyFont="1" applyFill="1" applyBorder="1"/>
    <xf numFmtId="164" fontId="18" fillId="8" borderId="0" xfId="1" applyNumberFormat="1" applyFont="1" applyFill="1" applyBorder="1" applyAlignment="1">
      <alignment horizontal="center" wrapText="1"/>
    </xf>
    <xf numFmtId="44" fontId="18" fillId="8" borderId="0" xfId="2" applyFont="1" applyFill="1" applyBorder="1"/>
    <xf numFmtId="0" fontId="18" fillId="8" borderId="0" xfId="0" applyFont="1" applyFill="1" applyBorder="1"/>
    <xf numFmtId="0" fontId="18" fillId="0" borderId="7" xfId="0" applyFont="1" applyBorder="1" applyAlignment="1">
      <alignment horizontal="center"/>
    </xf>
    <xf numFmtId="164" fontId="18" fillId="0" borderId="0" xfId="1" applyNumberFormat="1" applyFont="1" applyBorder="1" applyAlignment="1">
      <alignment horizontal="right"/>
    </xf>
    <xf numFmtId="0" fontId="18" fillId="0" borderId="1" xfId="0" applyFont="1" applyBorder="1"/>
    <xf numFmtId="44" fontId="18" fillId="0" borderId="0"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vertical="center" textRotation="90"/>
    </xf>
    <xf numFmtId="0" fontId="12" fillId="0" borderId="0" xfId="12" applyFont="1" applyBorder="1" applyAlignment="1">
      <alignment horizontal="left"/>
    </xf>
    <xf numFmtId="166" fontId="18" fillId="0" borderId="0" xfId="0" applyNumberFormat="1" applyFont="1" applyBorder="1"/>
    <xf numFmtId="0" fontId="18" fillId="0" borderId="0" xfId="0" applyFont="1" applyFill="1" applyBorder="1" applyAlignment="1"/>
    <xf numFmtId="0" fontId="18" fillId="0" borderId="0" xfId="0" applyFont="1" applyFill="1" applyBorder="1" applyAlignment="1">
      <alignment horizontal="left"/>
    </xf>
    <xf numFmtId="164" fontId="17" fillId="0" borderId="1" xfId="1" applyNumberFormat="1" applyFont="1" applyBorder="1" applyAlignment="1">
      <alignment horizontal="center"/>
    </xf>
    <xf numFmtId="0" fontId="17" fillId="0" borderId="0" xfId="0" applyFont="1" applyBorder="1" applyAlignment="1">
      <alignment horizontal="center"/>
    </xf>
    <xf numFmtId="0" fontId="18" fillId="2" borderId="0" xfId="0" applyFont="1" applyFill="1" applyBorder="1" applyAlignment="1">
      <alignment horizontal="left"/>
    </xf>
    <xf numFmtId="43" fontId="18" fillId="0" borderId="0" xfId="0" applyNumberFormat="1" applyFont="1" applyBorder="1"/>
    <xf numFmtId="164" fontId="19" fillId="0" borderId="3" xfId="14" applyNumberFormat="1" applyFont="1" applyFill="1" applyBorder="1"/>
    <xf numFmtId="164" fontId="4" fillId="0" borderId="0" xfId="1" applyNumberFormat="1" applyFont="1" applyFill="1" applyBorder="1" applyAlignment="1">
      <alignment horizontal="left"/>
    </xf>
    <xf numFmtId="0" fontId="18" fillId="6" borderId="0" xfId="1" applyNumberFormat="1" applyFont="1" applyFill="1" applyBorder="1"/>
    <xf numFmtId="164" fontId="18" fillId="6" borderId="0" xfId="1" applyNumberFormat="1" applyFont="1" applyFill="1" applyBorder="1"/>
    <xf numFmtId="0" fontId="20" fillId="0" borderId="0" xfId="1" applyNumberFormat="1" applyFont="1" applyBorder="1" applyAlignment="1">
      <alignment horizontal="left"/>
    </xf>
    <xf numFmtId="0" fontId="18" fillId="0" borderId="0" xfId="0" applyFont="1" applyBorder="1" applyAlignment="1">
      <alignment horizontal="left"/>
    </xf>
    <xf numFmtId="10" fontId="18" fillId="0" borderId="0" xfId="3" applyNumberFormat="1" applyFont="1" applyFill="1" applyBorder="1" applyAlignment="1">
      <alignment horizontal="right"/>
    </xf>
    <xf numFmtId="10" fontId="18" fillId="0" borderId="0" xfId="3" applyNumberFormat="1" applyFont="1" applyBorder="1" applyAlignment="1">
      <alignment horizontal="right"/>
    </xf>
    <xf numFmtId="10" fontId="18" fillId="0" borderId="0" xfId="3" applyNumberFormat="1" applyFont="1" applyBorder="1"/>
    <xf numFmtId="0" fontId="18" fillId="0" borderId="0" xfId="0" applyFont="1" applyBorder="1" applyAlignment="1">
      <alignment horizontal="right" wrapText="1"/>
    </xf>
    <xf numFmtId="0" fontId="18" fillId="0" borderId="0" xfId="0" applyFont="1" applyBorder="1" applyAlignment="1">
      <alignment horizontal="center" wrapText="1"/>
    </xf>
    <xf numFmtId="0" fontId="4" fillId="0" borderId="0" xfId="10" applyFont="1" applyFill="1" applyBorder="1" applyAlignment="1">
      <alignment horizontal="left"/>
    </xf>
    <xf numFmtId="43" fontId="18" fillId="0" borderId="0" xfId="1" applyFont="1" applyBorder="1"/>
    <xf numFmtId="166" fontId="18" fillId="0" borderId="0" xfId="2" applyNumberFormat="1" applyFont="1" applyBorder="1"/>
    <xf numFmtId="44" fontId="18" fillId="0" borderId="0" xfId="2" applyFont="1" applyBorder="1" applyAlignment="1">
      <alignment horizontal="right"/>
    </xf>
    <xf numFmtId="168" fontId="18" fillId="0" borderId="0" xfId="2" applyNumberFormat="1" applyFont="1" applyBorder="1"/>
    <xf numFmtId="166" fontId="18" fillId="4" borderId="0" xfId="2" applyNumberFormat="1" applyFont="1" applyFill="1" applyBorder="1"/>
    <xf numFmtId="166" fontId="18" fillId="3" borderId="1" xfId="2" applyNumberFormat="1" applyFont="1" applyFill="1" applyBorder="1"/>
    <xf numFmtId="171" fontId="18" fillId="0" borderId="0" xfId="3" applyNumberFormat="1" applyFont="1"/>
    <xf numFmtId="165" fontId="21" fillId="0" borderId="1" xfId="3" applyNumberFormat="1" applyFont="1" applyFill="1" applyBorder="1"/>
    <xf numFmtId="44" fontId="0" fillId="0" borderId="0" xfId="0" applyNumberFormat="1"/>
    <xf numFmtId="10" fontId="18" fillId="0" borderId="0" xfId="3" applyNumberFormat="1" applyFont="1"/>
    <xf numFmtId="0" fontId="3" fillId="0" borderId="0" xfId="15" applyFont="1" applyAlignment="1">
      <alignment horizontal="left"/>
    </xf>
    <xf numFmtId="164" fontId="2" fillId="0" borderId="0" xfId="9" applyNumberFormat="1" applyFont="1"/>
    <xf numFmtId="172" fontId="2" fillId="0" borderId="0" xfId="9" applyNumberFormat="1" applyFont="1"/>
    <xf numFmtId="43" fontId="2" fillId="0" borderId="0" xfId="9" applyFont="1"/>
    <xf numFmtId="164" fontId="24" fillId="0" borderId="0" xfId="9" applyNumberFormat="1" applyFont="1" applyAlignment="1">
      <alignment horizontal="left"/>
    </xf>
    <xf numFmtId="164" fontId="25" fillId="0" borderId="0" xfId="9" applyNumberFormat="1" applyFont="1"/>
    <xf numFmtId="172" fontId="24" fillId="0" borderId="0" xfId="9" applyNumberFormat="1" applyFont="1" applyAlignment="1">
      <alignment horizontal="center"/>
    </xf>
    <xf numFmtId="164" fontId="26" fillId="0" borderId="0" xfId="9" applyNumberFormat="1" applyFont="1" applyAlignment="1">
      <alignment horizontal="center"/>
    </xf>
    <xf numFmtId="44" fontId="26" fillId="0" borderId="0" xfId="7" applyFont="1" applyAlignment="1">
      <alignment horizontal="center"/>
    </xf>
    <xf numFmtId="43" fontId="25" fillId="0" borderId="0" xfId="9" applyFont="1"/>
    <xf numFmtId="164" fontId="27" fillId="0" borderId="0" xfId="9" applyNumberFormat="1" applyFont="1" applyAlignment="1">
      <alignment horizontal="center"/>
    </xf>
    <xf numFmtId="10" fontId="27" fillId="0" borderId="0" xfId="6" applyNumberFormat="1" applyFont="1" applyAlignment="1">
      <alignment horizontal="center"/>
    </xf>
    <xf numFmtId="10" fontId="2" fillId="0" borderId="8" xfId="6" applyNumberFormat="1" applyFont="1" applyBorder="1" applyAlignment="1">
      <alignment horizontal="center"/>
    </xf>
    <xf numFmtId="44" fontId="25" fillId="0" borderId="0" xfId="7" applyFont="1"/>
    <xf numFmtId="165" fontId="25" fillId="0" borderId="0" xfId="6" applyNumberFormat="1" applyFont="1"/>
    <xf numFmtId="166" fontId="25" fillId="0" borderId="0" xfId="7" applyNumberFormat="1" applyFont="1"/>
    <xf numFmtId="164" fontId="24" fillId="0" borderId="0" xfId="9" applyNumberFormat="1" applyFont="1" applyAlignment="1">
      <alignment horizontal="center"/>
    </xf>
    <xf numFmtId="44" fontId="24" fillId="0" borderId="0" xfId="7" applyFont="1" applyAlignment="1">
      <alignment horizontal="center"/>
    </xf>
    <xf numFmtId="37" fontId="28" fillId="0" borderId="0" xfId="4" applyNumberFormat="1" applyFont="1" applyAlignment="1">
      <alignment horizontal="center"/>
    </xf>
    <xf numFmtId="0" fontId="28" fillId="0" borderId="0" xfId="4" applyFont="1" applyAlignment="1">
      <alignment horizontal="center"/>
    </xf>
    <xf numFmtId="43" fontId="4" fillId="0" borderId="0" xfId="9" applyFont="1"/>
    <xf numFmtId="164" fontId="5" fillId="0" borderId="0" xfId="5" applyNumberFormat="1" applyFont="1" applyAlignment="1">
      <alignment horizontal="center"/>
    </xf>
    <xf numFmtId="10" fontId="4" fillId="0" borderId="0" xfId="6" applyNumberFormat="1" applyFont="1"/>
    <xf numFmtId="0" fontId="4" fillId="0" borderId="0" xfId="4"/>
    <xf numFmtId="44" fontId="4" fillId="0" borderId="0" xfId="7" applyFont="1"/>
    <xf numFmtId="164" fontId="2" fillId="0" borderId="0" xfId="9" applyNumberFormat="1" applyFont="1" applyAlignment="1">
      <alignment horizontal="center"/>
    </xf>
    <xf numFmtId="172" fontId="2" fillId="0" borderId="0" xfId="9" applyNumberFormat="1" applyFont="1" applyAlignment="1">
      <alignment horizontal="center"/>
    </xf>
    <xf numFmtId="44" fontId="2" fillId="0" borderId="0" xfId="7" applyFont="1" applyAlignment="1">
      <alignment horizontal="center"/>
    </xf>
    <xf numFmtId="166" fontId="2" fillId="0" borderId="0" xfId="7" applyNumberFormat="1" applyFont="1" applyAlignment="1">
      <alignment horizontal="center"/>
    </xf>
    <xf numFmtId="43" fontId="5" fillId="0" borderId="0" xfId="9" applyFont="1" applyAlignment="1">
      <alignment horizontal="center"/>
    </xf>
    <xf numFmtId="43" fontId="5" fillId="0" borderId="0" xfId="9" applyFont="1" applyBorder="1"/>
    <xf numFmtId="0" fontId="5" fillId="0" borderId="0" xfId="4" applyFont="1" applyAlignment="1">
      <alignment horizontal="center"/>
    </xf>
    <xf numFmtId="10" fontId="5" fillId="0" borderId="0" xfId="6" applyNumberFormat="1" applyFont="1" applyAlignment="1">
      <alignment horizontal="center"/>
    </xf>
    <xf numFmtId="0" fontId="5" fillId="0" borderId="0" xfId="4" applyFont="1"/>
    <xf numFmtId="44" fontId="5" fillId="0" borderId="0" xfId="7" applyFont="1"/>
    <xf numFmtId="164" fontId="25" fillId="0" borderId="0" xfId="9" applyNumberFormat="1" applyFont="1" applyAlignment="1">
      <alignment horizontal="center"/>
    </xf>
    <xf numFmtId="44" fontId="25" fillId="0" borderId="0" xfId="7" applyFont="1" applyAlignment="1">
      <alignment horizontal="center"/>
    </xf>
    <xf numFmtId="166" fontId="24" fillId="0" borderId="0" xfId="7" applyNumberFormat="1" applyFont="1" applyAlignment="1">
      <alignment horizontal="center"/>
    </xf>
    <xf numFmtId="0" fontId="29" fillId="0" borderId="0" xfId="4" applyFont="1" applyAlignment="1">
      <alignment horizontal="center"/>
    </xf>
    <xf numFmtId="43" fontId="5" fillId="0" borderId="1" xfId="9" applyFont="1" applyBorder="1" applyAlignment="1">
      <alignment horizontal="center"/>
    </xf>
    <xf numFmtId="164" fontId="5" fillId="0" borderId="1" xfId="5" applyNumberFormat="1" applyFont="1" applyBorder="1" applyAlignment="1">
      <alignment horizontal="center"/>
    </xf>
    <xf numFmtId="0" fontId="5" fillId="0" borderId="1" xfId="4" applyFont="1" applyBorder="1" applyAlignment="1">
      <alignment horizontal="right"/>
    </xf>
    <xf numFmtId="44" fontId="5" fillId="0" borderId="1" xfId="7" applyFont="1" applyBorder="1" applyAlignment="1">
      <alignment horizontal="right"/>
    </xf>
    <xf numFmtId="10" fontId="30" fillId="2" borderId="8" xfId="6" applyNumberFormat="1" applyFont="1" applyFill="1" applyBorder="1" applyAlignment="1">
      <alignment horizontal="center"/>
    </xf>
    <xf numFmtId="43" fontId="25" fillId="0" borderId="0" xfId="9" applyFont="1" applyAlignment="1">
      <alignment horizontal="center"/>
    </xf>
    <xf numFmtId="44" fontId="30" fillId="2" borderId="8" xfId="7" applyFont="1" applyFill="1" applyBorder="1" applyAlignment="1">
      <alignment horizontal="center"/>
    </xf>
    <xf numFmtId="164" fontId="0" fillId="0" borderId="0" xfId="9" applyNumberFormat="1" applyFont="1"/>
    <xf numFmtId="164" fontId="0" fillId="10" borderId="0" xfId="9" applyNumberFormat="1" applyFont="1" applyFill="1"/>
    <xf numFmtId="172" fontId="0" fillId="0" borderId="0" xfId="9" applyNumberFormat="1" applyFont="1"/>
    <xf numFmtId="44" fontId="0" fillId="0" borderId="0" xfId="7" applyFont="1"/>
    <xf numFmtId="166" fontId="7" fillId="0" borderId="0" xfId="7" applyNumberFormat="1" applyFont="1"/>
    <xf numFmtId="44" fontId="28" fillId="0" borderId="0" xfId="7" applyFont="1" applyBorder="1" applyProtection="1"/>
    <xf numFmtId="44" fontId="7" fillId="0" borderId="0" xfId="4" applyNumberFormat="1" applyFont="1"/>
    <xf numFmtId="166" fontId="7" fillId="0" borderId="0" xfId="4" applyNumberFormat="1" applyFont="1"/>
    <xf numFmtId="10" fontId="31" fillId="0" borderId="0" xfId="4" applyNumberFormat="1" applyFont="1"/>
    <xf numFmtId="43" fontId="7" fillId="0" borderId="0" xfId="9" applyFont="1" applyAlignment="1">
      <alignment horizontal="center"/>
    </xf>
    <xf numFmtId="43" fontId="7" fillId="0" borderId="0" xfId="9" applyFont="1"/>
    <xf numFmtId="164" fontId="7" fillId="0" borderId="0" xfId="5" applyNumberFormat="1" applyFont="1"/>
    <xf numFmtId="10" fontId="7" fillId="0" borderId="0" xfId="6" applyNumberFormat="1" applyFont="1"/>
    <xf numFmtId="44" fontId="7" fillId="0" borderId="0" xfId="7" applyFont="1"/>
    <xf numFmtId="166" fontId="0" fillId="0" borderId="0" xfId="7" applyNumberFormat="1" applyFont="1"/>
    <xf numFmtId="43" fontId="0" fillId="0" borderId="0" xfId="9" applyFont="1"/>
    <xf numFmtId="44" fontId="32" fillId="0" borderId="0" xfId="7" applyFont="1" applyBorder="1" applyProtection="1"/>
    <xf numFmtId="44" fontId="4" fillId="0" borderId="0" xfId="4" applyNumberFormat="1"/>
    <xf numFmtId="166" fontId="4" fillId="0" borderId="0" xfId="4" applyNumberFormat="1"/>
    <xf numFmtId="10" fontId="32" fillId="0" borderId="0" xfId="4" applyNumberFormat="1" applyFont="1"/>
    <xf numFmtId="43" fontId="4" fillId="0" borderId="0" xfId="9" applyFont="1" applyAlignment="1">
      <alignment horizontal="center"/>
    </xf>
    <xf numFmtId="164" fontId="4" fillId="0" borderId="0" xfId="5" applyNumberFormat="1" applyFont="1"/>
    <xf numFmtId="164" fontId="6" fillId="10" borderId="0" xfId="9" applyNumberFormat="1" applyFont="1" applyFill="1"/>
    <xf numFmtId="166" fontId="6" fillId="0" borderId="0" xfId="7" applyNumberFormat="1" applyFont="1"/>
    <xf numFmtId="166" fontId="6" fillId="0" borderId="0" xfId="4" applyNumberFormat="1" applyFont="1"/>
    <xf numFmtId="43" fontId="6" fillId="0" borderId="0" xfId="9" applyFont="1"/>
    <xf numFmtId="164" fontId="6" fillId="0" borderId="0" xfId="5" applyNumberFormat="1" applyFont="1"/>
    <xf numFmtId="164" fontId="6" fillId="0" borderId="0" xfId="9" applyNumberFormat="1" applyFont="1"/>
    <xf numFmtId="164" fontId="7" fillId="10" borderId="0" xfId="9" applyNumberFormat="1" applyFont="1" applyFill="1"/>
    <xf numFmtId="172" fontId="7" fillId="0" borderId="0" xfId="9" applyNumberFormat="1" applyFont="1"/>
    <xf numFmtId="164" fontId="7" fillId="0" borderId="0" xfId="9" applyNumberFormat="1" applyFont="1"/>
    <xf numFmtId="164" fontId="25" fillId="10" borderId="0" xfId="9" applyNumberFormat="1" applyFont="1" applyFill="1" applyAlignment="1">
      <alignment horizontal="center"/>
    </xf>
    <xf numFmtId="172" fontId="25" fillId="0" borderId="0" xfId="9" applyNumberFormat="1" applyFont="1" applyAlignment="1">
      <alignment horizontal="center"/>
    </xf>
    <xf numFmtId="166" fontId="25" fillId="0" borderId="0" xfId="7" applyNumberFormat="1" applyFont="1" applyAlignment="1">
      <alignment horizontal="center"/>
    </xf>
    <xf numFmtId="43" fontId="12" fillId="0" borderId="0" xfId="9" applyFont="1" applyAlignment="1">
      <alignment horizontal="center"/>
    </xf>
    <xf numFmtId="172" fontId="6" fillId="0" borderId="0" xfId="9" applyNumberFormat="1" applyFont="1"/>
    <xf numFmtId="10" fontId="33" fillId="0" borderId="0" xfId="4" applyNumberFormat="1" applyFont="1"/>
    <xf numFmtId="164" fontId="34" fillId="10" borderId="0" xfId="9" applyNumberFormat="1" applyFont="1" applyFill="1"/>
    <xf numFmtId="166" fontId="34" fillId="0" borderId="0" xfId="7" applyNumberFormat="1" applyFont="1"/>
    <xf numFmtId="43" fontId="34" fillId="0" borderId="0" xfId="9" applyFont="1"/>
    <xf numFmtId="164" fontId="34" fillId="0" borderId="0" xfId="9" applyNumberFormat="1" applyFont="1"/>
    <xf numFmtId="164" fontId="4" fillId="10" borderId="0" xfId="9" applyNumberFormat="1" applyFont="1" applyFill="1"/>
    <xf numFmtId="166" fontId="4" fillId="0" borderId="0" xfId="7" applyNumberFormat="1" applyFont="1"/>
    <xf numFmtId="44" fontId="31" fillId="0" borderId="0" xfId="7" applyFont="1" applyBorder="1" applyProtection="1"/>
    <xf numFmtId="0" fontId="35" fillId="0" borderId="0" xfId="4" applyFont="1" applyAlignment="1">
      <alignment horizontal="left"/>
    </xf>
    <xf numFmtId="0" fontId="22" fillId="0" borderId="0" xfId="15"/>
    <xf numFmtId="10" fontId="36" fillId="0" borderId="0" xfId="6" applyNumberFormat="1" applyFont="1" applyFill="1"/>
    <xf numFmtId="5" fontId="0" fillId="0" borderId="0" xfId="9" applyNumberFormat="1" applyFont="1"/>
    <xf numFmtId="164" fontId="4" fillId="0" borderId="0" xfId="9" applyNumberFormat="1" applyFont="1"/>
    <xf numFmtId="0" fontId="0" fillId="3" borderId="0" xfId="0" applyFont="1" applyFill="1" applyAlignment="1">
      <alignment horizontal="center"/>
    </xf>
    <xf numFmtId="0" fontId="0" fillId="0" borderId="0" xfId="0" applyFont="1" applyAlignment="1">
      <alignment horizontal="left"/>
    </xf>
    <xf numFmtId="0" fontId="2" fillId="3" borderId="1" xfId="0" applyFont="1" applyFill="1" applyBorder="1" applyAlignment="1">
      <alignment horizontal="center"/>
    </xf>
    <xf numFmtId="0" fontId="18" fillId="3" borderId="0" xfId="0" applyFont="1" applyFill="1" applyBorder="1" applyAlignment="1">
      <alignment horizontal="center"/>
    </xf>
    <xf numFmtId="0" fontId="18" fillId="0" borderId="4" xfId="0" applyFont="1" applyFill="1" applyBorder="1" applyAlignment="1">
      <alignment horizontal="center" vertical="center" textRotation="90"/>
    </xf>
    <xf numFmtId="0" fontId="18" fillId="0" borderId="5" xfId="0" applyFont="1" applyFill="1" applyBorder="1" applyAlignment="1">
      <alignment horizontal="center" vertical="center" textRotation="90"/>
    </xf>
    <xf numFmtId="0" fontId="18" fillId="0" borderId="7" xfId="0" applyFont="1" applyFill="1" applyBorder="1" applyAlignment="1">
      <alignment horizontal="center" vertical="center" textRotation="90"/>
    </xf>
    <xf numFmtId="0" fontId="18" fillId="0" borderId="6" xfId="0" applyFont="1" applyFill="1" applyBorder="1" applyAlignment="1">
      <alignment horizontal="center" vertical="center" textRotation="90"/>
    </xf>
    <xf numFmtId="0" fontId="18" fillId="0" borderId="0" xfId="0" applyFont="1" applyFill="1" applyBorder="1" applyAlignment="1">
      <alignment horizontal="center" vertical="center" textRotation="90"/>
    </xf>
    <xf numFmtId="0" fontId="18" fillId="0" borderId="2" xfId="0" applyFont="1" applyFill="1" applyBorder="1" applyAlignment="1">
      <alignment horizontal="center" vertical="center" textRotation="90"/>
    </xf>
    <xf numFmtId="0" fontId="18" fillId="0" borderId="3" xfId="0" applyFont="1" applyFill="1" applyBorder="1" applyAlignment="1">
      <alignment horizontal="center" vertical="center" textRotation="90"/>
    </xf>
    <xf numFmtId="0" fontId="23" fillId="0" borderId="0" xfId="15" applyFont="1" applyAlignment="1">
      <alignment horizontal="center"/>
    </xf>
  </cellXfs>
  <cellStyles count="16">
    <cellStyle name="Comma" xfId="1" builtinId="3"/>
    <cellStyle name="Comma 10" xfId="9" xr:uid="{00000000-0005-0000-0000-000001000000}"/>
    <cellStyle name="Comma 2 6 2 2" xfId="5" xr:uid="{00000000-0005-0000-0000-000002000000}"/>
    <cellStyle name="Comma 20" xfId="14" xr:uid="{00000000-0005-0000-0000-000003000000}"/>
    <cellStyle name="Currency" xfId="2" builtinId="4"/>
    <cellStyle name="Currency 2 6 2 2" xfId="7" xr:uid="{00000000-0005-0000-0000-000005000000}"/>
    <cellStyle name="Normal" xfId="0" builtinId="0"/>
    <cellStyle name="Normal 10 2" xfId="4" xr:uid="{00000000-0005-0000-0000-000007000000}"/>
    <cellStyle name="Normal 2" xfId="15" xr:uid="{421C3F66-729B-488F-9472-A07B64525984}"/>
    <cellStyle name="Normal 84 2" xfId="11" xr:uid="{00000000-0005-0000-0000-000008000000}"/>
    <cellStyle name="Normal 87" xfId="13" xr:uid="{00000000-0005-0000-0000-000009000000}"/>
    <cellStyle name="Normal 9 4" xfId="8" xr:uid="{00000000-0005-0000-0000-00000A000000}"/>
    <cellStyle name="Normal 90" xfId="12" xr:uid="{00000000-0005-0000-0000-00000B000000}"/>
    <cellStyle name="Normal_Price out" xfId="10" xr:uid="{00000000-0005-0000-0000-00000C000000}"/>
    <cellStyle name="Percent" xfId="3" builtinId="5"/>
    <cellStyle name="Percent 2 6 2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TIL\TRANS\Waste%20Management%20-%20Filings\Ellensburg\Year%202009\TG-091472%20(GRC)\Staff\TG-091472%20WM%20of%20Ellensburg%20(Workpap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GAGEH1G0\TG-151382%20North%20Sound%20-%20Marysville%20staff%20fully%20adjusted%2008%2014%20%202015_maw%20review.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kirk03fps01\ACCT\Balance%20Sheet%20Reviews\2013\12-2013\BS%20Review%20Master%20Recon%20Template%20Q4%20Dec%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weinst\AppData\Local\Microsoft\Windows\Temporary%20Internet%20Files\Content.Outlook\W72H13OX\New%20folder\UTC%20Rate%20Filings\Redacted%20Workpapers\Rate%20Case%20Workpapers_0224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weinst\AppData\Local\Microsoft\Windows\Temporary%20Internet%20Files\Content.Outlook\W72H13OX\Asset%20Net%20Book%20Value%20%20-%200268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815\2013\December\Asset%20Net%20Book%20Value%20%20-%20018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sers\mweinst\AppData\Local\Microsoft\Windows\Temporary%20Internet%20Files\Content.Outlook\W72H13OX\BU%2002677%20Alternative%20Fuel%20Data%20Request%20-%20State%20Informa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_COMP\Rosario\2007%20rate%20case\Worksheets\070944%20Loan%20Recalcul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rito 25 bpi"/>
      <sheetName val="Res'l Priceout"/>
      <sheetName val="Com'l Priceout"/>
      <sheetName val="Roll Off Priceout"/>
      <sheetName val="Roll Off Productivity"/>
      <sheetName val="Balance Sheet"/>
      <sheetName val="Monthly IS"/>
      <sheetName val="TB -LOB"/>
      <sheetName val="Comm'l TB-120"/>
      <sheetName val="Com'l Rec. TB-160"/>
      <sheetName val="Resi TB-190"/>
      <sheetName val="230 &amp; 220"/>
      <sheetName val="YW TB-220"/>
      <sheetName val="RO TB-260"/>
      <sheetName val="Industrial LOB"/>
      <sheetName val="TS TB-300"/>
      <sheetName val="POL TB-750"/>
      <sheetName val="Revenue Reconciliation"/>
      <sheetName val="Billed Revenue Summary"/>
      <sheetName val="Disposal Summary"/>
      <sheetName val="Payroll Register"/>
      <sheetName val="DEPN"/>
      <sheetName val="Fixed Asset Summary"/>
      <sheetName val="Fixed Asset Detail"/>
      <sheetName val="Fuel"/>
      <sheetName val="WTB"/>
      <sheetName val="OH Analysis"/>
      <sheetName val="Corp. Office OH"/>
      <sheetName val="MA Office OH"/>
      <sheetName val="MA Stats"/>
      <sheetName val="2008 West Group IS"/>
      <sheetName val="2008 Group Office TB"/>
      <sheetName val="2008 Group Office IS"/>
      <sheetName val="70000"/>
      <sheetName val="502500"/>
      <sheetName val="509000"/>
      <sheetName val="509500"/>
      <sheetName val="570800"/>
      <sheetName val="518000"/>
      <sheetName val="568100"/>
      <sheetName val="678000"/>
    </sheetNames>
    <sheetDataSet>
      <sheetData sheetId="0"/>
      <sheetData sheetId="1"/>
      <sheetData sheetId="2"/>
      <sheetData sheetId="3"/>
      <sheetData sheetId="4"/>
      <sheetData sheetId="5">
        <row r="8">
          <cell r="AD8" t="str">
            <v>#N/A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Waste Management of Ellensburg</v>
          </cell>
        </row>
      </sheetData>
      <sheetData sheetId="23"/>
      <sheetData sheetId="24"/>
      <sheetData sheetId="25">
        <row r="4">
          <cell r="DE4" t="str">
            <v>01815</v>
          </cell>
        </row>
      </sheetData>
      <sheetData sheetId="26"/>
      <sheetData sheetId="27"/>
      <sheetData sheetId="28"/>
      <sheetData sheetId="29"/>
      <sheetData sheetId="30">
        <row r="4">
          <cell r="AK4" t="str">
            <v>G00006</v>
          </cell>
        </row>
        <row r="5">
          <cell r="AI5" t="str">
            <v>12</v>
          </cell>
          <cell r="AJ5" t="str">
            <v>Error</v>
          </cell>
          <cell r="AK5" t="str">
            <v>Western</v>
          </cell>
        </row>
        <row r="9">
          <cell r="AM9" t="str">
            <v>USD</v>
          </cell>
        </row>
      </sheetData>
      <sheetData sheetId="31"/>
      <sheetData sheetId="32">
        <row r="4">
          <cell r="AK4" t="str">
            <v>01500</v>
          </cell>
        </row>
        <row r="5">
          <cell r="AI5" t="str">
            <v>12</v>
          </cell>
          <cell r="AJ5" t="str">
            <v>Western Area Office</v>
          </cell>
          <cell r="AK5" t="str">
            <v>01500</v>
          </cell>
        </row>
        <row r="9">
          <cell r="AM9" t="str">
            <v>USD</v>
          </cell>
        </row>
      </sheetData>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Legend"/>
      <sheetName val="Checklist"/>
      <sheetName val="Inputs"/>
      <sheetName val="WTB"/>
      <sheetName val="Com'l Garbage"/>
      <sheetName val="Com'l Recycling"/>
      <sheetName val="Res'l Garbage"/>
      <sheetName val="Res'l Yard Waste"/>
      <sheetName val="Roll Off"/>
      <sheetName val="Monthly IS"/>
      <sheetName val="Summary of Restating Adj."/>
      <sheetName val="Summary of Pro Forma Adj."/>
      <sheetName val="Staff Reve Recon"/>
      <sheetName val="Com'l Priceout"/>
      <sheetName val="Res'l Priceout"/>
      <sheetName val="Res'l Recycling"/>
      <sheetName val="Recycling Processing Summary"/>
      <sheetName val="Roll Off Priceout"/>
      <sheetName val="Add'l Cart Price"/>
      <sheetName val="LG - Total"/>
      <sheetName val="LG - Garbage"/>
      <sheetName val="LG - Recycling"/>
      <sheetName val="LG - YW"/>
      <sheetName val="LG - Res'l Garb"/>
      <sheetName val="LG - Com'l Garbage Garb"/>
      <sheetName val="LG - Roll Off Garb"/>
      <sheetName val="Revenue Summary"/>
      <sheetName val="MF Revenue"/>
      <sheetName val="2014 Truck Purchases"/>
      <sheetName val="Staff DEPN w CNG"/>
      <sheetName val="Fixed Asset Reconciliation"/>
      <sheetName val="Co Fixed Asset Recon"/>
      <sheetName val="Detailed FA"/>
      <sheetName val="Balance Sheet"/>
      <sheetName val="Additions"/>
      <sheetName val="Bothell Gain TG-130938"/>
      <sheetName val="Amort. of Retire (gain) loss"/>
      <sheetName val="Retirements"/>
      <sheetName val="Transfers"/>
      <sheetName val="CIP"/>
      <sheetName val="Summary of Cost Allocators"/>
      <sheetName val="Commercial Garbage"/>
      <sheetName val="RO Hauls Summary"/>
      <sheetName val="Commercial Recycling"/>
      <sheetName val="Residential Garbage"/>
      <sheetName val="Residential Recycling"/>
      <sheetName val="Residential Yard Waste"/>
      <sheetName val="Route Density Data"/>
      <sheetName val="Disposal Summary"/>
      <sheetName val="Com'l FL"/>
      <sheetName val="Res'l RL"/>
      <sheetName val="Res'l YW"/>
      <sheetName val="Resi SL Rec."/>
      <sheetName val="RollOff"/>
      <sheetName val="CRC Fastlane "/>
      <sheetName val="YW processing Summary"/>
      <sheetName val="Disposal to Other Fac. 500800"/>
      <sheetName val="Municipal Franchise Fees"/>
      <sheetName val="509500 V"/>
      <sheetName val="Wage Rates"/>
      <sheetName val="H &amp; W"/>
      <sheetName val="Payroll Reconciliation"/>
      <sheetName val="Payroll Register"/>
      <sheetName val="STAFF Payroll Register"/>
      <sheetName val="Payroll Detail"/>
      <sheetName val="Overhead Summary"/>
      <sheetName val="Area Expenses by Dept."/>
      <sheetName val="Allocation of CDC"/>
      <sheetName val="PNW - Call Center Cost"/>
      <sheetName val="Corporate Allowable Cost"/>
      <sheetName val="Total OH by Dept."/>
      <sheetName val="Hours &amp; Services"/>
      <sheetName val="Revenue"/>
      <sheetName val="Total Operating Cost"/>
      <sheetName val="Head Count"/>
      <sheetName val="Northern Tier"/>
      <sheetName val="Corp. &amp; North Tier IS"/>
      <sheetName val="Pacific NW MA IS"/>
      <sheetName val="Container Shop Allocation"/>
      <sheetName val="Staff Diesel and Gas Adjustment"/>
      <sheetName val="Staff - CNG Adjustment"/>
      <sheetName val="Staff - Fuel Purchases"/>
      <sheetName val="Staff - CNG 2014-2015"/>
      <sheetName val="Fuel Purchases"/>
      <sheetName val="WRRA Fees"/>
      <sheetName val="MRF ROR Analysis"/>
      <sheetName val="CRC IS"/>
      <sheetName val="Staff - MRF ROR Analysis"/>
      <sheetName val="Staff - CRC IS"/>
      <sheetName val="Bad Debt Analysis"/>
      <sheetName val="Rent - 531200"/>
      <sheetName val="Rent Analysis"/>
      <sheetName val="WC Claims"/>
      <sheetName val="Staff Review Acct 518200"/>
      <sheetName val="Staff Misc Exp"/>
    </sheetNames>
    <sheetDataSet>
      <sheetData sheetId="0" refreshError="1"/>
      <sheetData sheetId="1" refreshError="1"/>
      <sheetData sheetId="2">
        <row r="6">
          <cell r="B6" t="str">
            <v>North Sound</v>
          </cell>
        </row>
        <row r="7">
          <cell r="B7" t="str">
            <v>Marysville</v>
          </cell>
        </row>
      </sheetData>
      <sheetData sheetId="3">
        <row r="13">
          <cell r="Q13">
            <v>12454662.619999893</v>
          </cell>
        </row>
        <row r="14">
          <cell r="Q14">
            <v>541315.12999999954</v>
          </cell>
        </row>
      </sheetData>
      <sheetData sheetId="4">
        <row r="13">
          <cell r="R13">
            <v>12454662.619999893</v>
          </cell>
        </row>
        <row r="14">
          <cell r="R14">
            <v>541315.12999999954</v>
          </cell>
        </row>
        <row r="78">
          <cell r="R78">
            <v>5555722.3749064272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14">
          <cell r="H14">
            <v>3.8199999999999998E-2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8">
          <cell r="AD8" t="e">
            <v>#N/A</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_0029"/>
      <sheetName val="BU_0043"/>
      <sheetName val="00599"/>
      <sheetName val="BU_602"/>
      <sheetName val="BU_0621"/>
      <sheetName val="BU_0634"/>
      <sheetName val="BU_0708"/>
      <sheetName val="BU_01048"/>
      <sheetName val="01055"/>
      <sheetName val="BU_01391"/>
      <sheetName val="1509"/>
      <sheetName val="01514"/>
      <sheetName val="1515"/>
      <sheetName val="BU_1516"/>
      <sheetName val="BU_1518"/>
      <sheetName val="01569"/>
      <sheetName val="BU_01574"/>
      <sheetName val="01588"/>
      <sheetName val="01805"/>
      <sheetName val="BU_01807"/>
      <sheetName val="01808"/>
      <sheetName val="BU_1809"/>
      <sheetName val="1815"/>
      <sheetName val="BU 1819"/>
      <sheetName val="BU_1826"/>
      <sheetName val="BU_01827"/>
      <sheetName val="BU_01960"/>
      <sheetName val="BU_01961"/>
      <sheetName val="BU 1981"/>
      <sheetName val="BU 1982"/>
      <sheetName val="BU 1983"/>
      <sheetName val="BU 2236"/>
      <sheetName val="BU_2565"/>
      <sheetName val="BU_02588"/>
      <sheetName val="BU_02590"/>
      <sheetName val="BU_02674"/>
      <sheetName val="BU 2677"/>
      <sheetName val="BU 2679"/>
      <sheetName val="BU 2681"/>
      <sheetName val="BU 2804"/>
      <sheetName val="BU 2882"/>
      <sheetName val="BU 2883"/>
      <sheetName val="BU 2904"/>
      <sheetName val="BU 2909"/>
      <sheetName val="02947"/>
      <sheetName val="02948"/>
      <sheetName val="02958"/>
      <sheetName val="BU_02968"/>
      <sheetName val="02989"/>
      <sheetName val="02997"/>
      <sheetName val="BU_4959"/>
      <sheetName val="BU_4968"/>
      <sheetName val="BU_4973"/>
      <sheetName val="BU_4975"/>
      <sheetName val="BU_Lookup_TBL"/>
      <sheetName val="essbase"/>
      <sheetName val="Sheet1"/>
      <sheetName val="BS Review Master Recon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A2" t="str">
            <v>K00104 Administrative Offices-Western</v>
          </cell>
          <cell r="B2" t="str">
            <v>00535 Glenn County Disposal</v>
          </cell>
          <cell r="C2" t="str">
            <v>00577 Wastech</v>
          </cell>
          <cell r="D2" t="str">
            <v>01159 Sparks Sanitation Co.</v>
          </cell>
          <cell r="E2" t="str">
            <v>01162 Independent Sanitation Co.</v>
          </cell>
          <cell r="F2" t="str">
            <v>01341 El Dorado Disposal</v>
          </cell>
          <cell r="G2" t="str">
            <v>01500 Western Area Office</v>
          </cell>
          <cell r="H2" t="str">
            <v>01820 Empire Recycling</v>
          </cell>
          <cell r="I2" t="str">
            <v>01865 WM of Utah MA Office</v>
          </cell>
          <cell r="J2" t="str">
            <v>01917 WM of Hawaii MA Office</v>
          </cell>
          <cell r="K2" t="str">
            <v>01924 WM Riverside MA Office</v>
          </cell>
          <cell r="L2" t="str">
            <v>01950 Moor Refuse</v>
          </cell>
          <cell r="M2" t="str">
            <v>01972 EL Dorado MRF</v>
          </cell>
          <cell r="N2" t="str">
            <v>02449 West MRF Office</v>
          </cell>
          <cell r="O2" t="str">
            <v>02556 WM Santa Cruz</v>
          </cell>
          <cell r="P2" t="str">
            <v>02638 Vernon</v>
          </cell>
          <cell r="Q2" t="str">
            <v>02689 Santa Clarita MRF</v>
          </cell>
          <cell r="R2" t="str">
            <v>02798 Southwest Call Center</v>
          </cell>
          <cell r="S2" t="str">
            <v>02858 Western Group Sales</v>
          </cell>
          <cell r="T2" t="str">
            <v>02903 Grand Junction MRF</v>
          </cell>
          <cell r="U2" t="str">
            <v>02512 WM Pueblo</v>
          </cell>
          <cell r="V2" t="str">
            <v>02514 Denver North</v>
          </cell>
          <cell r="W2" t="str">
            <v>02516 Buffalo Ridge LF</v>
          </cell>
          <cell r="X2" t="str">
            <v>02517 Divide TS and Hauling</v>
          </cell>
          <cell r="Y2" t="str">
            <v>02520 WM Salida</v>
          </cell>
          <cell r="Z2" t="str">
            <v>02521 WM Monte Vista</v>
          </cell>
          <cell r="AA2" t="str">
            <v>02524 WM Vail</v>
          </cell>
          <cell r="AB2" t="str">
            <v>02528 Colorado Springs</v>
          </cell>
          <cell r="AC2" t="str">
            <v>02534 Northern Colorado</v>
          </cell>
          <cell r="AD2" t="str">
            <v>02535 WM of Steamboat Springs</v>
          </cell>
          <cell r="AE2" t="str">
            <v>02611 Greeley Transfer Station</v>
          </cell>
          <cell r="AF2" t="str">
            <v>02903 Grand Junction MRF</v>
          </cell>
          <cell r="AG2" t="str">
            <v>02803 Frac Tank Leasing - Colorado</v>
          </cell>
          <cell r="AH2"/>
          <cell r="AI2"/>
          <cell r="AJ2"/>
          <cell r="AK2"/>
          <cell r="AL2"/>
          <cell r="AM2"/>
          <cell r="AN2"/>
          <cell r="AO2"/>
          <cell r="AP2"/>
          <cell r="AQ2"/>
          <cell r="AR2"/>
          <cell r="AS2"/>
          <cell r="AT2"/>
          <cell r="AU2"/>
          <cell r="AV2"/>
          <cell r="AW2"/>
          <cell r="AX2"/>
          <cell r="AY2"/>
          <cell r="AZ2"/>
          <cell r="BA2"/>
          <cell r="BB2"/>
          <cell r="BC2"/>
          <cell r="BD2"/>
          <cell r="BE2"/>
          <cell r="BF2"/>
          <cell r="BG2"/>
          <cell r="BH2"/>
          <cell r="BI2"/>
          <cell r="BJ2"/>
          <cell r="BK2"/>
          <cell r="BL2"/>
          <cell r="BM2"/>
        </row>
        <row r="3">
          <cell r="A3" t="str">
            <v>K00125 WM of Colorado Utah</v>
          </cell>
          <cell r="B3" t="str">
            <v>00178 Denver South</v>
          </cell>
          <cell r="C3" t="str">
            <v>00305 Colorado Springs Transfer Stat</v>
          </cell>
          <cell r="D3" t="str">
            <v>00306 DADS Landfill</v>
          </cell>
          <cell r="E3" t="str">
            <v>00307 Midway Landfill</v>
          </cell>
          <cell r="F3" t="str">
            <v>00308 North Weld Landfill</v>
          </cell>
          <cell r="G3" t="str">
            <v>00309 Colorado Springs MRF</v>
          </cell>
          <cell r="H3" t="str">
            <v>00310 Larimer County MRF</v>
          </cell>
          <cell r="I3" t="str">
            <v>00311 Northeast Colorado</v>
          </cell>
          <cell r="J3" t="str">
            <v>00561 Estes Park</v>
          </cell>
          <cell r="K3" t="str">
            <v>00576 Grand Junction</v>
          </cell>
          <cell r="L3" t="str">
            <v>00580 Montrose Landfill</v>
          </cell>
          <cell r="M3" t="str">
            <v>00581 Montrose Telluride</v>
          </cell>
          <cell r="N3" t="str">
            <v>00585 WM of Utah West Jordan</v>
          </cell>
          <cell r="O3" t="str">
            <v>00590 Mountainview Landfill - Utah</v>
          </cell>
          <cell r="P3" t="str">
            <v>01021 Salt Lake MRF</v>
          </cell>
          <cell r="Q3" t="str">
            <v>01087 WM Crested Butte</v>
          </cell>
          <cell r="R3" t="str">
            <v>01185 WM Carbondale Glenwood Springs</v>
          </cell>
          <cell r="S3" t="str">
            <v>01190 Silverthorne</v>
          </cell>
          <cell r="T3" t="str">
            <v>01195 Hot Sulfur Springs</v>
          </cell>
          <cell r="U3" t="str">
            <v>01528 Conservation Services Landfill</v>
          </cell>
          <cell r="V3" t="str">
            <v>01554 D and R Transfer Station</v>
          </cell>
          <cell r="W3" t="str">
            <v>01585 South Metro Transfer Station</v>
          </cell>
          <cell r="X3" t="str">
            <v>02064 WM of Colorado Utah Area Offic</v>
          </cell>
          <cell r="Y3" t="str">
            <v>02065 Denver - Franklin St MRF</v>
          </cell>
          <cell r="Z3" t="str">
            <v>02511 Colorado Springs Landfill</v>
          </cell>
          <cell r="AA3" t="str">
            <v>02512 WM Pueblo</v>
          </cell>
          <cell r="AB3" t="str">
            <v>02514 Denver North</v>
          </cell>
          <cell r="AC3" t="str">
            <v>02516 Buffalo Ridge LF</v>
          </cell>
          <cell r="AD3" t="str">
            <v>02517 Divide TS and Hauling</v>
          </cell>
          <cell r="AE3" t="str">
            <v>02520 WM Salida</v>
          </cell>
          <cell r="AF3" t="str">
            <v>02521 WM Monte Vista</v>
          </cell>
          <cell r="AG3" t="str">
            <v>02524 Vail Gypsum</v>
          </cell>
          <cell r="AH3" t="str">
            <v>02528 Colorado Springs</v>
          </cell>
          <cell r="AI3" t="str">
            <v>02534 Northern Colorado</v>
          </cell>
          <cell r="AJ3" t="str">
            <v>02535 WM of Steamboat Springs</v>
          </cell>
          <cell r="AK3" t="str">
            <v>02629 Denver - 48th Ave MRF</v>
          </cell>
          <cell r="AL3" t="str">
            <v>02682 WM of Utah - Ogden</v>
          </cell>
          <cell r="AM3" t="str">
            <v>02683 WM of Utah - Orem</v>
          </cell>
          <cell r="AN3" t="str">
            <v>02768 Salt Lake C&amp;D Transfer Station</v>
          </cell>
          <cell r="AO3" t="str">
            <v>02769 Tekoi Landfill</v>
          </cell>
          <cell r="AP3" t="str">
            <v>02770 Salt Lake MSW Transfer Station</v>
          </cell>
          <cell r="AQ3" t="str">
            <v>02803 Frac Tank Leasing - Colorado</v>
          </cell>
          <cell r="AR3"/>
          <cell r="AS3"/>
          <cell r="AT3"/>
          <cell r="AU3"/>
          <cell r="AV3"/>
          <cell r="AW3"/>
          <cell r="AX3"/>
          <cell r="AY3"/>
          <cell r="AZ3"/>
          <cell r="BA3"/>
          <cell r="BB3"/>
          <cell r="BC3"/>
          <cell r="BD3"/>
          <cell r="BE3"/>
          <cell r="BF3"/>
          <cell r="BG3"/>
          <cell r="BH3"/>
          <cell r="BI3"/>
          <cell r="BJ3"/>
          <cell r="BK3"/>
          <cell r="BL3"/>
          <cell r="BM3"/>
        </row>
        <row r="4">
          <cell r="A4" t="str">
            <v>K00133 WM of Pacific Northwest BC</v>
          </cell>
          <cell r="B4" t="str">
            <v>00029 Brem Air Disposal</v>
          </cell>
          <cell r="C4" t="str">
            <v>00043 WM of Skagit</v>
          </cell>
          <cell r="D4" t="str">
            <v>00599 Capitol Disposal</v>
          </cell>
          <cell r="E4" t="str">
            <v>00602 Vancouver Hauling</v>
          </cell>
          <cell r="F4" t="str">
            <v>00621 Vancouver Island</v>
          </cell>
          <cell r="G4" t="str">
            <v>00622 Prince George Hauling</v>
          </cell>
          <cell r="H4" t="str">
            <v>00634 Interior British Columbia</v>
          </cell>
          <cell r="I4" t="str">
            <v>00708 PNW MA Office-British Columbia</v>
          </cell>
          <cell r="J4" t="str">
            <v>01048 Greater Wenatchee Regional LF</v>
          </cell>
          <cell r="K4" t="str">
            <v>01055 WM South Sound</v>
          </cell>
          <cell r="L4" t="str">
            <v>01391 Eastmont Transfer Station</v>
          </cell>
          <cell r="M4" t="str">
            <v>01509 Riverbend Landfill</v>
          </cell>
          <cell r="N4" t="str">
            <v>01514 Columbia County Hauling</v>
          </cell>
          <cell r="O4" t="str">
            <v>01515 Hillsboro Landfill</v>
          </cell>
          <cell r="P4" t="str">
            <v>01516 Tualatin Valley Waste Recovery</v>
          </cell>
          <cell r="Q4" t="str">
            <v>01518 Graham Road Landfill</v>
          </cell>
          <cell r="R4" t="str">
            <v>01569 Klamath Falls</v>
          </cell>
          <cell r="S4" t="str">
            <v>01574 Waste Management of Oregon</v>
          </cell>
          <cell r="T4" t="str">
            <v>01588 WM of Oregon-Washington County</v>
          </cell>
          <cell r="U4" t="str">
            <v>01805 Peninsula PA Recycling</v>
          </cell>
          <cell r="V4" t="str">
            <v>01807 Ellensburg Recycling</v>
          </cell>
          <cell r="W4" t="str">
            <v>01808 Cascade Recycling Center</v>
          </cell>
          <cell r="X4" t="str">
            <v>01809 RNW Auburn Recycling</v>
          </cell>
          <cell r="Y4" t="str">
            <v>01815 WM of Ellensburg</v>
          </cell>
          <cell r="Z4" t="str">
            <v>01819 Waste Management of Kennewick</v>
          </cell>
          <cell r="AA4" t="str">
            <v>01826 WM of Coeur dAlene</v>
          </cell>
          <cell r="AB4" t="str">
            <v>01827 Waste Management of Sandpoint</v>
          </cell>
          <cell r="AC4" t="str">
            <v>01913 WM of Alaska MA Office</v>
          </cell>
          <cell r="AD4" t="str">
            <v>01960 Kittitas Transfer Station</v>
          </cell>
          <cell r="AE4" t="str">
            <v>01961 Wenatchee Transfer Station</v>
          </cell>
          <cell r="AF4" t="str">
            <v>01981 Columbia County Transfer Stn</v>
          </cell>
          <cell r="AG4" t="str">
            <v>01982 Troutdale Transfer Station</v>
          </cell>
          <cell r="AH4" t="str">
            <v>01983 Forest Grove Transfer Station</v>
          </cell>
          <cell r="AI4" t="str">
            <v>02236 Chem Waste Arlington</v>
          </cell>
          <cell r="AJ4" t="str">
            <v>02372 Columbia Ridge WMWA</v>
          </cell>
          <cell r="AK4" t="str">
            <v>02565 WM - Seattle</v>
          </cell>
          <cell r="AL4" t="str">
            <v>02588 Columbia Ridge Landfill</v>
          </cell>
          <cell r="AM4" t="str">
            <v>02590 WM of Pacific Northwest BC</v>
          </cell>
          <cell r="AN4" t="str">
            <v>02674 WM of Wenatchee</v>
          </cell>
          <cell r="AO4" t="str">
            <v>02677 WM North Sound</v>
          </cell>
          <cell r="AP4" t="str">
            <v>02679 WM SnoKing</v>
          </cell>
          <cell r="AQ4" t="str">
            <v>02681 WM of Spokane</v>
          </cell>
          <cell r="AR4" t="str">
            <v>02804 Frac Tank Rental - Washington</v>
          </cell>
          <cell r="AS4" t="str">
            <v>02882 Newberg Hauling</v>
          </cell>
          <cell r="AT4" t="str">
            <v>02883 Newberg Transfer and MRF</v>
          </cell>
          <cell r="AU4" t="str">
            <v>02904 Kennewick Transfer Station</v>
          </cell>
          <cell r="AV4" t="str">
            <v>02909 Olympic View Transfer Station</v>
          </cell>
          <cell r="AW4" t="str">
            <v>02947 WM Healthcare Hauling</v>
          </cell>
          <cell r="AX4" t="str">
            <v>02948 WM Healthcare Processing</v>
          </cell>
          <cell r="AY4" t="str">
            <v>02958 WM Glacier Processing and Rcov</v>
          </cell>
          <cell r="AZ4" t="str">
            <v>02968 Spokane Material &amp; Recycling T</v>
          </cell>
          <cell r="BA4" t="str">
            <v>02989 WM Oregon Healthcare Solutions</v>
          </cell>
          <cell r="BB4" t="str">
            <v>02997 WM Idaho Healthcare Solutions</v>
          </cell>
          <cell r="BC4" t="str">
            <v>04959 JMK Fibers</v>
          </cell>
          <cell r="BD4" t="str">
            <v>04968 WM of Marysville</v>
          </cell>
          <cell r="BE4" t="str">
            <v>04973 Spokane Recycling Products</v>
          </cell>
          <cell r="BF4" t="str">
            <v>04974 Waste Paper Services Inc</v>
          </cell>
          <cell r="BG4" t="str">
            <v>04975 Bluebird Recycling Inc</v>
          </cell>
          <cell r="BH4"/>
          <cell r="BI4"/>
          <cell r="BJ4"/>
          <cell r="BK4"/>
          <cell r="BL4"/>
          <cell r="BM4"/>
        </row>
        <row r="5">
          <cell r="A5" t="str">
            <v>K00144 WM of Los Angeles</v>
          </cell>
          <cell r="B5" t="str">
            <v>00149 BDC Big Disposal</v>
          </cell>
          <cell r="C5" t="str">
            <v>00156 Sun Valley Hauling</v>
          </cell>
          <cell r="D5" t="str">
            <v>00159 LA Metro Hauling</v>
          </cell>
          <cell r="E5" t="str">
            <v>00160 Santa Clarita Hauling Blue Bar</v>
          </cell>
          <cell r="F5" t="str">
            <v>00161 Inland Empire Hauling</v>
          </cell>
          <cell r="G5" t="str">
            <v>00165 Fresno Hauling</v>
          </cell>
          <cell r="H5" t="str">
            <v>00166 El Sobrante Landfill</v>
          </cell>
          <cell r="I5" t="str">
            <v>00169 Carson Transfer Station</v>
          </cell>
          <cell r="J5" t="str">
            <v>00171 Fresno Transfer Station</v>
          </cell>
          <cell r="K5" t="str">
            <v>00272 Azusa Landfill</v>
          </cell>
          <cell r="L5" t="str">
            <v>00283 GI Industries</v>
          </cell>
          <cell r="M5" t="str">
            <v>01075 Waste Transfer and Recycling</v>
          </cell>
          <cell r="N5" t="str">
            <v>01082 Health Sanitation Services</v>
          </cell>
          <cell r="O5" t="str">
            <v>01093 Palmdale Landfill</v>
          </cell>
          <cell r="P5" t="str">
            <v>01369 Atascadero Waste Alternatives</v>
          </cell>
          <cell r="Q5" t="str">
            <v>01503 McKittrick Waste Landfill</v>
          </cell>
          <cell r="R5" t="str">
            <v>01506 Nu Way Live Oak Landfill</v>
          </cell>
          <cell r="S5" t="str">
            <v>01517 Kauai Landfill</v>
          </cell>
          <cell r="T5" t="str">
            <v>01769 Tulare County MRF</v>
          </cell>
          <cell r="U5" t="str">
            <v>01773 West HI Sanitary Landfill</v>
          </cell>
          <cell r="V5" t="str">
            <v>01814 HSS Recycling</v>
          </cell>
          <cell r="W5" t="str">
            <v>01926 WM of Ventura MA Office</v>
          </cell>
          <cell r="X5" t="str">
            <v>02054 Blue Barrel - Arklin Brothers</v>
          </cell>
          <cell r="Y5" t="str">
            <v>02060 Lancaster Landfill</v>
          </cell>
          <cell r="Z5" t="str">
            <v>02063 Arklin Brothers Hauling</v>
          </cell>
          <cell r="AA5" t="str">
            <v>02078 Sun Valley - USA Waste</v>
          </cell>
          <cell r="AB5" t="str">
            <v>02180 WM of Los Angeles Area Office</v>
          </cell>
          <cell r="AC5" t="str">
            <v>02246 WM of Central Valley -Kettlema</v>
          </cell>
          <cell r="AD5" t="str">
            <v>02359 GI Industries USACA</v>
          </cell>
          <cell r="AE5" t="str">
            <v>02366 San Gabriel USACA</v>
          </cell>
          <cell r="AF5" t="str">
            <v>02371 Moreno Valley WMCR</v>
          </cell>
          <cell r="AG5" t="str">
            <v>02508 Antelope Valley Hauling</v>
          </cell>
          <cell r="AH5" t="str">
            <v>02510 Simi Valley Landfill</v>
          </cell>
          <cell r="AI5" t="str">
            <v>02519 WM San Gabriel</v>
          </cell>
          <cell r="AJ5" t="str">
            <v>02583 Pico Rivera MRF</v>
          </cell>
          <cell r="AK5" t="str">
            <v>02603 Waimanalo Gulch Landfill</v>
          </cell>
          <cell r="AL5" t="str">
            <v>02618 NuWay Arrow Land Reclamation</v>
          </cell>
          <cell r="AM5" t="str">
            <v>02631 Vandenburg AFB</v>
          </cell>
          <cell r="AN5" t="str">
            <v>02684 Compton Hauling</v>
          </cell>
          <cell r="AO5" t="str">
            <v>02687 Carson MRF</v>
          </cell>
          <cell r="AP5" t="str">
            <v>02692 LA Express MRF</v>
          </cell>
          <cell r="AQ5" t="str">
            <v>02743 Sun Valley Recycling Park</v>
          </cell>
          <cell r="AR5" t="str">
            <v>02779 East Valley Diversion</v>
          </cell>
          <cell r="AS5" t="str">
            <v>02780 Downtown Diversion</v>
          </cell>
          <cell r="AT5" t="str">
            <v>02781 Bradley Hauling</v>
          </cell>
          <cell r="AU5" t="str">
            <v>02829 Thermal Remediation Solutions</v>
          </cell>
          <cell r="AV5"/>
          <cell r="AW5"/>
          <cell r="AX5"/>
          <cell r="AY5"/>
          <cell r="AZ5"/>
          <cell r="BA5"/>
          <cell r="BB5"/>
          <cell r="BC5"/>
          <cell r="BD5"/>
          <cell r="BE5"/>
          <cell r="BF5"/>
          <cell r="BG5"/>
          <cell r="BH5"/>
          <cell r="BI5"/>
          <cell r="BJ5"/>
          <cell r="BK5"/>
          <cell r="BL5"/>
        </row>
        <row r="6">
          <cell r="A6" t="str">
            <v>K00160 WM of Arizona New Mexico</v>
          </cell>
          <cell r="B6" t="str">
            <v>00458 Payson Hauling</v>
          </cell>
          <cell r="C6" t="str">
            <v>00461 Flagstaff Hauling</v>
          </cell>
          <cell r="D6" t="str">
            <v>00462 Painted Desert Landfill</v>
          </cell>
          <cell r="E6" t="str">
            <v>00494 Four Corners Hauling</v>
          </cell>
          <cell r="F6" t="str">
            <v>00495 WM of NM - San Juan County Lan</v>
          </cell>
          <cell r="G6" t="str">
            <v>00558 ValenciaRegionalLFandRecycling</v>
          </cell>
          <cell r="H6" t="str">
            <v>00563 Ironwood Landfill</v>
          </cell>
          <cell r="I6" t="str">
            <v>00567 Sierra Vista Hauling</v>
          </cell>
          <cell r="J6" t="str">
            <v>00573 Rio Rancho Hauling</v>
          </cell>
          <cell r="K6" t="str">
            <v>00583 Pinetop - Lakeside Hauling</v>
          </cell>
          <cell r="L6" t="str">
            <v>00584 Kingman Hauling</v>
          </cell>
          <cell r="M6" t="str">
            <v>00595 Dudleyville Landfill</v>
          </cell>
          <cell r="N6" t="str">
            <v>01041 Sky Harbor Transfer Station</v>
          </cell>
          <cell r="O6" t="str">
            <v>01501 Lone Cactus Landfill</v>
          </cell>
          <cell r="P6" t="str">
            <v>01508 Deer Valley Landfill</v>
          </cell>
          <cell r="Q6" t="str">
            <v>01521 Seventh Avenue Landfill</v>
          </cell>
          <cell r="R6" t="str">
            <v>01525 WM of Arizona New Mexico Area</v>
          </cell>
          <cell r="S6" t="str">
            <v>01527 NW Regional Landfill</v>
          </cell>
          <cell r="T6" t="str">
            <v>01552 Lone Butte Transfer Station</v>
          </cell>
          <cell r="U6" t="str">
            <v>01556 Gray Wolf Landfill</v>
          </cell>
          <cell r="V6" t="str">
            <v>01561 Deer Valley Transfer Station</v>
          </cell>
          <cell r="W6" t="str">
            <v>01571 Phoenix Hauling</v>
          </cell>
          <cell r="X6" t="str">
            <v>01575 Tucson Hauling</v>
          </cell>
          <cell r="Y6" t="str">
            <v>01576 Inactive-Sierra Estrella Landf</v>
          </cell>
          <cell r="Z6" t="str">
            <v>01586 Yavapai Hauling</v>
          </cell>
          <cell r="AA6" t="str">
            <v>01821 Tucson MRF</v>
          </cell>
          <cell r="AB6" t="str">
            <v>01822 Phoenix II MRF</v>
          </cell>
          <cell r="AC6" t="str">
            <v>01823 Phoenix I MRF</v>
          </cell>
          <cell r="AD6" t="str">
            <v>01918 WM of New Mexico MA Office</v>
          </cell>
          <cell r="AE6" t="str">
            <v>01968 Durango Transfer Station</v>
          </cell>
          <cell r="AF6" t="str">
            <v>01984 NE Arizona Transfer Stations</v>
          </cell>
          <cell r="AG6" t="str">
            <v>02186 Hobbs Hauling</v>
          </cell>
          <cell r="AH6" t="str">
            <v>02247 Rio Rancho Landfill</v>
          </cell>
          <cell r="AI6" t="str">
            <v>02384 Butterfield Landfill</v>
          </cell>
          <cell r="AJ6" t="str">
            <v>02506 Payson Transfer Station</v>
          </cell>
          <cell r="AK6" t="str">
            <v>02531 Tucson Transfer Station</v>
          </cell>
          <cell r="AL6" t="str">
            <v>02542 Kingman Transfer Station</v>
          </cell>
          <cell r="AM6" t="str">
            <v>02544 San Tan Transfer Station</v>
          </cell>
          <cell r="AN6" t="str">
            <v>02546 White Tank Transfer Station</v>
          </cell>
          <cell r="AO6" t="str">
            <v>02639 Flagstaff Transfer Station</v>
          </cell>
          <cell r="AP6" t="str">
            <v>02668 Oracle Transfer Station</v>
          </cell>
          <cell r="AQ6" t="str">
            <v>02694 Bernalillo County Billing Ctr</v>
          </cell>
          <cell r="AR6" t="str">
            <v>02739 Rincon Recycling &amp; Transfer</v>
          </cell>
          <cell r="AS6"/>
          <cell r="AT6"/>
          <cell r="AU6"/>
          <cell r="AV6"/>
          <cell r="AW6"/>
          <cell r="AX6"/>
          <cell r="AY6"/>
          <cell r="AZ6"/>
          <cell r="BA6"/>
          <cell r="BB6"/>
          <cell r="BC6"/>
          <cell r="BD6"/>
          <cell r="BE6"/>
          <cell r="BF6"/>
          <cell r="BG6"/>
          <cell r="BH6"/>
          <cell r="BI6"/>
          <cell r="BJ6"/>
          <cell r="BK6"/>
          <cell r="BL6"/>
          <cell r="BM6"/>
        </row>
        <row r="7">
          <cell r="A7" t="str">
            <v>K00164 WM of California Bay</v>
          </cell>
          <cell r="B7" t="str">
            <v>00292 Hollister Disposal</v>
          </cell>
          <cell r="C7" t="str">
            <v>00519 Jolon Road Transfer Station</v>
          </cell>
          <cell r="D7" t="str">
            <v>00527 Carmel Marina Corporation</v>
          </cell>
          <cell r="E7" t="str">
            <v>00529 Salinas Disposal Service  Inc.</v>
          </cell>
          <cell r="F7" t="str">
            <v>00550 UWS of California</v>
          </cell>
          <cell r="G7" t="str">
            <v>01044 Valley Waste Management</v>
          </cell>
          <cell r="H7" t="str">
            <v>01045 TriCities RDF Landfill</v>
          </cell>
          <cell r="I7" t="str">
            <v>01046 Kirby Canyon Landfill</v>
          </cell>
          <cell r="J7" t="str">
            <v>01387 Palo Alto Sanitation Co PASCO</v>
          </cell>
          <cell r="K7" t="str">
            <v>01507 Redwood Landfill</v>
          </cell>
          <cell r="L7" t="str">
            <v>01543 Guadalupe Rubbish Disposal Co</v>
          </cell>
          <cell r="M7" t="str">
            <v>01812 CMC Recycling</v>
          </cell>
          <cell r="N7" t="str">
            <v>01816 Davis Street Recycling</v>
          </cell>
          <cell r="O7" t="str">
            <v>01921 WM of California Bay Area Offi</v>
          </cell>
          <cell r="P7" t="str">
            <v>01963 Guadalupe MRF</v>
          </cell>
          <cell r="Q7" t="str">
            <v>02214 Livermore Dublin Disposal</v>
          </cell>
          <cell r="R7" t="str">
            <v>02216 WM of Alameda County</v>
          </cell>
          <cell r="S7" t="str">
            <v>02220 Davis Street Transfer Station</v>
          </cell>
          <cell r="T7" t="str">
            <v>02373 Davis St MRF</v>
          </cell>
          <cell r="U7" t="str">
            <v>02554 Altamont Landfill</v>
          </cell>
          <cell r="V7" t="str">
            <v>02561 Empire Waste Management</v>
          </cell>
          <cell r="W7" t="str">
            <v>02936 Tri Cities Resource Recycling</v>
          </cell>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cell r="BB7"/>
          <cell r="BC7"/>
          <cell r="BD7"/>
          <cell r="BE7"/>
          <cell r="BF7"/>
          <cell r="BG7"/>
          <cell r="BH7"/>
          <cell r="BI7"/>
          <cell r="BJ7"/>
          <cell r="BK7"/>
          <cell r="BL7"/>
          <cell r="BM7"/>
        </row>
        <row r="8">
          <cell r="A8" t="str">
            <v>K00173 WM of Sacramento Nevada</v>
          </cell>
          <cell r="B8" t="str">
            <v>00050 Sac Val Disposal</v>
          </cell>
          <cell r="C8" t="str">
            <v>00051 Stockton Scavenger</v>
          </cell>
          <cell r="D8" t="str">
            <v>00531 Anderson-Cottonwood Disposal</v>
          </cell>
          <cell r="E8" t="str">
            <v>00533 Corning Disposal</v>
          </cell>
          <cell r="F8" t="str">
            <v>00536 Nevada City Garbage Service</v>
          </cell>
          <cell r="G8" t="str">
            <v>00538 North Valley Disposal</v>
          </cell>
          <cell r="H8" t="str">
            <v>00539 Feather River Disposal</v>
          </cell>
          <cell r="I8" t="str">
            <v>00540 Lassen Waste Systems</v>
          </cell>
          <cell r="J8" t="str">
            <v>00541 Paradise Solid Waste</v>
          </cell>
          <cell r="K8" t="str">
            <v>00542 Modesto Disposal Service</v>
          </cell>
          <cell r="L8" t="str">
            <v>00543 Central Valley Waste</v>
          </cell>
          <cell r="M8" t="str">
            <v>00544 Cal Sierra Disposal</v>
          </cell>
          <cell r="N8" t="str">
            <v>00545 Cal Sierra Transfer Station</v>
          </cell>
          <cell r="O8" t="str">
            <v>01149 Reno Disposal Co</v>
          </cell>
          <cell r="P8" t="str">
            <v>01160 Lockwood Regional Landfill</v>
          </cell>
          <cell r="Q8" t="str">
            <v>01161 Waste Management of Nevada</v>
          </cell>
          <cell r="R8" t="str">
            <v>01163 Refuse Inc Transfer</v>
          </cell>
          <cell r="S8" t="str">
            <v>01164 Incline Sanitation Co.</v>
          </cell>
          <cell r="T8" t="str">
            <v>01165 WM of Nevada MA Office</v>
          </cell>
          <cell r="U8" t="str">
            <v>01166 RSW Recycling Co</v>
          </cell>
          <cell r="V8" t="str">
            <v>01167 Capital Sanitation Co.</v>
          </cell>
          <cell r="W8" t="str">
            <v>01168 Fernley Churchill Sanitation</v>
          </cell>
          <cell r="X8" t="str">
            <v>01170 WM of Sacramento Nevada Area O</v>
          </cell>
          <cell r="Y8" t="str">
            <v>01504 California Asbestos Monofill C</v>
          </cell>
          <cell r="Z8" t="str">
            <v>01538 Anderson Landfill</v>
          </cell>
          <cell r="AA8" t="str">
            <v>01804 RSW MRF (Commercial Row)</v>
          </cell>
          <cell r="AB8" t="str">
            <v>01810 K and M Recycling</v>
          </cell>
          <cell r="AC8" t="str">
            <v>01813 Lodi Recycling</v>
          </cell>
          <cell r="AD8" t="str">
            <v>01818 Clayton Ward Recycling</v>
          </cell>
          <cell r="AE8" t="str">
            <v>01969 Nevada County MRF</v>
          </cell>
          <cell r="AF8" t="str">
            <v>01971 North Valley MRF</v>
          </cell>
          <cell r="AG8" t="str">
            <v>01974 Lodi Transfer Station</v>
          </cell>
          <cell r="AH8" t="str">
            <v>01976 Modesto Transfer Station</v>
          </cell>
          <cell r="AI8" t="str">
            <v>02471 Greg St MRF</v>
          </cell>
          <cell r="AJ8" t="str">
            <v>02549 WM of Woodland</v>
          </cell>
          <cell r="AK8" t="str">
            <v>02666 Fernly Transfer Station</v>
          </cell>
          <cell r="AL8" t="str">
            <v>02667 Incline Village Transfer Stn</v>
          </cell>
          <cell r="AM8" t="str">
            <v>02715 RIM Waste Systems</v>
          </cell>
          <cell r="AN8"/>
          <cell r="AO8"/>
          <cell r="AP8"/>
          <cell r="AQ8"/>
          <cell r="AR8"/>
          <cell r="AS8"/>
          <cell r="AT8"/>
          <cell r="AU8"/>
          <cell r="AV8"/>
          <cell r="AW8"/>
          <cell r="AX8"/>
          <cell r="AY8"/>
          <cell r="AZ8"/>
          <cell r="BA8"/>
          <cell r="BB8"/>
          <cell r="BC8"/>
          <cell r="BD8"/>
          <cell r="BE8"/>
          <cell r="BF8"/>
          <cell r="BG8"/>
          <cell r="BH8"/>
          <cell r="BI8"/>
          <cell r="BJ8"/>
          <cell r="BK8"/>
          <cell r="BL8"/>
          <cell r="BM8"/>
        </row>
        <row r="9">
          <cell r="A9" t="str">
            <v>K00175 WM of San Diego Orange County</v>
          </cell>
          <cell r="B9" t="str">
            <v>00109 WM of San Diego Orange County</v>
          </cell>
          <cell r="C9" t="str">
            <v>00274 Coast Waste</v>
          </cell>
          <cell r="D9" t="str">
            <v>01584 WM San Diego</v>
          </cell>
          <cell r="E9" t="str">
            <v>01951 San Diego - WMCA</v>
          </cell>
          <cell r="F9" t="str">
            <v>01962 Orange County Transfer Stns</v>
          </cell>
          <cell r="G9" t="str">
            <v>02360 Orange County TS - USACA</v>
          </cell>
          <cell r="H9" t="str">
            <v>02361 Santa Ana USACA</v>
          </cell>
          <cell r="I9" t="str">
            <v>02515 Santa Ana</v>
          </cell>
          <cell r="J9" t="str">
            <v>02539 North County</v>
          </cell>
          <cell r="K9" t="str">
            <v>02782 El Cajon Transfer Station</v>
          </cell>
          <cell r="L9" t="str">
            <v>02884 Irvine</v>
          </cell>
          <cell r="M9" t="str">
            <v>02885 Irvine USACA</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row>
      </sheetData>
      <sheetData sheetId="55"/>
      <sheetData sheetId="56"/>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55 Other Core"/>
      <sheetName val="1055 Com'l Organics"/>
      <sheetName val="1055_275 RO Organics"/>
      <sheetName val="1055 Res'l Organics"/>
      <sheetName val="Tab Legend"/>
      <sheetName val="Rate Case Checklist"/>
      <sheetName val="WTB"/>
      <sheetName val="Com'l FL"/>
      <sheetName val="Com'l RCY"/>
      <sheetName val="Res'l Garbage"/>
      <sheetName val="Res'l RCY"/>
      <sheetName val="Res'l YW"/>
      <sheetName val="Rolloff"/>
      <sheetName val="Summary of Adjustments"/>
      <sheetName val="Revenue"/>
      <sheetName val="Seattle Revenue"/>
      <sheetName val="Haz. Waste Fees"/>
      <sheetName val="Utility Taxes"/>
      <sheetName val="RCY Rev. GL Detail - 408000"/>
      <sheetName val="Organics Revl GL Detail - 40600"/>
      <sheetName val="Performance Incentive - 458700"/>
      <sheetName val="Broker Revenue - 495XXX"/>
      <sheetName val="Lurito - Total"/>
      <sheetName val="Lurito-Combined garbage"/>
      <sheetName val="Lurito - Com'l Garb."/>
      <sheetName val="Lurito - Res'l Garb."/>
      <sheetName val="Lurito - Recy"/>
      <sheetName val="Lurito - YW"/>
      <sheetName val="Lurito - RO Garb."/>
      <sheetName val="Res'l Priceout"/>
      <sheetName val="Com'l Priceout"/>
      <sheetName val="Roll Off Priceout"/>
      <sheetName val="Summary of Cost Allocators"/>
      <sheetName val="Customers"/>
      <sheetName val="Roll Off Hauls"/>
      <sheetName val="King County Disposal"/>
      <sheetName val="Processing Fees"/>
      <sheetName val="Cedar Grove Summary"/>
      <sheetName val="Transloading Costs to JMK MRF"/>
      <sheetName val="Corp. Office Allocation"/>
      <sheetName val="MA Overhead"/>
      <sheetName val="PNW Call Center"/>
      <sheetName val="Container Shop Allocation"/>
      <sheetName val="Bad Debt Analysis"/>
      <sheetName val="Fuel Tax - 536000"/>
      <sheetName val="Workman's Comp. claims - 513150"/>
      <sheetName val="516000"/>
      <sheetName val="WRRA Fees"/>
      <sheetName val="1055_120 Com'l FL"/>
      <sheetName val="2565_160 Com'l RCY"/>
      <sheetName val="1055_160 Com'l RCY"/>
      <sheetName val="2565_180 Res'l RL"/>
      <sheetName val="2565_190 Res'l SL"/>
      <sheetName val="1055_180 Res'l RL"/>
      <sheetName val="1055_190 Res'l SL"/>
      <sheetName val="2565_220 Res'l YW"/>
      <sheetName val="1055_220 Res'l YW"/>
      <sheetName val="2565_230 Res'l RCY"/>
      <sheetName val="1055_230 Res'l RCY"/>
      <sheetName val="2565_Com'l Organics"/>
      <sheetName val="2565_Res'l Organics"/>
      <sheetName val="2565_RO Organics"/>
      <sheetName val="2565_Other Core"/>
      <sheetName val="2565_260 Roll Off"/>
      <sheetName val="1055_260 Roll Off"/>
      <sheetName val="2565_120 Com'l FL"/>
      <sheetName val="2565_299 Other Collection"/>
      <sheetName val="2565_300 Transfer Stations"/>
      <sheetName val="1055_300 Transfer Stations"/>
      <sheetName val="2565_Late Fee Revenue"/>
      <sheetName val="509000"/>
      <sheetName val="509500"/>
      <sheetName val="531200"/>
      <sheetName val="678300"/>
    </sheetNames>
    <sheetDataSet>
      <sheetData sheetId="0"/>
      <sheetData sheetId="1"/>
      <sheetData sheetId="2"/>
      <sheetData sheetId="3"/>
      <sheetData sheetId="4"/>
      <sheetData sheetId="5"/>
      <sheetData sheetId="6">
        <row r="126">
          <cell r="Z126">
            <v>6715778.7856249986</v>
          </cell>
        </row>
      </sheetData>
      <sheetData sheetId="7">
        <row r="126">
          <cell r="Z126">
            <v>1224921.988041667</v>
          </cell>
        </row>
      </sheetData>
      <sheetData sheetId="8"/>
      <sheetData sheetId="9">
        <row r="327">
          <cell r="AH327">
            <v>0.12220236915740669</v>
          </cell>
        </row>
      </sheetData>
      <sheetData sheetId="10">
        <row r="327">
          <cell r="AH327">
            <v>0.11704251560294203</v>
          </cell>
        </row>
      </sheetData>
      <sheetData sheetId="11">
        <row r="327">
          <cell r="AH327">
            <v>6.103014150930338E-2</v>
          </cell>
        </row>
      </sheetData>
      <sheetData sheetId="12">
        <row r="327">
          <cell r="AL327">
            <v>7.663739141815247E-2</v>
          </cell>
        </row>
      </sheetData>
      <sheetData sheetId="13"/>
      <sheetData sheetId="14"/>
      <sheetData sheetId="15"/>
      <sheetData sheetId="16"/>
      <sheetData sheetId="17"/>
      <sheetData sheetId="18"/>
      <sheetData sheetId="19"/>
      <sheetData sheetId="20"/>
      <sheetData sheetId="21"/>
      <sheetData sheetId="22"/>
      <sheetData sheetId="23">
        <row r="4">
          <cell r="E4">
            <v>1069287.1625033354</v>
          </cell>
        </row>
      </sheetData>
      <sheetData sheetId="24">
        <row r="4">
          <cell r="E4">
            <v>111561.60467975448</v>
          </cell>
        </row>
      </sheetData>
      <sheetData sheetId="25">
        <row r="4">
          <cell r="E4">
            <v>977226.19533402671</v>
          </cell>
        </row>
      </sheetData>
      <sheetData sheetId="26"/>
      <sheetData sheetId="27"/>
      <sheetData sheetId="28">
        <row r="4">
          <cell r="E4">
            <v>-25534.520117494983</v>
          </cell>
        </row>
      </sheetData>
      <sheetData sheetId="29">
        <row r="50">
          <cell r="L50">
            <v>0.1846398961050198</v>
          </cell>
        </row>
      </sheetData>
      <sheetData sheetId="30">
        <row r="7">
          <cell r="H7">
            <v>0.14604621123895742</v>
          </cell>
        </row>
      </sheetData>
      <sheetData sheetId="31">
        <row r="70">
          <cell r="L70">
            <v>-10249.825994112605</v>
          </cell>
        </row>
      </sheetData>
      <sheetData sheetId="32"/>
      <sheetData sheetId="33">
        <row r="11">
          <cell r="R11">
            <v>10051</v>
          </cell>
        </row>
      </sheetData>
      <sheetData sheetId="34">
        <row r="13">
          <cell r="I13">
            <v>0.57816092144730269</v>
          </cell>
        </row>
      </sheetData>
      <sheetData sheetId="35"/>
      <sheetData sheetId="36"/>
      <sheetData sheetId="37"/>
      <sheetData sheetId="38"/>
      <sheetData sheetId="39">
        <row r="33">
          <cell r="F33">
            <v>0.18357107309997575</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LOOKUP"/>
      <sheetName val="Fixed Asset Reconciliation"/>
      <sheetName val="Balance Sheet"/>
      <sheetName val="Sheet4"/>
    </sheetNames>
    <sheetDataSet>
      <sheetData sheetId="0" refreshError="1"/>
      <sheetData sheetId="1" refreshError="1">
        <row r="1">
          <cell r="A1" t="str">
            <v>AUTO</v>
          </cell>
          <cell r="B1">
            <v>171200</v>
          </cell>
        </row>
        <row r="2">
          <cell r="A2" t="str">
            <v>BLDG</v>
          </cell>
          <cell r="B2">
            <v>174000</v>
          </cell>
        </row>
        <row r="3">
          <cell r="A3" t="str">
            <v>CONT</v>
          </cell>
          <cell r="B3">
            <v>173000</v>
          </cell>
        </row>
        <row r="4">
          <cell r="A4" t="str">
            <v>ITCUS</v>
          </cell>
          <cell r="B4">
            <v>182100</v>
          </cell>
        </row>
        <row r="5">
          <cell r="A5" t="str">
            <v>ITGW</v>
          </cell>
          <cell r="B5">
            <v>180000</v>
          </cell>
        </row>
        <row r="6">
          <cell r="A6" t="str">
            <v>ITGW2</v>
          </cell>
          <cell r="B6">
            <v>180000</v>
          </cell>
        </row>
        <row r="7">
          <cell r="A7" t="str">
            <v>ITLP</v>
          </cell>
          <cell r="B7">
            <v>182200</v>
          </cell>
        </row>
        <row r="8">
          <cell r="A8" t="str">
            <v>ITNC</v>
          </cell>
          <cell r="B8">
            <v>182000</v>
          </cell>
        </row>
        <row r="9">
          <cell r="A9" t="str">
            <v>ITOTH</v>
          </cell>
          <cell r="B9">
            <v>182900</v>
          </cell>
        </row>
        <row r="10">
          <cell r="A10" t="str">
            <v>LAND</v>
          </cell>
          <cell r="B10">
            <v>170900</v>
          </cell>
        </row>
        <row r="11">
          <cell r="A11" t="str">
            <v>LFCON</v>
          </cell>
          <cell r="B11">
            <v>170100</v>
          </cell>
        </row>
        <row r="12">
          <cell r="A12" t="str">
            <v>LFEXC</v>
          </cell>
          <cell r="B12">
            <v>170140</v>
          </cell>
        </row>
        <row r="13">
          <cell r="A13" t="str">
            <v>LFLIN</v>
          </cell>
          <cell r="B13">
            <v>170150</v>
          </cell>
        </row>
        <row r="14">
          <cell r="A14" t="str">
            <v>LFOPR</v>
          </cell>
          <cell r="B14">
            <v>170010</v>
          </cell>
        </row>
        <row r="15">
          <cell r="A15" t="str">
            <v>LFPU2</v>
          </cell>
          <cell r="B15">
            <v>170000</v>
          </cell>
        </row>
        <row r="16">
          <cell r="A16" t="str">
            <v>LFPUR</v>
          </cell>
          <cell r="B16">
            <v>170000</v>
          </cell>
        </row>
        <row r="17">
          <cell r="A17" t="str">
            <v>LFSIT</v>
          </cell>
          <cell r="B17">
            <v>170400</v>
          </cell>
        </row>
        <row r="18">
          <cell r="A18" t="str">
            <v>LFST2</v>
          </cell>
          <cell r="B18">
            <v>170400</v>
          </cell>
        </row>
        <row r="19">
          <cell r="A19" t="str">
            <v>LHBLD</v>
          </cell>
          <cell r="B19">
            <v>174500</v>
          </cell>
        </row>
        <row r="20">
          <cell r="A20" t="str">
            <v>LHLND</v>
          </cell>
          <cell r="B20">
            <v>174500</v>
          </cell>
        </row>
        <row r="21">
          <cell r="A21" t="str">
            <v>ME</v>
          </cell>
          <cell r="B21">
            <v>172100</v>
          </cell>
        </row>
        <row r="22">
          <cell r="A22" t="str">
            <v>OFFCE</v>
          </cell>
          <cell r="B22">
            <v>175000</v>
          </cell>
        </row>
        <row r="23">
          <cell r="A23" t="str">
            <v>PRIME</v>
          </cell>
          <cell r="B23">
            <v>172000</v>
          </cell>
        </row>
        <row r="24">
          <cell r="A24" t="str">
            <v>SUPRT</v>
          </cell>
          <cell r="B24">
            <v>171100</v>
          </cell>
        </row>
        <row r="25">
          <cell r="A25" t="str">
            <v>TRUCK</v>
          </cell>
          <cell r="B25">
            <v>171000</v>
          </cell>
        </row>
        <row r="26">
          <cell r="A26" t="str">
            <v>Z1ADD</v>
          </cell>
          <cell r="B26">
            <v>170400</v>
          </cell>
        </row>
        <row r="27">
          <cell r="A27" t="str">
            <v>Z1SUB</v>
          </cell>
          <cell r="B27">
            <v>170400</v>
          </cell>
        </row>
        <row r="28">
          <cell r="A28" t="str">
            <v>Z2ADD</v>
          </cell>
          <cell r="B28">
            <v>170400</v>
          </cell>
        </row>
        <row r="29">
          <cell r="A29" t="str">
            <v>Z2SUB</v>
          </cell>
          <cell r="B29">
            <v>170400</v>
          </cell>
        </row>
        <row r="30">
          <cell r="A30" t="str">
            <v>Z3ADD</v>
          </cell>
          <cell r="B30">
            <v>170400</v>
          </cell>
        </row>
        <row r="31">
          <cell r="A31" t="str">
            <v>Z3SUB</v>
          </cell>
          <cell r="B31">
            <v>170400</v>
          </cell>
        </row>
        <row r="32">
          <cell r="A32" t="str">
            <v>Z4ADD</v>
          </cell>
          <cell r="B32">
            <v>170400</v>
          </cell>
        </row>
        <row r="33">
          <cell r="A33" t="str">
            <v>Z4SUB</v>
          </cell>
          <cell r="B33">
            <v>170400</v>
          </cell>
        </row>
        <row r="34">
          <cell r="A34" t="str">
            <v>Z5ADD</v>
          </cell>
          <cell r="B34">
            <v>170400</v>
          </cell>
        </row>
        <row r="35">
          <cell r="A35" t="str">
            <v>Z5SUB</v>
          </cell>
          <cell r="B35">
            <v>170400</v>
          </cell>
        </row>
        <row r="36">
          <cell r="A36" t="str">
            <v>Z6ADD</v>
          </cell>
          <cell r="B36">
            <v>170400</v>
          </cell>
        </row>
        <row r="37">
          <cell r="A37" t="str">
            <v>Z6SUB</v>
          </cell>
          <cell r="B37">
            <v>170400</v>
          </cell>
        </row>
        <row r="38">
          <cell r="A38" t="str">
            <v>Z8ADD</v>
          </cell>
          <cell r="B38">
            <v>170040</v>
          </cell>
        </row>
        <row r="39">
          <cell r="A39" t="str">
            <v>Z8SUB</v>
          </cell>
          <cell r="B39">
            <v>170040</v>
          </cell>
        </row>
        <row r="40">
          <cell r="A40" t="str">
            <v>Z9ADD</v>
          </cell>
          <cell r="B40">
            <v>170010</v>
          </cell>
        </row>
        <row r="41">
          <cell r="A41" t="str">
            <v>Z9SUB</v>
          </cell>
          <cell r="B41">
            <v>170010</v>
          </cell>
        </row>
        <row r="42">
          <cell r="A42" t="str">
            <v>LDIMP</v>
          </cell>
          <cell r="B42">
            <v>174550</v>
          </cell>
        </row>
        <row r="43">
          <cell r="A43" t="str">
            <v>LDOPT</v>
          </cell>
          <cell r="B43">
            <v>170700</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LOOKUP"/>
    </sheetNames>
    <sheetDataSet>
      <sheetData sheetId="0"/>
      <sheetData sheetId="1">
        <row r="9">
          <cell r="AK9" t="str">
            <v>5404891.5 YARD CONTAINERS</v>
          </cell>
        </row>
      </sheetData>
      <sheetData sheetId="2">
        <row r="1">
          <cell r="A1" t="str">
            <v>AUTO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Details"/>
      <sheetName val="Inventory Report"/>
      <sheetName val="Conversion &amp; state tax rate"/>
      <sheetName val="LNG and CNG Usage"/>
      <sheetName val="LNG and CNG Summary"/>
      <sheetName val="Sheet1"/>
    </sheetNames>
    <sheetDataSet>
      <sheetData sheetId="0" refreshError="1"/>
      <sheetData sheetId="1" refreshError="1"/>
      <sheetData sheetId="2"/>
      <sheetData sheetId="3" refreshError="1"/>
      <sheetData sheetId="4" refreshError="1"/>
      <sheetData sheetId="5">
        <row r="2">
          <cell r="A2" t="str">
            <v>Actual</v>
          </cell>
        </row>
        <row r="3">
          <cell r="A3" t="str">
            <v>Estimated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3"/>
  <sheetViews>
    <sheetView workbookViewId="0">
      <selection activeCell="K11" sqref="K11"/>
    </sheetView>
  </sheetViews>
  <sheetFormatPr defaultRowHeight="15"/>
  <cols>
    <col min="1" max="1" width="4.7109375" customWidth="1"/>
    <col min="4" max="4" width="10.5703125" style="5" bestFit="1" customWidth="1"/>
    <col min="5" max="5" width="12.28515625" style="5" bestFit="1" customWidth="1"/>
    <col min="6" max="6" width="11.5703125" style="5" bestFit="1" customWidth="1"/>
    <col min="7" max="7" width="9.42578125" bestFit="1" customWidth="1"/>
    <col min="8" max="8" width="11.5703125" style="5" bestFit="1" customWidth="1"/>
    <col min="9" max="9" width="10.5703125" bestFit="1" customWidth="1"/>
    <col min="11" max="11" width="12.5703125" bestFit="1" customWidth="1"/>
    <col min="15" max="15" width="11" bestFit="1" customWidth="1"/>
  </cols>
  <sheetData>
    <row r="1" spans="1:15" ht="18">
      <c r="A1" s="1" t="s">
        <v>0</v>
      </c>
    </row>
    <row r="2" spans="1:15" ht="18.75">
      <c r="A2" s="51" t="s">
        <v>9</v>
      </c>
    </row>
    <row r="3" spans="1:15" ht="15.75">
      <c r="A3" s="3" t="s">
        <v>10</v>
      </c>
    </row>
    <row r="4" spans="1:15">
      <c r="A4" s="2" t="s">
        <v>1</v>
      </c>
    </row>
    <row r="5" spans="1:15">
      <c r="D5" s="17"/>
      <c r="E5" s="17"/>
      <c r="F5" s="17"/>
      <c r="H5" s="17"/>
      <c r="I5" s="18" t="s">
        <v>3</v>
      </c>
      <c r="K5" s="18" t="s">
        <v>3</v>
      </c>
    </row>
    <row r="6" spans="1:15">
      <c r="D6" s="18" t="s">
        <v>11</v>
      </c>
      <c r="E6" s="17"/>
      <c r="F6" s="17"/>
      <c r="G6" s="26" t="s">
        <v>4</v>
      </c>
      <c r="H6" s="18" t="s">
        <v>3</v>
      </c>
      <c r="I6" s="18" t="s">
        <v>12</v>
      </c>
      <c r="J6" s="26" t="s">
        <v>13</v>
      </c>
      <c r="K6" s="18" t="s">
        <v>5</v>
      </c>
    </row>
    <row r="7" spans="1:15">
      <c r="D7" s="19" t="s">
        <v>7</v>
      </c>
      <c r="E7" s="19" t="s">
        <v>6</v>
      </c>
      <c r="F7" s="19" t="s">
        <v>14</v>
      </c>
      <c r="G7" s="19" t="s">
        <v>6</v>
      </c>
      <c r="H7" s="19" t="s">
        <v>14</v>
      </c>
      <c r="I7" s="19" t="s">
        <v>15</v>
      </c>
      <c r="J7" s="46" t="s">
        <v>16</v>
      </c>
      <c r="K7" s="19" t="s">
        <v>15</v>
      </c>
    </row>
    <row r="8" spans="1:15">
      <c r="A8" s="4" t="s">
        <v>17</v>
      </c>
      <c r="G8" s="5"/>
    </row>
    <row r="9" spans="1:15">
      <c r="A9" s="4"/>
      <c r="G9" s="5"/>
    </row>
    <row r="10" spans="1:15">
      <c r="A10" s="6" t="s">
        <v>18</v>
      </c>
      <c r="B10" s="6"/>
      <c r="C10" s="6"/>
      <c r="G10" s="5"/>
    </row>
    <row r="11" spans="1:15" ht="17.25">
      <c r="B11" s="7" t="s">
        <v>19</v>
      </c>
      <c r="D11" s="69">
        <v>8369.42</v>
      </c>
      <c r="E11" s="23">
        <v>154.02000000000001</v>
      </c>
      <c r="F11" s="8">
        <f>+D11*E11</f>
        <v>1289058.0684</v>
      </c>
      <c r="G11" s="23">
        <f>+References!B48</f>
        <v>185.28000000000003</v>
      </c>
      <c r="H11" s="40">
        <f>+G11*D11</f>
        <v>1550686.1376000002</v>
      </c>
      <c r="I11" s="41">
        <f>+H11-F11</f>
        <v>261628.06920000026</v>
      </c>
      <c r="J11">
        <f>+References!G52</f>
        <v>0.97451046711084788</v>
      </c>
      <c r="K11" s="39">
        <f>+I11/J11</f>
        <v>268471.27663559595</v>
      </c>
    </row>
    <row r="12" spans="1:15" s="4" customFormat="1">
      <c r="D12" s="21">
        <f>SUM(D11:D11)</f>
        <v>8369.42</v>
      </c>
      <c r="E12" s="24"/>
      <c r="F12" s="9">
        <f>SUM(F11:F11)</f>
        <v>1289058.0684</v>
      </c>
      <c r="G12" s="10"/>
      <c r="H12" s="9">
        <f>SUM(H11:H11)</f>
        <v>1550686.1376000002</v>
      </c>
      <c r="I12" s="9">
        <f>SUM(I11:I11)</f>
        <v>261628.06920000026</v>
      </c>
      <c r="K12" s="9">
        <f>SUM(K11:K11)</f>
        <v>268471.27663559595</v>
      </c>
      <c r="O12"/>
    </row>
    <row r="13" spans="1:15">
      <c r="E13" s="25"/>
      <c r="F13" s="13"/>
      <c r="G13" s="5"/>
    </row>
    <row r="14" spans="1:15">
      <c r="E14" s="25"/>
      <c r="F14" s="13"/>
      <c r="G14" s="5"/>
    </row>
    <row r="15" spans="1:15">
      <c r="A15" s="4" t="s">
        <v>20</v>
      </c>
      <c r="E15" s="25"/>
      <c r="F15" s="13"/>
      <c r="G15" s="5"/>
    </row>
    <row r="16" spans="1:15">
      <c r="A16" s="4"/>
      <c r="E16" s="25"/>
      <c r="F16" s="13"/>
      <c r="G16" s="5"/>
    </row>
    <row r="17" spans="1:12">
      <c r="A17" s="6" t="s">
        <v>18</v>
      </c>
      <c r="E17" s="25"/>
      <c r="F17" s="13"/>
      <c r="G17" s="5"/>
    </row>
    <row r="18" spans="1:12" ht="17.25">
      <c r="B18" s="7" t="s">
        <v>19</v>
      </c>
      <c r="D18" s="69">
        <v>18769.439997868274</v>
      </c>
      <c r="E18" s="23">
        <f>+E11</f>
        <v>154.02000000000001</v>
      </c>
      <c r="F18" s="15">
        <f>+E18*D18</f>
        <v>2890869.1484716716</v>
      </c>
      <c r="G18" s="23">
        <f>+G11</f>
        <v>185.28000000000003</v>
      </c>
      <c r="H18" s="40">
        <f>+G18*D18</f>
        <v>3477601.8428050345</v>
      </c>
      <c r="I18" s="41">
        <f>+H18-F18</f>
        <v>586732.69433336286</v>
      </c>
      <c r="J18">
        <f>+J11</f>
        <v>0.97451046711084788</v>
      </c>
      <c r="K18" s="39">
        <f>+I18/J18</f>
        <v>602079.41744624032</v>
      </c>
    </row>
    <row r="19" spans="1:12" s="4" customFormat="1" ht="12.75">
      <c r="D19" s="21">
        <f>SUM(D18:D18)</f>
        <v>18769.439997868274</v>
      </c>
      <c r="E19" s="24"/>
      <c r="F19" s="9">
        <f>SUM(F18:F18)</f>
        <v>2890869.1484716716</v>
      </c>
      <c r="G19" s="10"/>
      <c r="H19" s="9">
        <f>SUM(H18:H18)</f>
        <v>3477601.8428050345</v>
      </c>
      <c r="I19" s="9">
        <f>SUM(I18:I18)</f>
        <v>586732.69433336286</v>
      </c>
      <c r="K19" s="9">
        <f>SUM(K18:K18)</f>
        <v>602079.41744624032</v>
      </c>
    </row>
    <row r="20" spans="1:12">
      <c r="E20" s="25"/>
      <c r="F20" s="13"/>
      <c r="G20" s="5"/>
    </row>
    <row r="21" spans="1:12" ht="17.25">
      <c r="D21" s="42">
        <f>+D19+D12</f>
        <v>27138.859997868276</v>
      </c>
      <c r="E21" s="42"/>
      <c r="F21" s="43">
        <f t="shared" ref="F21:I21" si="0">+F19+F12</f>
        <v>4179927.2168716714</v>
      </c>
      <c r="G21" s="43"/>
      <c r="H21" s="43">
        <f t="shared" si="0"/>
        <v>5028287.9804050345</v>
      </c>
      <c r="I21" s="43">
        <f t="shared" si="0"/>
        <v>848360.76353336312</v>
      </c>
      <c r="K21" s="43">
        <f t="shared" ref="K21" si="1">+K19+K12</f>
        <v>870550.69408183626</v>
      </c>
      <c r="L21" s="186"/>
    </row>
    <row r="22" spans="1:12">
      <c r="E22" s="25"/>
      <c r="F22" s="13"/>
      <c r="G22" s="5"/>
    </row>
    <row r="23" spans="1:12">
      <c r="E23" s="25"/>
      <c r="F23" s="13"/>
      <c r="G23" s="5"/>
    </row>
    <row r="24" spans="1:12">
      <c r="A24" s="4" t="s">
        <v>21</v>
      </c>
      <c r="E24" s="25"/>
      <c r="F24" s="13"/>
      <c r="G24" s="5"/>
    </row>
    <row r="25" spans="1:12">
      <c r="A25" s="4"/>
      <c r="E25" s="25"/>
      <c r="F25" s="13"/>
      <c r="G25" s="5"/>
    </row>
    <row r="26" spans="1:12">
      <c r="A26" s="6" t="s">
        <v>18</v>
      </c>
      <c r="E26" s="25"/>
      <c r="F26" s="13"/>
      <c r="G26" s="5"/>
    </row>
    <row r="27" spans="1:12" ht="17.25">
      <c r="B27" s="7" t="s">
        <v>19</v>
      </c>
      <c r="D27" s="20">
        <v>23062.42</v>
      </c>
      <c r="E27" s="23">
        <f>+E18</f>
        <v>154.02000000000001</v>
      </c>
      <c r="F27" s="15">
        <f>+E27*D27</f>
        <v>3552073.9284000001</v>
      </c>
      <c r="G27" s="23">
        <f>+G11</f>
        <v>185.28000000000003</v>
      </c>
      <c r="H27" s="40">
        <f>+G27*D27</f>
        <v>4273005.1776000001</v>
      </c>
      <c r="I27" s="41">
        <f>+H27-F27</f>
        <v>720931.24919999996</v>
      </c>
      <c r="J27" s="47">
        <v>1</v>
      </c>
      <c r="K27" s="39">
        <f>+I27/J27</f>
        <v>720931.24919999996</v>
      </c>
    </row>
    <row r="28" spans="1:12" s="4" customFormat="1">
      <c r="D28" s="48">
        <f>SUM(D27:D27)</f>
        <v>23062.42</v>
      </c>
      <c r="E28" s="49"/>
      <c r="F28" s="12">
        <f>SUM(F27:F27)</f>
        <v>3552073.9284000001</v>
      </c>
      <c r="G28" s="49"/>
      <c r="H28" s="11">
        <f>SUM(H27:H27)</f>
        <v>4273005.1776000001</v>
      </c>
      <c r="I28" s="11">
        <f>SUM(I27:I27)</f>
        <v>720931.24919999996</v>
      </c>
      <c r="J28" s="50"/>
      <c r="K28" s="11">
        <f>SUM(K27:K27)</f>
        <v>720931.24919999996</v>
      </c>
    </row>
    <row r="29" spans="1:12">
      <c r="F29" s="13"/>
    </row>
    <row r="30" spans="1:12">
      <c r="A30" s="6"/>
      <c r="F30" s="13"/>
    </row>
    <row r="31" spans="1:12" s="16" customFormat="1" ht="12.75">
      <c r="D31" s="44">
        <f>+D28+D21</f>
        <v>50201.279997868274</v>
      </c>
      <c r="E31" s="44"/>
      <c r="F31" s="45">
        <f t="shared" ref="F31:K31" si="2">+F28+F21</f>
        <v>7732001.1452716719</v>
      </c>
      <c r="G31" s="44"/>
      <c r="H31" s="45">
        <f t="shared" si="2"/>
        <v>9301293.1580050346</v>
      </c>
      <c r="I31" s="45">
        <f t="shared" si="2"/>
        <v>1569292.0127333631</v>
      </c>
      <c r="J31" s="45"/>
      <c r="K31" s="45">
        <f t="shared" si="2"/>
        <v>1591481.9432818363</v>
      </c>
    </row>
    <row r="32" spans="1:12">
      <c r="F32" s="13"/>
    </row>
    <row r="33" spans="1:6">
      <c r="F33" s="13"/>
    </row>
    <row r="41" spans="1:6">
      <c r="A41" s="7"/>
      <c r="D41" s="22"/>
      <c r="E41" s="14"/>
      <c r="F41" s="14"/>
    </row>
    <row r="43" spans="1:6">
      <c r="D43" s="22"/>
    </row>
  </sheetData>
  <pageMargins left="0.45" right="0.45" top="0.5" bottom="0.5" header="0.3" footer="0.3"/>
  <pageSetup orientation="landscape" verticalDpi="599"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H59"/>
  <sheetViews>
    <sheetView topLeftCell="A28" workbookViewId="0">
      <selection activeCell="B48" sqref="B48"/>
    </sheetView>
  </sheetViews>
  <sheetFormatPr defaultRowHeight="15"/>
  <cols>
    <col min="1" max="1" width="36.28515625" bestFit="1" customWidth="1"/>
    <col min="2" max="2" width="19" bestFit="1" customWidth="1"/>
    <col min="3" max="3" width="13.42578125" customWidth="1"/>
    <col min="4" max="5" width="7" bestFit="1" customWidth="1"/>
    <col min="6" max="6" width="11.42578125" bestFit="1" customWidth="1"/>
    <col min="7" max="7" width="10" bestFit="1" customWidth="1"/>
  </cols>
  <sheetData>
    <row r="1" spans="1:8">
      <c r="A1" s="283" t="s">
        <v>57</v>
      </c>
      <c r="B1" s="283"/>
      <c r="C1" s="283"/>
      <c r="D1" s="283"/>
      <c r="E1" s="283"/>
      <c r="F1" s="283"/>
      <c r="G1" s="283"/>
      <c r="H1" s="283"/>
    </row>
    <row r="2" spans="1:8">
      <c r="A2" s="27" t="s">
        <v>58</v>
      </c>
      <c r="B2" s="56" t="s">
        <v>59</v>
      </c>
      <c r="C2" s="56" t="s">
        <v>60</v>
      </c>
      <c r="D2" s="56" t="s">
        <v>61</v>
      </c>
      <c r="E2" s="55" t="s">
        <v>62</v>
      </c>
      <c r="F2" s="55" t="s">
        <v>63</v>
      </c>
      <c r="G2" s="55" t="s">
        <v>64</v>
      </c>
      <c r="H2" s="56" t="s">
        <v>65</v>
      </c>
    </row>
    <row r="3" spans="1:8">
      <c r="A3" s="27" t="s">
        <v>66</v>
      </c>
      <c r="B3" s="57">
        <f>52*5/12</f>
        <v>21.666666666666668</v>
      </c>
      <c r="C3" s="58">
        <f>$B$3*2</f>
        <v>43.333333333333336</v>
      </c>
      <c r="D3" s="58">
        <f>$B$3*3</f>
        <v>65</v>
      </c>
      <c r="E3" s="58">
        <f>$B$3*4</f>
        <v>86.666666666666671</v>
      </c>
      <c r="F3" s="58">
        <f>$B$3*5</f>
        <v>108.33333333333334</v>
      </c>
      <c r="G3" s="58">
        <f>$B$3*6</f>
        <v>130</v>
      </c>
      <c r="H3" s="58">
        <f>$B$3*7</f>
        <v>151.66666666666669</v>
      </c>
    </row>
    <row r="4" spans="1:8">
      <c r="A4" s="27" t="s">
        <v>67</v>
      </c>
      <c r="B4" s="57">
        <f>52*4/12</f>
        <v>17.333333333333332</v>
      </c>
      <c r="C4" s="58">
        <f>$B$4*2</f>
        <v>34.666666666666664</v>
      </c>
      <c r="D4" s="58">
        <f>$B$4*3</f>
        <v>52</v>
      </c>
      <c r="E4" s="58">
        <f>$B$4*4</f>
        <v>69.333333333333329</v>
      </c>
      <c r="F4" s="58">
        <f>$B$4*5</f>
        <v>86.666666666666657</v>
      </c>
      <c r="G4" s="58">
        <f>$B$4*6</f>
        <v>104</v>
      </c>
      <c r="H4" s="58">
        <f>$B$4*7</f>
        <v>121.33333333333333</v>
      </c>
    </row>
    <row r="5" spans="1:8">
      <c r="A5" s="27" t="s">
        <v>68</v>
      </c>
      <c r="B5" s="57">
        <f>52*3/12</f>
        <v>13</v>
      </c>
      <c r="C5" s="58">
        <f>$B$5*2</f>
        <v>26</v>
      </c>
      <c r="D5" s="58">
        <f>$B$5*3</f>
        <v>39</v>
      </c>
      <c r="E5" s="58">
        <f>$B$5*4</f>
        <v>52</v>
      </c>
      <c r="F5" s="58">
        <f>$B$5*5</f>
        <v>65</v>
      </c>
      <c r="G5" s="58">
        <f>$B$5*6</f>
        <v>78</v>
      </c>
      <c r="H5" s="58">
        <f>$B$5*7</f>
        <v>91</v>
      </c>
    </row>
    <row r="6" spans="1:8">
      <c r="A6" s="27" t="s">
        <v>69</v>
      </c>
      <c r="B6" s="57">
        <f>52*2/12</f>
        <v>8.6666666666666661</v>
      </c>
      <c r="C6" s="59">
        <f>$B$6*2</f>
        <v>17.333333333333332</v>
      </c>
      <c r="D6" s="59">
        <f>$B$6*3</f>
        <v>26</v>
      </c>
      <c r="E6" s="59">
        <f>$B$6*4</f>
        <v>34.666666666666664</v>
      </c>
      <c r="F6" s="59">
        <f>$B$6*5</f>
        <v>43.333333333333329</v>
      </c>
      <c r="G6" s="59">
        <f>$B$6*6</f>
        <v>52</v>
      </c>
      <c r="H6" s="59">
        <f>$B$6*7</f>
        <v>60.666666666666664</v>
      </c>
    </row>
    <row r="7" spans="1:8">
      <c r="A7" s="27" t="s">
        <v>70</v>
      </c>
      <c r="B7" s="57">
        <f>52/12</f>
        <v>4.333333333333333</v>
      </c>
      <c r="C7" s="59">
        <f>$B$7*2</f>
        <v>8.6666666666666661</v>
      </c>
      <c r="D7" s="59">
        <f>$B$7*3</f>
        <v>13</v>
      </c>
      <c r="E7" s="59">
        <f>$B$7*4</f>
        <v>17.333333333333332</v>
      </c>
      <c r="F7" s="59">
        <f>$B$7*5</f>
        <v>21.666666666666664</v>
      </c>
      <c r="G7" s="59">
        <f>$B$7*6</f>
        <v>26</v>
      </c>
      <c r="H7" s="59">
        <f>$B$7*7</f>
        <v>30.333333333333332</v>
      </c>
    </row>
    <row r="8" spans="1:8">
      <c r="A8" s="27" t="s">
        <v>71</v>
      </c>
      <c r="B8" s="57">
        <f>26/12</f>
        <v>2.1666666666666665</v>
      </c>
      <c r="C8" s="59">
        <f>$B$8*2</f>
        <v>4.333333333333333</v>
      </c>
      <c r="D8" s="59">
        <f>$B$8*3</f>
        <v>6.5</v>
      </c>
      <c r="E8" s="59">
        <f>$B$8*4</f>
        <v>8.6666666666666661</v>
      </c>
      <c r="F8" s="59">
        <f>$B$8*5</f>
        <v>10.833333333333332</v>
      </c>
      <c r="G8" s="59">
        <f>$B$8*6</f>
        <v>13</v>
      </c>
      <c r="H8" s="59">
        <f>$B$8*7</f>
        <v>15.166666666666666</v>
      </c>
    </row>
    <row r="9" spans="1:8">
      <c r="A9" s="27" t="s">
        <v>72</v>
      </c>
      <c r="B9" s="57">
        <f>12/12</f>
        <v>1</v>
      </c>
      <c r="C9" s="59">
        <f>$B$9*2</f>
        <v>2</v>
      </c>
      <c r="D9" s="59">
        <f>$B$9*3</f>
        <v>3</v>
      </c>
      <c r="E9" s="59">
        <f>$B$9*4</f>
        <v>4</v>
      </c>
      <c r="F9" s="59">
        <f>$B$9*5</f>
        <v>5</v>
      </c>
      <c r="G9" s="59">
        <f>$B$9*6</f>
        <v>6</v>
      </c>
      <c r="H9" s="59">
        <f>$B$9*7</f>
        <v>7</v>
      </c>
    </row>
    <row r="10" spans="1:8">
      <c r="A10" s="27"/>
      <c r="B10" s="57"/>
      <c r="C10" s="59"/>
      <c r="D10" s="59"/>
      <c r="E10" s="59"/>
      <c r="F10" s="59"/>
      <c r="G10" s="59"/>
      <c r="H10" s="59"/>
    </row>
    <row r="11" spans="1:8">
      <c r="A11" s="283" t="s">
        <v>40</v>
      </c>
      <c r="B11" s="283"/>
      <c r="C11" s="59"/>
      <c r="D11" s="59"/>
      <c r="E11" s="59"/>
      <c r="F11" s="59"/>
      <c r="G11" s="59"/>
      <c r="H11" s="59"/>
    </row>
    <row r="12" spans="1:8">
      <c r="A12" s="26" t="s">
        <v>73</v>
      </c>
      <c r="B12" s="60" t="s">
        <v>74</v>
      </c>
      <c r="C12" s="59"/>
      <c r="D12" s="59"/>
      <c r="E12" s="59"/>
      <c r="F12" s="59"/>
      <c r="G12" s="59"/>
      <c r="H12" s="59"/>
    </row>
    <row r="13" spans="1:8">
      <c r="A13" s="34" t="s">
        <v>75</v>
      </c>
      <c r="B13" s="61">
        <v>20</v>
      </c>
      <c r="C13" s="59"/>
      <c r="D13" s="59"/>
      <c r="E13" s="59"/>
      <c r="F13" s="59"/>
      <c r="G13" s="59"/>
      <c r="H13" s="59"/>
    </row>
    <row r="14" spans="1:8">
      <c r="A14" s="34" t="s">
        <v>76</v>
      </c>
      <c r="B14" s="61">
        <v>34</v>
      </c>
      <c r="C14" s="59"/>
      <c r="D14" s="59"/>
      <c r="E14" s="59"/>
      <c r="F14" s="59"/>
      <c r="G14" s="59"/>
      <c r="H14" s="59"/>
    </row>
    <row r="15" spans="1:8">
      <c r="A15" s="34" t="s">
        <v>77</v>
      </c>
      <c r="B15" s="61">
        <v>51</v>
      </c>
      <c r="C15" s="59"/>
      <c r="D15" s="59"/>
      <c r="E15" s="59"/>
      <c r="F15" s="59"/>
      <c r="G15" s="59"/>
      <c r="H15" s="59"/>
    </row>
    <row r="16" spans="1:8">
      <c r="A16" s="34" t="s">
        <v>78</v>
      </c>
      <c r="B16" s="61">
        <v>77</v>
      </c>
      <c r="C16" s="59"/>
      <c r="D16" s="59"/>
      <c r="E16" s="59"/>
      <c r="F16" s="27" t="s">
        <v>79</v>
      </c>
      <c r="G16" s="61">
        <v>2000</v>
      </c>
      <c r="H16" s="59"/>
    </row>
    <row r="17" spans="1:8">
      <c r="A17" s="34" t="s">
        <v>80</v>
      </c>
      <c r="B17" s="61">
        <v>97</v>
      </c>
      <c r="C17" s="59"/>
      <c r="D17" s="59"/>
      <c r="E17" s="59"/>
      <c r="F17" s="27" t="s">
        <v>81</v>
      </c>
      <c r="G17" s="62" t="s">
        <v>82</v>
      </c>
      <c r="H17" s="59"/>
    </row>
    <row r="18" spans="1:8">
      <c r="A18" s="34" t="s">
        <v>83</v>
      </c>
      <c r="B18" s="61">
        <v>117</v>
      </c>
      <c r="C18" s="59"/>
      <c r="D18" s="59"/>
      <c r="E18" s="59"/>
      <c r="F18" s="27"/>
      <c r="G18" s="27"/>
      <c r="H18" s="59"/>
    </row>
    <row r="19" spans="1:8">
      <c r="A19" s="34" t="s">
        <v>84</v>
      </c>
      <c r="B19" s="61">
        <v>157</v>
      </c>
      <c r="C19" s="59"/>
      <c r="D19" s="59"/>
      <c r="E19" s="59"/>
      <c r="F19" s="63"/>
      <c r="G19" s="64"/>
      <c r="H19" s="59"/>
    </row>
    <row r="20" spans="1:8">
      <c r="A20" s="34" t="s">
        <v>85</v>
      </c>
      <c r="B20" s="61">
        <v>37</v>
      </c>
      <c r="C20" s="59" t="s">
        <v>86</v>
      </c>
      <c r="D20" s="59"/>
      <c r="E20" s="59"/>
      <c r="F20" s="63"/>
      <c r="G20" s="64"/>
      <c r="H20" s="59"/>
    </row>
    <row r="21" spans="1:8">
      <c r="A21" s="34" t="s">
        <v>87</v>
      </c>
      <c r="B21" s="61">
        <v>47</v>
      </c>
      <c r="C21" s="59"/>
      <c r="D21" s="59"/>
      <c r="E21" s="59"/>
      <c r="F21" s="59"/>
      <c r="G21" s="59"/>
      <c r="H21" s="59"/>
    </row>
    <row r="22" spans="1:8">
      <c r="A22" s="34" t="s">
        <v>88</v>
      </c>
      <c r="B22" s="61">
        <v>68</v>
      </c>
      <c r="C22" s="59"/>
      <c r="D22" s="59"/>
      <c r="E22" s="59"/>
      <c r="F22" s="59"/>
      <c r="G22" s="59"/>
      <c r="H22" s="59"/>
    </row>
    <row r="23" spans="1:8">
      <c r="A23" s="34" t="s">
        <v>89</v>
      </c>
      <c r="B23" s="61">
        <v>34</v>
      </c>
      <c r="C23" s="59"/>
      <c r="D23" s="59"/>
      <c r="E23" s="59"/>
      <c r="F23" s="59"/>
      <c r="G23" s="59"/>
      <c r="H23" s="59"/>
    </row>
    <row r="24" spans="1:8">
      <c r="A24" s="34" t="s">
        <v>8</v>
      </c>
      <c r="B24" s="61">
        <v>34</v>
      </c>
      <c r="C24" s="59"/>
      <c r="D24" s="59"/>
      <c r="E24" s="59"/>
      <c r="F24" s="59"/>
      <c r="G24" s="59"/>
      <c r="H24" s="59"/>
    </row>
    <row r="25" spans="1:8">
      <c r="A25" s="26" t="s">
        <v>90</v>
      </c>
      <c r="B25" s="61"/>
      <c r="C25" s="59"/>
      <c r="D25" s="59"/>
      <c r="E25" s="59"/>
      <c r="F25" s="59"/>
      <c r="G25" s="59"/>
      <c r="H25" s="59"/>
    </row>
    <row r="26" spans="1:8">
      <c r="A26" s="34" t="s">
        <v>91</v>
      </c>
      <c r="B26" s="61">
        <v>29</v>
      </c>
      <c r="C26" s="59"/>
      <c r="D26" s="59"/>
      <c r="E26" s="59"/>
      <c r="F26" s="59"/>
      <c r="G26" s="59"/>
      <c r="H26" s="59"/>
    </row>
    <row r="27" spans="1:8">
      <c r="A27" s="34" t="s">
        <v>92</v>
      </c>
      <c r="B27" s="61">
        <v>175</v>
      </c>
      <c r="C27" s="59"/>
      <c r="D27" s="59"/>
      <c r="E27" s="59"/>
      <c r="F27" s="59"/>
      <c r="G27" s="59"/>
      <c r="H27" s="59"/>
    </row>
    <row r="28" spans="1:8">
      <c r="A28" s="34" t="s">
        <v>93</v>
      </c>
      <c r="B28" s="61">
        <v>250</v>
      </c>
      <c r="C28" s="59"/>
      <c r="D28" s="59"/>
      <c r="E28" s="59"/>
      <c r="F28" s="59"/>
      <c r="G28" s="59"/>
      <c r="H28" s="59"/>
    </row>
    <row r="29" spans="1:8">
      <c r="A29" s="34" t="s">
        <v>94</v>
      </c>
      <c r="B29" s="61">
        <v>324</v>
      </c>
      <c r="C29" s="59"/>
      <c r="D29" s="59"/>
      <c r="E29" s="59"/>
      <c r="F29" s="59"/>
      <c r="G29" s="59"/>
      <c r="H29" s="59"/>
    </row>
    <row r="30" spans="1:8">
      <c r="A30" s="34" t="s">
        <v>95</v>
      </c>
      <c r="B30" s="61">
        <v>473</v>
      </c>
      <c r="C30" s="59"/>
      <c r="D30" s="59"/>
      <c r="E30" s="59"/>
      <c r="F30" s="59"/>
      <c r="G30" s="59"/>
      <c r="H30" s="59"/>
    </row>
    <row r="31" spans="1:8">
      <c r="A31" s="34" t="s">
        <v>96</v>
      </c>
      <c r="B31" s="61">
        <v>613</v>
      </c>
      <c r="C31" s="59"/>
      <c r="D31" s="59"/>
      <c r="E31" s="59"/>
      <c r="F31" s="59"/>
      <c r="G31" s="59"/>
      <c r="H31" s="59"/>
    </row>
    <row r="32" spans="1:8">
      <c r="A32" s="34" t="s">
        <v>97</v>
      </c>
      <c r="B32" s="61">
        <v>840</v>
      </c>
      <c r="C32" s="59"/>
      <c r="D32" s="59"/>
      <c r="E32" s="59"/>
      <c r="F32" s="59"/>
      <c r="G32" s="59"/>
      <c r="H32" s="59"/>
    </row>
    <row r="33" spans="1:8">
      <c r="A33" s="34" t="s">
        <v>98</v>
      </c>
      <c r="B33" s="61">
        <v>980</v>
      </c>
      <c r="C33" s="59"/>
      <c r="D33" s="59"/>
      <c r="E33" s="59"/>
      <c r="F33" s="59"/>
      <c r="G33" s="59"/>
      <c r="H33" s="59"/>
    </row>
    <row r="34" spans="1:8">
      <c r="A34" s="34" t="s">
        <v>99</v>
      </c>
      <c r="B34" s="61">
        <v>482</v>
      </c>
      <c r="C34" s="59" t="s">
        <v>86</v>
      </c>
      <c r="D34" s="59"/>
      <c r="E34" s="59"/>
      <c r="F34" s="59"/>
      <c r="G34" s="59"/>
      <c r="H34" s="59"/>
    </row>
    <row r="35" spans="1:8">
      <c r="A35" s="34" t="s">
        <v>100</v>
      </c>
      <c r="B35" s="61">
        <v>689</v>
      </c>
      <c r="C35" s="59" t="s">
        <v>86</v>
      </c>
      <c r="D35" s="59"/>
      <c r="E35" s="59"/>
      <c r="F35" s="59"/>
      <c r="G35" s="59"/>
      <c r="H35" s="59"/>
    </row>
    <row r="36" spans="1:8">
      <c r="A36" s="34" t="s">
        <v>101</v>
      </c>
      <c r="B36" s="61">
        <v>892</v>
      </c>
      <c r="C36" s="59" t="s">
        <v>86</v>
      </c>
      <c r="D36" s="59"/>
      <c r="E36" s="59"/>
      <c r="F36" s="59"/>
      <c r="G36" s="59"/>
      <c r="H36" s="59"/>
    </row>
    <row r="37" spans="1:8">
      <c r="A37" s="34" t="s">
        <v>102</v>
      </c>
      <c r="B37" s="61">
        <v>1301</v>
      </c>
      <c r="C37" s="59"/>
      <c r="D37" s="59"/>
      <c r="E37" s="59"/>
      <c r="F37" s="59"/>
      <c r="G37" s="59"/>
      <c r="H37" s="59"/>
    </row>
    <row r="38" spans="1:8">
      <c r="A38" s="34" t="s">
        <v>103</v>
      </c>
      <c r="B38" s="61">
        <v>1686</v>
      </c>
      <c r="C38" s="59"/>
      <c r="D38" s="59"/>
      <c r="E38" s="59"/>
      <c r="F38" s="59"/>
      <c r="G38" s="59"/>
      <c r="H38" s="59"/>
    </row>
    <row r="39" spans="1:8">
      <c r="A39" s="34" t="s">
        <v>104</v>
      </c>
      <c r="B39" s="61">
        <v>2046</v>
      </c>
      <c r="C39" s="59"/>
      <c r="D39" s="59"/>
      <c r="E39" s="59"/>
      <c r="F39" s="59"/>
      <c r="G39" s="59"/>
      <c r="H39" s="59"/>
    </row>
    <row r="40" spans="1:8">
      <c r="A40" s="34" t="s">
        <v>105</v>
      </c>
      <c r="B40" s="61">
        <v>2310</v>
      </c>
      <c r="C40" s="59"/>
      <c r="D40" s="59"/>
      <c r="E40" s="59"/>
      <c r="F40" s="59"/>
      <c r="G40" s="59"/>
      <c r="H40" s="59"/>
    </row>
    <row r="41" spans="1:8">
      <c r="A41" s="34" t="s">
        <v>106</v>
      </c>
      <c r="B41" s="61">
        <v>2800</v>
      </c>
      <c r="C41" s="59" t="s">
        <v>86</v>
      </c>
      <c r="D41" s="59"/>
      <c r="E41" s="59"/>
      <c r="F41" s="59"/>
      <c r="G41" s="59"/>
      <c r="H41" s="59"/>
    </row>
    <row r="42" spans="1:8">
      <c r="A42" s="34" t="s">
        <v>107</v>
      </c>
      <c r="B42" s="61">
        <v>125</v>
      </c>
      <c r="C42" s="59"/>
      <c r="D42" s="59"/>
      <c r="E42" s="59"/>
      <c r="F42" s="59"/>
      <c r="G42" s="59"/>
      <c r="H42" s="59"/>
    </row>
    <row r="43" spans="1:8">
      <c r="A43" s="27"/>
      <c r="B43" s="284" t="s">
        <v>108</v>
      </c>
      <c r="C43" s="284"/>
      <c r="D43" s="27"/>
      <c r="E43" s="27"/>
      <c r="F43" s="27"/>
      <c r="G43" s="27"/>
      <c r="H43" s="27"/>
    </row>
    <row r="44" spans="1:8">
      <c r="A44" s="27"/>
      <c r="B44" s="27"/>
      <c r="C44" s="27"/>
      <c r="D44" s="27"/>
      <c r="E44" s="27"/>
      <c r="F44" s="27"/>
      <c r="G44" s="27"/>
      <c r="H44" s="27"/>
    </row>
    <row r="45" spans="1:8">
      <c r="A45" s="27"/>
      <c r="B45" s="27"/>
      <c r="C45" s="27"/>
      <c r="D45" s="27"/>
      <c r="E45" s="27"/>
      <c r="F45" s="27"/>
      <c r="G45" s="27"/>
      <c r="H45" s="27"/>
    </row>
    <row r="46" spans="1:8">
      <c r="A46" s="28" t="s">
        <v>18</v>
      </c>
      <c r="B46" s="29" t="s">
        <v>22</v>
      </c>
      <c r="C46" s="29" t="s">
        <v>23</v>
      </c>
      <c r="D46" s="27"/>
      <c r="E46" s="27"/>
      <c r="F46" s="285" t="s">
        <v>24</v>
      </c>
      <c r="G46" s="285"/>
      <c r="H46" s="27"/>
    </row>
    <row r="47" spans="1:8">
      <c r="A47" s="30" t="s">
        <v>25</v>
      </c>
      <c r="B47" s="65">
        <v>168.68</v>
      </c>
      <c r="C47" s="32">
        <f>B47/2000</f>
        <v>8.4339999999999998E-2</v>
      </c>
      <c r="D47" s="27"/>
      <c r="E47" s="27"/>
      <c r="F47" s="27" t="s">
        <v>26</v>
      </c>
      <c r="G47" s="70">
        <v>1.7500000000000002E-2</v>
      </c>
      <c r="H47" s="27"/>
    </row>
    <row r="48" spans="1:8">
      <c r="A48" s="30" t="s">
        <v>27</v>
      </c>
      <c r="B48" s="66">
        <f>B59</f>
        <v>185.28000000000003</v>
      </c>
      <c r="C48" s="33">
        <f>B48/2000</f>
        <v>9.2640000000000014E-2</v>
      </c>
      <c r="D48" s="27"/>
      <c r="E48" s="27"/>
      <c r="F48" s="27" t="s">
        <v>28</v>
      </c>
      <c r="G48" s="71">
        <v>5.1000000000000004E-3</v>
      </c>
      <c r="H48" s="27"/>
    </row>
    <row r="49" spans="1:8">
      <c r="A49" s="34" t="s">
        <v>29</v>
      </c>
      <c r="B49" s="31">
        <f>B48-B47</f>
        <v>16.600000000000023</v>
      </c>
      <c r="C49" s="35">
        <f>C48-C47</f>
        <v>8.3000000000000157E-3</v>
      </c>
      <c r="D49" s="27"/>
      <c r="E49" s="27"/>
      <c r="F49" s="27" t="s">
        <v>30</v>
      </c>
      <c r="G49" s="185">
        <v>2.8895328891521423E-3</v>
      </c>
      <c r="H49" s="27" t="s">
        <v>140</v>
      </c>
    </row>
    <row r="50" spans="1:8">
      <c r="A50" s="27"/>
      <c r="B50" s="27"/>
      <c r="C50" s="27"/>
      <c r="D50" s="27"/>
      <c r="E50" s="27"/>
      <c r="F50" s="27" t="s">
        <v>2</v>
      </c>
      <c r="G50" s="67">
        <f>SUM(G47:G49)</f>
        <v>2.5489532889152143E-2</v>
      </c>
      <c r="H50" s="27"/>
    </row>
    <row r="51" spans="1:8">
      <c r="A51" s="27"/>
      <c r="B51" s="36" t="s">
        <v>31</v>
      </c>
      <c r="C51" s="27"/>
      <c r="D51" s="27"/>
      <c r="E51" s="27"/>
      <c r="F51" s="27"/>
      <c r="G51" s="27"/>
      <c r="H51" s="27"/>
    </row>
    <row r="52" spans="1:8">
      <c r="A52" s="27" t="s">
        <v>32</v>
      </c>
      <c r="B52" s="37">
        <f>B49</f>
        <v>16.600000000000023</v>
      </c>
      <c r="C52" s="27"/>
      <c r="D52" s="27"/>
      <c r="E52" s="27"/>
      <c r="F52" s="27" t="s">
        <v>16</v>
      </c>
      <c r="G52" s="38">
        <f>1-G50</f>
        <v>0.97451046711084788</v>
      </c>
      <c r="H52" s="27"/>
    </row>
    <row r="53" spans="1:8">
      <c r="A53" s="27" t="s">
        <v>33</v>
      </c>
      <c r="B53" s="37">
        <f>B52/$G$52</f>
        <v>17.03419363900154</v>
      </c>
      <c r="C53" s="27"/>
      <c r="D53" s="27"/>
      <c r="E53" s="27"/>
      <c r="F53" s="27"/>
      <c r="G53" s="27"/>
      <c r="H53" s="27"/>
    </row>
    <row r="54" spans="1:8">
      <c r="A54" s="27" t="s">
        <v>34</v>
      </c>
      <c r="B54" s="72">
        <f>'Revenue &amp; Expense Adj.'!D21</f>
        <v>27138.859997868276</v>
      </c>
      <c r="C54" s="27"/>
      <c r="D54" s="27"/>
      <c r="E54" s="27"/>
      <c r="F54" s="27"/>
      <c r="G54" s="27"/>
      <c r="H54" s="27"/>
    </row>
    <row r="55" spans="1:8">
      <c r="A55" s="26" t="s">
        <v>35</v>
      </c>
      <c r="B55" s="68">
        <f>B53*B54</f>
        <v>462288.59634544112</v>
      </c>
      <c r="C55" s="27"/>
      <c r="D55" s="27"/>
      <c r="E55" s="27"/>
      <c r="F55" s="27"/>
      <c r="G55" s="27"/>
      <c r="H55" s="27"/>
    </row>
    <row r="56" spans="1:8">
      <c r="A56" s="27"/>
      <c r="B56" s="27"/>
      <c r="C56" s="27"/>
      <c r="D56" s="27"/>
      <c r="E56" s="27"/>
      <c r="F56" s="27"/>
      <c r="G56" s="27"/>
      <c r="H56" s="27"/>
    </row>
    <row r="57" spans="1:8">
      <c r="A57" s="27" t="s">
        <v>412</v>
      </c>
      <c r="B57" s="27">
        <v>150.83000000000001</v>
      </c>
      <c r="C57" t="s">
        <v>414</v>
      </c>
      <c r="D57" s="27"/>
      <c r="E57" s="27"/>
      <c r="F57" s="27"/>
      <c r="G57" s="27"/>
      <c r="H57" s="27"/>
    </row>
    <row r="58" spans="1:8">
      <c r="A58" s="27" t="s">
        <v>413</v>
      </c>
      <c r="B58">
        <v>34.450000000000003</v>
      </c>
      <c r="C58" t="s">
        <v>414</v>
      </c>
    </row>
    <row r="59" spans="1:8">
      <c r="B59">
        <f>SUM(B57:B58)</f>
        <v>185.28000000000003</v>
      </c>
      <c r="C59" t="s">
        <v>414</v>
      </c>
    </row>
  </sheetData>
  <mergeCells count="4">
    <mergeCell ref="A1:H1"/>
    <mergeCell ref="A11:B11"/>
    <mergeCell ref="B43:C43"/>
    <mergeCell ref="F46:G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G88"/>
  <sheetViews>
    <sheetView tabSelected="1" topLeftCell="B1" workbookViewId="0">
      <selection activeCell="F49" sqref="F49"/>
    </sheetView>
  </sheetViews>
  <sheetFormatPr defaultRowHeight="12.75"/>
  <cols>
    <col min="1" max="1" width="3.7109375" style="77" bestFit="1" customWidth="1"/>
    <col min="2" max="2" width="16.85546875" style="77" customWidth="1"/>
    <col min="3" max="3" width="31.7109375" style="77" customWidth="1"/>
    <col min="4" max="4" width="11.42578125" style="77" customWidth="1"/>
    <col min="5" max="5" width="10.42578125" style="77" customWidth="1"/>
    <col min="6" max="6" width="11.85546875" style="77" bestFit="1" customWidth="1"/>
    <col min="7" max="7" width="10.42578125" style="77" bestFit="1" customWidth="1"/>
    <col min="8" max="8" width="14.85546875" style="77" customWidth="1"/>
    <col min="9" max="9" width="13.28515625" style="77" customWidth="1"/>
    <col min="10" max="10" width="14.140625" style="77" customWidth="1"/>
    <col min="11" max="11" width="13.85546875" style="77" customWidth="1"/>
    <col min="12" max="12" width="10" style="77" customWidth="1"/>
    <col min="13" max="13" width="10.140625" style="77" customWidth="1"/>
    <col min="14" max="14" width="11.140625" style="77" customWidth="1"/>
    <col min="15" max="15" width="12.7109375" style="77" bestFit="1" customWidth="1"/>
    <col min="16" max="16" width="11.42578125" style="77" customWidth="1"/>
    <col min="17" max="17" width="13.28515625" style="77" customWidth="1"/>
    <col min="18" max="16384" width="9.140625" style="77"/>
  </cols>
  <sheetData>
    <row r="1" spans="1:21" ht="38.25">
      <c r="A1" s="73"/>
      <c r="B1" s="74" t="s">
        <v>36</v>
      </c>
      <c r="C1" s="75" t="s">
        <v>115</v>
      </c>
      <c r="D1" s="74" t="s">
        <v>37</v>
      </c>
      <c r="E1" s="74" t="s">
        <v>38</v>
      </c>
      <c r="F1" s="73" t="s">
        <v>39</v>
      </c>
      <c r="G1" s="74" t="s">
        <v>40</v>
      </c>
      <c r="H1" s="74" t="s">
        <v>41</v>
      </c>
      <c r="I1" s="76" t="s">
        <v>42</v>
      </c>
      <c r="J1" s="74" t="s">
        <v>29</v>
      </c>
      <c r="K1" s="74" t="s">
        <v>43</v>
      </c>
      <c r="L1" s="74" t="s">
        <v>44</v>
      </c>
      <c r="M1" s="74" t="s">
        <v>45</v>
      </c>
      <c r="N1" s="74" t="s">
        <v>176</v>
      </c>
      <c r="O1" s="74" t="s">
        <v>46</v>
      </c>
      <c r="P1" s="74" t="s">
        <v>175</v>
      </c>
      <c r="Q1" s="74" t="s">
        <v>47</v>
      </c>
    </row>
    <row r="2" spans="1:21">
      <c r="A2" s="291" t="s">
        <v>20</v>
      </c>
      <c r="B2" s="78">
        <v>24</v>
      </c>
      <c r="C2" s="77" t="s">
        <v>109</v>
      </c>
      <c r="D2" s="79">
        <v>364.37520000000001</v>
      </c>
      <c r="E2" s="80">
        <f>References!$B$7</f>
        <v>4.333333333333333</v>
      </c>
      <c r="F2" s="79">
        <f t="shared" ref="F2:F14" si="0">D2*E2*12</f>
        <v>18947.510399999999</v>
      </c>
      <c r="G2" s="53">
        <f>References!B13</f>
        <v>20</v>
      </c>
      <c r="H2" s="79">
        <f t="shared" ref="H2:H14" si="1">G2*F2</f>
        <v>378950.20799999998</v>
      </c>
      <c r="I2" s="81">
        <f t="shared" ref="I2:I15" si="2">$D$84*H2</f>
        <v>304802.82788194256</v>
      </c>
      <c r="J2" s="84">
        <f>(References!$C$49*I2)</f>
        <v>2529.863471420128</v>
      </c>
      <c r="K2" s="84">
        <f>J2/References!$G$52</f>
        <v>2596.0351959281347</v>
      </c>
      <c r="L2" s="82">
        <f t="shared" ref="L2:L14" si="3">(K2/F2)*E2</f>
        <v>0.59371841532394243</v>
      </c>
      <c r="M2" s="52">
        <v>10.199999999999999</v>
      </c>
      <c r="N2" s="83">
        <f>L2+M2</f>
        <v>10.793718415323942</v>
      </c>
      <c r="O2" s="84">
        <f t="shared" ref="O2:O15" si="4">D2*M2*12</f>
        <v>44599.52448</v>
      </c>
      <c r="P2" s="84">
        <f t="shared" ref="P2:P15" si="5">D2*N2*12</f>
        <v>47195.559675928132</v>
      </c>
      <c r="Q2" s="182">
        <f>+P2-O2</f>
        <v>2596.0351959281325</v>
      </c>
      <c r="S2" s="184">
        <f>+N2/M2-1</f>
        <v>5.8207687776857142E-2</v>
      </c>
      <c r="U2" s="52"/>
    </row>
    <row r="3" spans="1:21">
      <c r="A3" s="291"/>
      <c r="B3" s="78">
        <v>24</v>
      </c>
      <c r="C3" s="77" t="s">
        <v>110</v>
      </c>
      <c r="D3" s="79">
        <v>210.90195</v>
      </c>
      <c r="E3" s="80">
        <f>References!B9</f>
        <v>1</v>
      </c>
      <c r="F3" s="79">
        <f t="shared" si="0"/>
        <v>2530.8234000000002</v>
      </c>
      <c r="G3" s="53">
        <f>References!B14</f>
        <v>34</v>
      </c>
      <c r="H3" s="79">
        <f t="shared" si="1"/>
        <v>86047.995600000009</v>
      </c>
      <c r="I3" s="81">
        <f t="shared" si="2"/>
        <v>69211.394633811506</v>
      </c>
      <c r="J3" s="84">
        <f>(References!$C$49*I3)</f>
        <v>574.45457546063653</v>
      </c>
      <c r="K3" s="84">
        <f>J3/References!$G$52</f>
        <v>589.48014910884888</v>
      </c>
      <c r="L3" s="82">
        <f t="shared" si="3"/>
        <v>0.23292030139631584</v>
      </c>
      <c r="M3" s="52">
        <v>8.0500000000000007</v>
      </c>
      <c r="N3" s="83">
        <f t="shared" ref="N3:N15" si="6">L3+M3</f>
        <v>8.2829203013963166</v>
      </c>
      <c r="O3" s="84">
        <f t="shared" si="4"/>
        <v>20373.128370000002</v>
      </c>
      <c r="P3" s="84">
        <f t="shared" si="5"/>
        <v>20962.60851910885</v>
      </c>
      <c r="Q3" s="182">
        <f t="shared" ref="Q3:Q30" si="7">+P3-O3</f>
        <v>589.4801491088474</v>
      </c>
      <c r="S3" s="184">
        <f t="shared" ref="S3:S30" si="8">+N3/M3-1</f>
        <v>2.893419893121929E-2</v>
      </c>
      <c r="U3" s="52"/>
    </row>
    <row r="4" spans="1:21">
      <c r="A4" s="291"/>
      <c r="B4" s="78">
        <v>24</v>
      </c>
      <c r="C4" s="77" t="s">
        <v>111</v>
      </c>
      <c r="D4" s="79">
        <v>2619.9369000000002</v>
      </c>
      <c r="E4" s="80">
        <f>References!$B$7</f>
        <v>4.333333333333333</v>
      </c>
      <c r="F4" s="79">
        <f t="shared" si="0"/>
        <v>136236.7188</v>
      </c>
      <c r="G4" s="53">
        <f>References!B14</f>
        <v>34</v>
      </c>
      <c r="H4" s="79">
        <f t="shared" si="1"/>
        <v>4632048.4391999999</v>
      </c>
      <c r="I4" s="81">
        <f t="shared" si="2"/>
        <v>3725717.6097243316</v>
      </c>
      <c r="J4" s="84">
        <f>(References!$C$49*I4)</f>
        <v>30923.456160712012</v>
      </c>
      <c r="K4" s="84">
        <f>J4/References!$G$52</f>
        <v>31732.297604141131</v>
      </c>
      <c r="L4" s="82">
        <f t="shared" si="3"/>
        <v>1.009321306050702</v>
      </c>
      <c r="M4" s="52">
        <v>17.66</v>
      </c>
      <c r="N4" s="83">
        <f t="shared" si="6"/>
        <v>18.669321306050701</v>
      </c>
      <c r="O4" s="84">
        <f t="shared" si="4"/>
        <v>555217.02784800006</v>
      </c>
      <c r="P4" s="84">
        <f t="shared" si="5"/>
        <v>586949.32545214111</v>
      </c>
      <c r="Q4" s="182">
        <f t="shared" si="7"/>
        <v>31732.297604141058</v>
      </c>
      <c r="S4" s="184">
        <f t="shared" si="8"/>
        <v>5.7152961837525496E-2</v>
      </c>
      <c r="U4" s="52"/>
    </row>
    <row r="5" spans="1:21">
      <c r="A5" s="291"/>
      <c r="B5" s="78">
        <v>24</v>
      </c>
      <c r="C5" s="77" t="s">
        <v>112</v>
      </c>
      <c r="D5" s="79">
        <v>213.8724</v>
      </c>
      <c r="E5" s="80">
        <f>References!$B$7</f>
        <v>4.333333333333333</v>
      </c>
      <c r="F5" s="79">
        <f t="shared" si="0"/>
        <v>11121.364799999999</v>
      </c>
      <c r="G5" s="53">
        <f>References!B15</f>
        <v>51</v>
      </c>
      <c r="H5" s="79">
        <f t="shared" si="1"/>
        <v>567189.60479999997</v>
      </c>
      <c r="I5" s="81">
        <f t="shared" si="2"/>
        <v>456210.31955808139</v>
      </c>
      <c r="J5" s="84">
        <f>(References!$C$49*I5)</f>
        <v>3786.5456523320827</v>
      </c>
      <c r="K5" s="84">
        <f>J5/References!$G$52</f>
        <v>3885.5874617315667</v>
      </c>
      <c r="L5" s="82">
        <f t="shared" si="3"/>
        <v>1.5139819590760528</v>
      </c>
      <c r="M5" s="52">
        <v>26.860124151721411</v>
      </c>
      <c r="N5" s="83">
        <f t="shared" si="6"/>
        <v>28.374106110797463</v>
      </c>
      <c r="O5" s="84">
        <f t="shared" si="4"/>
        <v>68935.670599519464</v>
      </c>
      <c r="P5" s="84">
        <f t="shared" si="5"/>
        <v>72821.258061251036</v>
      </c>
      <c r="Q5" s="182">
        <f t="shared" si="7"/>
        <v>3885.5874617315712</v>
      </c>
      <c r="S5" s="184">
        <f t="shared" si="8"/>
        <v>5.6365411809871535E-2</v>
      </c>
      <c r="U5" s="52"/>
    </row>
    <row r="6" spans="1:21">
      <c r="A6" s="291"/>
      <c r="B6" s="78">
        <v>24</v>
      </c>
      <c r="C6" s="77" t="s">
        <v>113</v>
      </c>
      <c r="D6" s="79">
        <v>16.832550000000001</v>
      </c>
      <c r="E6" s="80">
        <f>References!$B$7</f>
        <v>4.333333333333333</v>
      </c>
      <c r="F6" s="79">
        <f t="shared" si="0"/>
        <v>875.29259999999999</v>
      </c>
      <c r="G6" s="53">
        <f>References!B16</f>
        <v>77</v>
      </c>
      <c r="H6" s="79">
        <f t="shared" si="1"/>
        <v>67397.530199999994</v>
      </c>
      <c r="I6" s="81">
        <f t="shared" si="2"/>
        <v>54210.176861068314</v>
      </c>
      <c r="J6" s="84">
        <f>(References!$C$49*I6)</f>
        <v>449.94446794686786</v>
      </c>
      <c r="K6" s="84">
        <f>J6/References!$G$52</f>
        <v>461.71332492797939</v>
      </c>
      <c r="L6" s="82">
        <f t="shared" si="3"/>
        <v>2.285815898997178</v>
      </c>
      <c r="M6" s="52">
        <v>41.48</v>
      </c>
      <c r="N6" s="83">
        <f t="shared" si="6"/>
        <v>43.765815898997175</v>
      </c>
      <c r="O6" s="84">
        <f t="shared" si="4"/>
        <v>8378.5700880000004</v>
      </c>
      <c r="P6" s="84">
        <f t="shared" si="5"/>
        <v>8840.28341292798</v>
      </c>
      <c r="Q6" s="182">
        <f t="shared" si="7"/>
        <v>461.71332492797956</v>
      </c>
      <c r="S6" s="184">
        <f t="shared" si="8"/>
        <v>5.5106458510057355E-2</v>
      </c>
      <c r="U6" s="52"/>
    </row>
    <row r="7" spans="1:21">
      <c r="A7" s="291"/>
      <c r="B7" s="78">
        <v>24</v>
      </c>
      <c r="C7" s="77" t="s">
        <v>114</v>
      </c>
      <c r="D7" s="79">
        <v>0.99014999999999997</v>
      </c>
      <c r="E7" s="80">
        <f>References!$B$7</f>
        <v>4.333333333333333</v>
      </c>
      <c r="F7" s="79">
        <f t="shared" si="0"/>
        <v>51.487799999999993</v>
      </c>
      <c r="G7" s="53">
        <f>References!B17</f>
        <v>97</v>
      </c>
      <c r="H7" s="79">
        <f t="shared" si="1"/>
        <v>4994.3165999999992</v>
      </c>
      <c r="I7" s="81">
        <f t="shared" si="2"/>
        <v>4017.1024870310362</v>
      </c>
      <c r="J7" s="84">
        <f>(References!$C$49*I7)</f>
        <v>33.341950642357666</v>
      </c>
      <c r="K7" s="84">
        <f>J7/References!$G$52</f>
        <v>34.214050815900691</v>
      </c>
      <c r="L7" s="82">
        <f t="shared" si="3"/>
        <v>2.8795343143211207</v>
      </c>
      <c r="M7" s="52">
        <v>54.82</v>
      </c>
      <c r="N7" s="83">
        <f t="shared" si="6"/>
        <v>57.69953431432112</v>
      </c>
      <c r="O7" s="84">
        <f t="shared" si="4"/>
        <v>651.360276</v>
      </c>
      <c r="P7" s="84">
        <f t="shared" si="5"/>
        <v>685.57432681590069</v>
      </c>
      <c r="Q7" s="182">
        <f t="shared" si="7"/>
        <v>34.214050815900691</v>
      </c>
      <c r="S7" s="184">
        <f t="shared" si="8"/>
        <v>5.2527076145952645E-2</v>
      </c>
      <c r="U7" s="52"/>
    </row>
    <row r="8" spans="1:21">
      <c r="A8" s="291"/>
      <c r="B8" s="78">
        <v>24</v>
      </c>
      <c r="C8" s="77" t="s">
        <v>410</v>
      </c>
      <c r="D8" s="79">
        <v>1</v>
      </c>
      <c r="E8" s="80">
        <f>References!$B$7</f>
        <v>4.333333333333333</v>
      </c>
      <c r="F8" s="79">
        <f t="shared" si="0"/>
        <v>52</v>
      </c>
      <c r="G8" s="53">
        <f>References!B18</f>
        <v>117</v>
      </c>
      <c r="H8" s="79">
        <f t="shared" ref="H8:H9" si="9">G8*F8</f>
        <v>6084</v>
      </c>
      <c r="I8" s="81">
        <f t="shared" ref="I8:I9" si="10">$D$84*H8</f>
        <v>4893.5727324729123</v>
      </c>
      <c r="J8" s="84">
        <f>(References!$C$49*I8)</f>
        <v>40.61665367952525</v>
      </c>
      <c r="K8" s="84">
        <f>J8/References!$G$52</f>
        <v>41.679032755740749</v>
      </c>
      <c r="L8" s="82">
        <f t="shared" ref="L8:L9" si="11">(K8/F8)*E8</f>
        <v>3.4732527296450622</v>
      </c>
      <c r="M8" s="52">
        <v>60.95</v>
      </c>
      <c r="N8" s="83">
        <f t="shared" ref="N8:N9" si="12">L8+M8</f>
        <v>64.423252729645071</v>
      </c>
      <c r="O8" s="84">
        <f t="shared" ref="O8:O9" si="13">D8*M8*12</f>
        <v>731.40000000000009</v>
      </c>
      <c r="P8" s="84">
        <f t="shared" ref="P8:P9" si="14">D8*N8*12</f>
        <v>773.07903275574085</v>
      </c>
      <c r="Q8" s="182">
        <f t="shared" ref="Q8:Q9" si="15">+P8-O8</f>
        <v>41.679032755740764</v>
      </c>
      <c r="S8" s="184"/>
      <c r="U8" s="52"/>
    </row>
    <row r="9" spans="1:21">
      <c r="A9" s="291"/>
      <c r="B9" s="78">
        <v>24</v>
      </c>
      <c r="C9" s="77" t="s">
        <v>411</v>
      </c>
      <c r="D9" s="79">
        <v>1</v>
      </c>
      <c r="E9" s="80">
        <f>References!$B$7</f>
        <v>4.333333333333333</v>
      </c>
      <c r="F9" s="79">
        <f t="shared" si="0"/>
        <v>52</v>
      </c>
      <c r="G9" s="53">
        <f>References!B19</f>
        <v>157</v>
      </c>
      <c r="H9" s="79">
        <f t="shared" si="9"/>
        <v>8164</v>
      </c>
      <c r="I9" s="81">
        <f t="shared" si="10"/>
        <v>6566.5890512670712</v>
      </c>
      <c r="J9" s="84">
        <f>(References!$C$49*I9)</f>
        <v>54.502689125516795</v>
      </c>
      <c r="K9" s="84">
        <f>J9/References!$G$52</f>
        <v>55.928274723515379</v>
      </c>
      <c r="L9" s="82">
        <f t="shared" si="11"/>
        <v>4.6606895602929477</v>
      </c>
      <c r="M9" s="52">
        <v>73.430000000000007</v>
      </c>
      <c r="N9" s="83">
        <f t="shared" si="12"/>
        <v>78.090689560292958</v>
      </c>
      <c r="O9" s="84">
        <f t="shared" si="13"/>
        <v>881.16000000000008</v>
      </c>
      <c r="P9" s="84">
        <f t="shared" si="14"/>
        <v>937.0882747235155</v>
      </c>
      <c r="Q9" s="182">
        <f t="shared" si="15"/>
        <v>55.928274723515415</v>
      </c>
      <c r="S9" s="184"/>
      <c r="U9" s="52"/>
    </row>
    <row r="10" spans="1:21">
      <c r="A10" s="291"/>
      <c r="B10" s="78">
        <v>24</v>
      </c>
      <c r="C10" s="77" t="s">
        <v>119</v>
      </c>
      <c r="D10" s="79">
        <v>1351.55475</v>
      </c>
      <c r="E10" s="80">
        <f>References!$B$7</f>
        <v>4.333333333333333</v>
      </c>
      <c r="F10" s="79">
        <f t="shared" si="0"/>
        <v>70280.846999999994</v>
      </c>
      <c r="G10" s="53">
        <f>References!B13</f>
        <v>20</v>
      </c>
      <c r="H10" s="79">
        <f t="shared" si="1"/>
        <v>1405616.94</v>
      </c>
      <c r="I10" s="81">
        <f t="shared" si="2"/>
        <v>1130586.5762468793</v>
      </c>
      <c r="J10" s="84">
        <f>(References!$C$49*I10)</f>
        <v>9383.8685828491161</v>
      </c>
      <c r="K10" s="84">
        <f>J10/References!$G$52</f>
        <v>9629.3153327225646</v>
      </c>
      <c r="L10" s="82">
        <f t="shared" si="3"/>
        <v>0.59371841532394243</v>
      </c>
      <c r="M10" s="52">
        <v>11.9</v>
      </c>
      <c r="N10" s="83">
        <f t="shared" si="6"/>
        <v>12.493718415323944</v>
      </c>
      <c r="O10" s="84">
        <f t="shared" si="4"/>
        <v>193002.01830000003</v>
      </c>
      <c r="P10" s="84">
        <f t="shared" si="5"/>
        <v>202631.33363272256</v>
      </c>
      <c r="Q10" s="182">
        <f t="shared" si="7"/>
        <v>9629.31533272253</v>
      </c>
      <c r="S10" s="184">
        <f t="shared" si="8"/>
        <v>4.9892303808734662E-2</v>
      </c>
      <c r="U10" s="52"/>
    </row>
    <row r="11" spans="1:21">
      <c r="A11" s="291"/>
      <c r="B11" s="78">
        <v>24</v>
      </c>
      <c r="C11" s="77" t="s">
        <v>116</v>
      </c>
      <c r="D11" s="79">
        <v>1</v>
      </c>
      <c r="E11" s="80">
        <v>1</v>
      </c>
      <c r="F11" s="79">
        <f t="shared" ref="F11" si="16">D11*E11*12</f>
        <v>12</v>
      </c>
      <c r="G11" s="53">
        <f>References!$B$20</f>
        <v>37</v>
      </c>
      <c r="H11" s="79">
        <f t="shared" ref="H11" si="17">G11*F11</f>
        <v>444</v>
      </c>
      <c r="I11" s="81">
        <f t="shared" ref="I11" si="18">$D$84*H11</f>
        <v>357.1246372810607</v>
      </c>
      <c r="J11" s="84">
        <f>(References!$C$49*I11)</f>
        <v>2.9641344894328094</v>
      </c>
      <c r="K11" s="84">
        <f>J11/References!$G$52</f>
        <v>3.0416651123518896</v>
      </c>
      <c r="L11" s="82">
        <f t="shared" ref="L11" si="19">(K11/F11)*E11</f>
        <v>0.2534720926959908</v>
      </c>
      <c r="M11" s="52">
        <v>8.56</v>
      </c>
      <c r="N11" s="83">
        <f t="shared" ref="N11" si="20">L11+M11</f>
        <v>8.8134720926959922</v>
      </c>
      <c r="O11" s="84">
        <f t="shared" ref="O11" si="21">D11*M11*12</f>
        <v>102.72</v>
      </c>
      <c r="P11" s="84">
        <f t="shared" ref="P11" si="22">D11*N11*12</f>
        <v>105.76166511235191</v>
      </c>
      <c r="Q11" s="182">
        <f t="shared" ref="Q11" si="23">+P11-O11</f>
        <v>3.0416651123519074</v>
      </c>
      <c r="S11" s="184">
        <f t="shared" ref="S11" si="24">+N11/M11-1</f>
        <v>2.9611225782242068E-2</v>
      </c>
      <c r="U11" s="52"/>
    </row>
    <row r="12" spans="1:21">
      <c r="A12" s="291"/>
      <c r="B12" s="78">
        <v>24</v>
      </c>
      <c r="C12" s="77" t="s">
        <v>116</v>
      </c>
      <c r="D12" s="79">
        <v>7933.081799999999</v>
      </c>
      <c r="E12" s="80">
        <f>References!$B$7</f>
        <v>4.333333333333333</v>
      </c>
      <c r="F12" s="79">
        <f t="shared" si="0"/>
        <v>412520.25359999994</v>
      </c>
      <c r="G12" s="53">
        <f>References!$B$20</f>
        <v>37</v>
      </c>
      <c r="H12" s="79">
        <f t="shared" si="1"/>
        <v>15263249.383199997</v>
      </c>
      <c r="I12" s="81">
        <f t="shared" si="2"/>
        <v>12276762.161499262</v>
      </c>
      <c r="J12" s="84">
        <f>(References!$C$49*I12)</f>
        <v>101897.12594044406</v>
      </c>
      <c r="K12" s="84">
        <f>J12/References!$G$52</f>
        <v>104562.3719594728</v>
      </c>
      <c r="L12" s="82">
        <f t="shared" si="3"/>
        <v>1.0983790683492931</v>
      </c>
      <c r="M12" s="52">
        <v>19.010000000000002</v>
      </c>
      <c r="N12" s="83">
        <f t="shared" si="6"/>
        <v>20.108379068349294</v>
      </c>
      <c r="O12" s="84">
        <f t="shared" si="4"/>
        <v>1809694.6202159999</v>
      </c>
      <c r="P12" s="84">
        <f t="shared" si="5"/>
        <v>1914256.9921754727</v>
      </c>
      <c r="Q12" s="182">
        <f t="shared" si="7"/>
        <v>104562.37195947277</v>
      </c>
      <c r="S12" s="184">
        <f t="shared" si="8"/>
        <v>5.7779014642256321E-2</v>
      </c>
      <c r="U12" s="52"/>
    </row>
    <row r="13" spans="1:21">
      <c r="A13" s="291"/>
      <c r="B13" s="78">
        <v>24</v>
      </c>
      <c r="C13" s="77" t="s">
        <v>121</v>
      </c>
      <c r="D13" s="79">
        <v>5478.4999499999994</v>
      </c>
      <c r="E13" s="80">
        <f>References!$B$7</f>
        <v>4.333333333333333</v>
      </c>
      <c r="F13" s="79">
        <f t="shared" si="0"/>
        <v>284881.99739999999</v>
      </c>
      <c r="G13" s="53">
        <f>References!$B$21</f>
        <v>47</v>
      </c>
      <c r="H13" s="79">
        <f t="shared" si="1"/>
        <v>13389453.877799999</v>
      </c>
      <c r="I13" s="81">
        <f t="shared" si="2"/>
        <v>10769603.287164001</v>
      </c>
      <c r="J13" s="84">
        <f>(References!$C$49*I13)</f>
        <v>89387.707283461379</v>
      </c>
      <c r="K13" s="84">
        <f>J13/References!$G$52</f>
        <v>91725.753904389596</v>
      </c>
      <c r="L13" s="82">
        <f t="shared" si="3"/>
        <v>1.3952382760112645</v>
      </c>
      <c r="M13" s="52">
        <v>29.13</v>
      </c>
      <c r="N13" s="83">
        <f t="shared" si="6"/>
        <v>30.525238276011265</v>
      </c>
      <c r="O13" s="84">
        <f t="shared" si="4"/>
        <v>1915064.4425219998</v>
      </c>
      <c r="P13" s="84">
        <f t="shared" si="5"/>
        <v>2006790.1964263895</v>
      </c>
      <c r="Q13" s="182">
        <f t="shared" si="7"/>
        <v>91725.753904389683</v>
      </c>
      <c r="S13" s="184">
        <f t="shared" si="8"/>
        <v>4.7896954205673303E-2</v>
      </c>
      <c r="U13" s="52"/>
    </row>
    <row r="14" spans="1:21">
      <c r="A14" s="291"/>
      <c r="B14" s="78">
        <v>24</v>
      </c>
      <c r="C14" s="77" t="s">
        <v>122</v>
      </c>
      <c r="D14" s="79">
        <v>1993.1719499999999</v>
      </c>
      <c r="E14" s="80">
        <f>References!$B$7</f>
        <v>4.333333333333333</v>
      </c>
      <c r="F14" s="79">
        <f t="shared" si="0"/>
        <v>103644.94139999998</v>
      </c>
      <c r="G14" s="53">
        <f>References!$B$22</f>
        <v>68</v>
      </c>
      <c r="H14" s="79">
        <f t="shared" si="1"/>
        <v>7047856.0151999984</v>
      </c>
      <c r="I14" s="81">
        <f t="shared" si="2"/>
        <v>5668835.6374717141</v>
      </c>
      <c r="J14" s="84">
        <f>(References!$C$49*I14)</f>
        <v>47051.335791015314</v>
      </c>
      <c r="K14" s="84">
        <f>J14/References!$G$52</f>
        <v>48282.021978182973</v>
      </c>
      <c r="L14" s="82">
        <f t="shared" si="3"/>
        <v>2.0186426121014036</v>
      </c>
      <c r="M14" s="52">
        <v>39.89</v>
      </c>
      <c r="N14" s="83">
        <f t="shared" si="6"/>
        <v>41.908642612101403</v>
      </c>
      <c r="O14" s="84">
        <f t="shared" si="4"/>
        <v>954091.54902599996</v>
      </c>
      <c r="P14" s="84">
        <f t="shared" si="5"/>
        <v>1002373.5710041828</v>
      </c>
      <c r="Q14" s="182">
        <f t="shared" si="7"/>
        <v>48282.021978182835</v>
      </c>
      <c r="S14" s="184">
        <f t="shared" si="8"/>
        <v>5.0605229684166586E-2</v>
      </c>
      <c r="U14" s="52"/>
    </row>
    <row r="15" spans="1:21">
      <c r="A15" s="86"/>
      <c r="B15" s="78">
        <v>25</v>
      </c>
      <c r="C15" s="77" t="s">
        <v>123</v>
      </c>
      <c r="D15" s="79">
        <v>2420</v>
      </c>
      <c r="E15" s="80">
        <v>1</v>
      </c>
      <c r="F15" s="79">
        <f t="shared" ref="F15" si="25">D15*E15*12</f>
        <v>29040</v>
      </c>
      <c r="G15" s="53">
        <f>References!B24</f>
        <v>34</v>
      </c>
      <c r="H15" s="79">
        <f t="shared" ref="H15" si="26">G15*F15</f>
        <v>987360</v>
      </c>
      <c r="I15" s="81">
        <f t="shared" si="2"/>
        <v>794167.97717528848</v>
      </c>
      <c r="J15" s="84">
        <f>(References!$C$49*I15)</f>
        <v>6591.5942105549066</v>
      </c>
      <c r="K15" s="84">
        <f>J15/References!$G$52</f>
        <v>6764.0055525490125</v>
      </c>
      <c r="L15" s="82">
        <f t="shared" ref="L15" si="27">(K15/F15)*E15</f>
        <v>0.23292030139631587</v>
      </c>
      <c r="M15" s="52">
        <v>5.81</v>
      </c>
      <c r="N15" s="83">
        <f t="shared" si="6"/>
        <v>6.0429203013963155</v>
      </c>
      <c r="O15" s="84">
        <f t="shared" si="4"/>
        <v>168722.4</v>
      </c>
      <c r="P15" s="84">
        <f t="shared" si="5"/>
        <v>175486.405552549</v>
      </c>
      <c r="Q15" s="182">
        <f t="shared" si="7"/>
        <v>6764.0055525490025</v>
      </c>
      <c r="S15" s="184">
        <f t="shared" si="8"/>
        <v>4.0089552736026768E-2</v>
      </c>
      <c r="U15" s="52"/>
    </row>
    <row r="16" spans="1:21">
      <c r="A16" s="87"/>
      <c r="B16" s="88"/>
      <c r="C16" s="89" t="s">
        <v>2</v>
      </c>
      <c r="D16" s="90">
        <f>SUM(D2:D15)</f>
        <v>22606.2176</v>
      </c>
      <c r="E16" s="91"/>
      <c r="F16" s="92">
        <f>SUM(F2:F15)</f>
        <v>1070247.2371999999</v>
      </c>
      <c r="G16" s="93"/>
      <c r="H16" s="94">
        <f>SUM(H2:H15)</f>
        <v>43844856.31059999</v>
      </c>
      <c r="I16" s="95">
        <f>SUM(I2:I15)</f>
        <v>35265942.357124433</v>
      </c>
      <c r="J16" s="183"/>
      <c r="K16" s="183"/>
      <c r="L16" s="99">
        <f>+Q16/(D16-D15)/12</f>
        <v>1.2399691522140415</v>
      </c>
      <c r="M16" s="96"/>
      <c r="N16" s="96"/>
      <c r="O16" s="97">
        <f>SUM(O2:O15)</f>
        <v>5740445.5917255199</v>
      </c>
      <c r="P16" s="98">
        <f>SUM(P2:P15)</f>
        <v>6040809.0372120813</v>
      </c>
      <c r="Q16" s="98">
        <f>SUM(Q2:Q15)</f>
        <v>300363.44548656198</v>
      </c>
      <c r="S16" s="184">
        <f>+Q16/O16</f>
        <v>5.232406451504678E-2</v>
      </c>
      <c r="U16" s="52"/>
    </row>
    <row r="17" spans="1:21">
      <c r="A17" s="292" t="s">
        <v>17</v>
      </c>
      <c r="B17" s="78">
        <v>30</v>
      </c>
      <c r="C17" s="100" t="s">
        <v>124</v>
      </c>
      <c r="D17" s="101">
        <v>10</v>
      </c>
      <c r="E17" s="101">
        <v>4.33</v>
      </c>
      <c r="F17" s="54">
        <f>'Com''l Priceout'!T197</f>
        <v>514.10840000000007</v>
      </c>
      <c r="G17" s="53">
        <f>References!B26</f>
        <v>29</v>
      </c>
      <c r="H17" s="102">
        <f>F17*G17</f>
        <v>14909.143600000003</v>
      </c>
      <c r="I17" s="81">
        <f t="shared" ref="I17:I30" si="28">$D$84*H17</f>
        <v>11991.942568291101</v>
      </c>
      <c r="J17" s="84">
        <f>References!$C$49*I17</f>
        <v>99.533123316816329</v>
      </c>
      <c r="K17" s="84">
        <f>J17/References!$G$52</f>
        <v>102.13653590802808</v>
      </c>
      <c r="L17" s="82">
        <f>K17/F17</f>
        <v>0.19866731589685768</v>
      </c>
      <c r="M17" s="52">
        <v>5.3346398217189206</v>
      </c>
      <c r="N17" s="83">
        <f>L17+M17</f>
        <v>5.5333071376157781</v>
      </c>
      <c r="O17" s="84">
        <f t="shared" ref="O17:O30" si="29">F17*M17</f>
        <v>2742.5831433201997</v>
      </c>
      <c r="P17" s="84">
        <f t="shared" ref="P17:P30" si="30">F17*N17</f>
        <v>2844.719679228228</v>
      </c>
      <c r="Q17" s="182">
        <f t="shared" si="7"/>
        <v>102.13653590802824</v>
      </c>
      <c r="S17" s="184">
        <f t="shared" si="8"/>
        <v>3.7240998930803793E-2</v>
      </c>
      <c r="U17" s="52"/>
    </row>
    <row r="18" spans="1:21">
      <c r="A18" s="291"/>
      <c r="B18" s="78">
        <v>30</v>
      </c>
      <c r="C18" s="100" t="s">
        <v>138</v>
      </c>
      <c r="D18" s="101">
        <v>33</v>
      </c>
      <c r="E18" s="101">
        <v>4.33</v>
      </c>
      <c r="F18" s="54">
        <f>'Com''l Priceout'!T203</f>
        <v>1696.55772</v>
      </c>
      <c r="G18" s="53">
        <f>References!B20</f>
        <v>37</v>
      </c>
      <c r="H18" s="102">
        <f t="shared" ref="H18:H20" si="31">F18*G18</f>
        <v>62772.63564</v>
      </c>
      <c r="I18" s="81">
        <f t="shared" si="28"/>
        <v>50490.213365115276</v>
      </c>
      <c r="J18" s="84">
        <f>References!$C$49*I18</f>
        <v>419.06877093045756</v>
      </c>
      <c r="K18" s="84">
        <f>J18/References!$G$52</f>
        <v>430.03003566793876</v>
      </c>
      <c r="L18" s="82">
        <f t="shared" ref="L18:L20" si="32">K18/F18</f>
        <v>0.25347209269599075</v>
      </c>
      <c r="M18" s="52">
        <v>5.7369542552965536</v>
      </c>
      <c r="N18" s="83">
        <f t="shared" ref="N18:N30" si="33">L18+M18</f>
        <v>5.9904263479925444</v>
      </c>
      <c r="O18" s="84">
        <f t="shared" si="29"/>
        <v>9733.0740311102181</v>
      </c>
      <c r="P18" s="84">
        <f t="shared" si="30"/>
        <v>10163.104066778158</v>
      </c>
      <c r="Q18" s="182">
        <f t="shared" si="7"/>
        <v>430.03003566793996</v>
      </c>
      <c r="S18" s="184">
        <f t="shared" si="8"/>
        <v>4.4182345093997766E-2</v>
      </c>
      <c r="U18" s="52"/>
    </row>
    <row r="19" spans="1:21">
      <c r="A19" s="291"/>
      <c r="B19" s="78">
        <v>30</v>
      </c>
      <c r="C19" s="100" t="s">
        <v>125</v>
      </c>
      <c r="D19" s="101">
        <v>45</v>
      </c>
      <c r="E19" s="101">
        <v>4.33</v>
      </c>
      <c r="F19" s="54">
        <f>'Com''l Priceout'!T206</f>
        <v>2364.8986399999999</v>
      </c>
      <c r="G19" s="53">
        <f>References!B21</f>
        <v>47</v>
      </c>
      <c r="H19" s="102">
        <f>F19*G19</f>
        <v>111150.23607999999</v>
      </c>
      <c r="I19" s="81">
        <f t="shared" si="28"/>
        <v>89401.999422915003</v>
      </c>
      <c r="J19" s="84">
        <f>References!$C$49*I19</f>
        <v>742.03659521019597</v>
      </c>
      <c r="K19" s="84">
        <f>J19/References!$G$52</f>
        <v>761.4454849419194</v>
      </c>
      <c r="L19" s="82">
        <f>K19/F19</f>
        <v>0.32197806369490722</v>
      </c>
      <c r="M19" s="52">
        <v>9.3723472972685951</v>
      </c>
      <c r="N19" s="83">
        <f t="shared" si="33"/>
        <v>9.6943253609635018</v>
      </c>
      <c r="O19" s="84">
        <f t="shared" si="29"/>
        <v>22164.651376918177</v>
      </c>
      <c r="P19" s="84">
        <f t="shared" si="30"/>
        <v>22926.096861860093</v>
      </c>
      <c r="Q19" s="182">
        <f t="shared" si="7"/>
        <v>761.44548494191622</v>
      </c>
      <c r="S19" s="184">
        <f t="shared" si="8"/>
        <v>3.4354047442175073E-2</v>
      </c>
      <c r="U19" s="52"/>
    </row>
    <row r="20" spans="1:21">
      <c r="A20" s="291"/>
      <c r="B20" s="78">
        <v>30</v>
      </c>
      <c r="C20" s="100" t="s">
        <v>126</v>
      </c>
      <c r="D20" s="101">
        <v>76</v>
      </c>
      <c r="E20" s="101">
        <v>4.33</v>
      </c>
      <c r="F20" s="54">
        <f>'Com''l Priceout'!T214</f>
        <v>4112.8672000000006</v>
      </c>
      <c r="G20" s="53">
        <f>References!B22</f>
        <v>68</v>
      </c>
      <c r="H20" s="102">
        <f t="shared" si="31"/>
        <v>279674.96960000007</v>
      </c>
      <c r="I20" s="81">
        <f t="shared" si="28"/>
        <v>224952.30197070201</v>
      </c>
      <c r="J20" s="84">
        <f>References!$C$49*I20</f>
        <v>1867.1041063568302</v>
      </c>
      <c r="K20" s="84">
        <f>J20/References!$G$52</f>
        <v>1915.9405356540437</v>
      </c>
      <c r="L20" s="82">
        <f t="shared" si="32"/>
        <v>0.46584060279263173</v>
      </c>
      <c r="M20" s="52">
        <v>12.294672685409884</v>
      </c>
      <c r="N20" s="83">
        <f t="shared" si="33"/>
        <v>12.760513288202516</v>
      </c>
      <c r="O20" s="84">
        <f t="shared" si="29"/>
        <v>50566.356022558233</v>
      </c>
      <c r="P20" s="84">
        <f t="shared" si="30"/>
        <v>52482.296558212278</v>
      </c>
      <c r="Q20" s="182">
        <f t="shared" si="7"/>
        <v>1915.9405356540447</v>
      </c>
      <c r="S20" s="184">
        <f t="shared" si="8"/>
        <v>3.7889630306746191E-2</v>
      </c>
      <c r="U20" s="52"/>
    </row>
    <row r="21" spans="1:21">
      <c r="A21" s="291"/>
      <c r="B21" s="78" t="s">
        <v>172</v>
      </c>
      <c r="C21" s="100" t="s">
        <v>127</v>
      </c>
      <c r="D21" s="101">
        <v>80</v>
      </c>
      <c r="E21" s="101">
        <v>4.33</v>
      </c>
      <c r="F21" s="54">
        <f>'Com''l Priceout'!T220</f>
        <v>4215.6888799999997</v>
      </c>
      <c r="G21" s="53">
        <f>References!B27</f>
        <v>175</v>
      </c>
      <c r="H21" s="102">
        <f t="shared" ref="H21:H29" si="34">F21*G21</f>
        <v>737745.554</v>
      </c>
      <c r="I21" s="81">
        <f t="shared" si="28"/>
        <v>593394.39949992159</v>
      </c>
      <c r="J21" s="84">
        <f>References!$C$49*I21</f>
        <v>4925.1735158493584</v>
      </c>
      <c r="K21" s="84">
        <f>J21/References!$G$52</f>
        <v>5053.9975526903536</v>
      </c>
      <c r="L21" s="82">
        <f t="shared" ref="L21:L29" si="35">K21/F21</f>
        <v>1.1988544924810376</v>
      </c>
      <c r="M21" s="52">
        <v>26.53</v>
      </c>
      <c r="N21" s="83">
        <f t="shared" si="33"/>
        <v>27.728854492481037</v>
      </c>
      <c r="O21" s="84">
        <f t="shared" si="29"/>
        <v>111842.22598639999</v>
      </c>
      <c r="P21" s="84">
        <f t="shared" si="30"/>
        <v>116896.22353909035</v>
      </c>
      <c r="Q21" s="182">
        <f t="shared" si="7"/>
        <v>5053.9975526903581</v>
      </c>
      <c r="S21" s="184">
        <f t="shared" si="8"/>
        <v>4.5188635223559537E-2</v>
      </c>
      <c r="U21" s="52"/>
    </row>
    <row r="22" spans="1:21">
      <c r="A22" s="291"/>
      <c r="B22" s="78" t="s">
        <v>172</v>
      </c>
      <c r="C22" s="100" t="s">
        <v>128</v>
      </c>
      <c r="D22" s="101">
        <v>30</v>
      </c>
      <c r="E22" s="101">
        <v>4.33</v>
      </c>
      <c r="F22" s="54">
        <f>'Com''l Priceout'!T223</f>
        <v>1542.3252</v>
      </c>
      <c r="G22" s="53">
        <f>References!B28</f>
        <v>250</v>
      </c>
      <c r="H22" s="102">
        <f>F22*G22</f>
        <v>385581.3</v>
      </c>
      <c r="I22" s="81">
        <f t="shared" si="28"/>
        <v>310136.44573166629</v>
      </c>
      <c r="J22" s="84">
        <f>References!$C$49*I22</f>
        <v>2574.1324995728351</v>
      </c>
      <c r="K22" s="84">
        <f>J22/References!$G$52</f>
        <v>2641.4621355524491</v>
      </c>
      <c r="L22" s="82">
        <f t="shared" si="35"/>
        <v>1.7126492749729105</v>
      </c>
      <c r="M22" s="52">
        <v>34.82</v>
      </c>
      <c r="N22" s="83">
        <f t="shared" si="33"/>
        <v>36.532649274972911</v>
      </c>
      <c r="O22" s="84">
        <f t="shared" si="29"/>
        <v>53703.763464000003</v>
      </c>
      <c r="P22" s="84">
        <f t="shared" si="30"/>
        <v>56345.225599552454</v>
      </c>
      <c r="Q22" s="182">
        <f t="shared" si="7"/>
        <v>2641.4621355524505</v>
      </c>
      <c r="S22" s="184">
        <f t="shared" si="8"/>
        <v>4.9185791929147404E-2</v>
      </c>
      <c r="U22" s="52"/>
    </row>
    <row r="23" spans="1:21">
      <c r="A23" s="291"/>
      <c r="B23" s="78" t="s">
        <v>172</v>
      </c>
      <c r="C23" s="100" t="s">
        <v>129</v>
      </c>
      <c r="D23" s="101">
        <v>81</v>
      </c>
      <c r="E23" s="101">
        <v>4.33</v>
      </c>
      <c r="F23" s="54">
        <f>'Com''l Priceout'!T230</f>
        <v>4421.3322399999997</v>
      </c>
      <c r="G23" s="53">
        <f>References!B29</f>
        <v>324</v>
      </c>
      <c r="H23" s="102">
        <f t="shared" si="34"/>
        <v>1432511.64576</v>
      </c>
      <c r="I23" s="81">
        <f t="shared" si="28"/>
        <v>1152218.9231822868</v>
      </c>
      <c r="J23" s="84">
        <f>References!$C$49*I23</f>
        <v>9563.4170624129983</v>
      </c>
      <c r="K23" s="84">
        <f>J23/References!$G$52</f>
        <v>9813.5601260044605</v>
      </c>
      <c r="L23" s="82">
        <f t="shared" si="35"/>
        <v>2.2195934603648926</v>
      </c>
      <c r="M23" s="52">
        <v>44.43</v>
      </c>
      <c r="N23" s="83">
        <f t="shared" si="33"/>
        <v>46.649593460364891</v>
      </c>
      <c r="O23" s="84">
        <f t="shared" si="29"/>
        <v>196439.79142319999</v>
      </c>
      <c r="P23" s="84">
        <f t="shared" si="30"/>
        <v>206253.35154920444</v>
      </c>
      <c r="Q23" s="182">
        <f t="shared" si="7"/>
        <v>9813.5601260044496</v>
      </c>
      <c r="S23" s="184">
        <f t="shared" si="8"/>
        <v>4.9957088912106373E-2</v>
      </c>
      <c r="U23" s="52"/>
    </row>
    <row r="24" spans="1:21">
      <c r="A24" s="291"/>
      <c r="B24" s="78" t="s">
        <v>172</v>
      </c>
      <c r="C24" s="100" t="s">
        <v>130</v>
      </c>
      <c r="D24" s="101">
        <v>71</v>
      </c>
      <c r="E24" s="101">
        <v>4.33</v>
      </c>
      <c r="F24" s="54">
        <f>'Com''l Priceout'!T240</f>
        <v>4678.3864400000011</v>
      </c>
      <c r="G24" s="53">
        <f>References!B30</f>
        <v>473</v>
      </c>
      <c r="H24" s="102">
        <f t="shared" si="34"/>
        <v>2212876.7861200008</v>
      </c>
      <c r="I24" s="81">
        <f t="shared" si="28"/>
        <v>1779893.7378170823</v>
      </c>
      <c r="J24" s="84">
        <f>References!$C$49*I24</f>
        <v>14773.118023881811</v>
      </c>
      <c r="K24" s="84">
        <f>J24/References!$G$52</f>
        <v>15159.527293411214</v>
      </c>
      <c r="L24" s="82">
        <f t="shared" si="35"/>
        <v>3.2403324282487471</v>
      </c>
      <c r="M24" s="52">
        <v>60.9</v>
      </c>
      <c r="N24" s="83">
        <f t="shared" si="33"/>
        <v>64.14033242824874</v>
      </c>
      <c r="O24" s="84">
        <f t="shared" si="29"/>
        <v>284913.73419600003</v>
      </c>
      <c r="P24" s="84">
        <f t="shared" si="30"/>
        <v>300073.26148941123</v>
      </c>
      <c r="Q24" s="182">
        <f t="shared" si="7"/>
        <v>15159.5272934112</v>
      </c>
      <c r="S24" s="184">
        <f t="shared" si="8"/>
        <v>5.3207429035283083E-2</v>
      </c>
      <c r="U24" s="103"/>
    </row>
    <row r="25" spans="1:21">
      <c r="A25" s="291"/>
      <c r="B25" s="78" t="s">
        <v>172</v>
      </c>
      <c r="C25" s="100" t="s">
        <v>131</v>
      </c>
      <c r="D25" s="101">
        <v>121</v>
      </c>
      <c r="E25" s="101">
        <v>4.33</v>
      </c>
      <c r="F25" s="54">
        <f>'Com''l Priceout'!T254</f>
        <v>9253.9511999999995</v>
      </c>
      <c r="G25" s="53">
        <f>References!B31</f>
        <v>613</v>
      </c>
      <c r="H25" s="102">
        <f t="shared" si="34"/>
        <v>5672672.0855999999</v>
      </c>
      <c r="I25" s="81">
        <f t="shared" si="28"/>
        <v>4562727.3896042751</v>
      </c>
      <c r="J25" s="84">
        <f>References!$C$49*I25</f>
        <v>37870.637333715553</v>
      </c>
      <c r="K25" s="84">
        <f>J25/References!$G$52</f>
        <v>38861.190938247637</v>
      </c>
      <c r="L25" s="82">
        <f t="shared" si="35"/>
        <v>4.199416022233577</v>
      </c>
      <c r="M25" s="52">
        <v>74.150000000000006</v>
      </c>
      <c r="N25" s="83">
        <f t="shared" si="33"/>
        <v>78.349416022233584</v>
      </c>
      <c r="O25" s="84">
        <f t="shared" si="29"/>
        <v>686180.48148000007</v>
      </c>
      <c r="P25" s="84">
        <f t="shared" si="30"/>
        <v>725041.67241824768</v>
      </c>
      <c r="Q25" s="182">
        <f t="shared" si="7"/>
        <v>38861.190938247601</v>
      </c>
      <c r="S25" s="184">
        <f t="shared" si="8"/>
        <v>5.6634066382111659E-2</v>
      </c>
      <c r="U25" s="103"/>
    </row>
    <row r="26" spans="1:21">
      <c r="A26" s="291"/>
      <c r="B26" s="78" t="s">
        <v>172</v>
      </c>
      <c r="C26" s="100" t="s">
        <v>132</v>
      </c>
      <c r="D26" s="101">
        <v>78</v>
      </c>
      <c r="E26" s="101">
        <v>4.33</v>
      </c>
      <c r="F26" s="54">
        <f>'Com''l Priceout'!T263</f>
        <v>5398.1382000000003</v>
      </c>
      <c r="G26" s="53">
        <f>References!B32</f>
        <v>840</v>
      </c>
      <c r="H26" s="102">
        <f t="shared" si="34"/>
        <v>4534436.0880000005</v>
      </c>
      <c r="I26" s="81">
        <f t="shared" si="28"/>
        <v>3647204.6018043961</v>
      </c>
      <c r="J26" s="84">
        <f>References!$C$49*I26</f>
        <v>30271.798194976545</v>
      </c>
      <c r="K26" s="84">
        <f>J26/References!$G$52</f>
        <v>31063.594714096809</v>
      </c>
      <c r="L26" s="82">
        <f t="shared" si="35"/>
        <v>5.7545015639089803</v>
      </c>
      <c r="M26" s="52">
        <v>96.95</v>
      </c>
      <c r="N26" s="83">
        <f t="shared" si="33"/>
        <v>102.70450156390898</v>
      </c>
      <c r="O26" s="84">
        <f t="shared" si="29"/>
        <v>523349.49849000003</v>
      </c>
      <c r="P26" s="84">
        <f t="shared" si="30"/>
        <v>554413.09320409677</v>
      </c>
      <c r="Q26" s="182">
        <f t="shared" si="7"/>
        <v>31063.594714096747</v>
      </c>
      <c r="S26" s="184">
        <f t="shared" si="8"/>
        <v>5.9355353934079202E-2</v>
      </c>
      <c r="U26" s="103"/>
    </row>
    <row r="27" spans="1:21">
      <c r="A27" s="291"/>
      <c r="B27" s="78" t="s">
        <v>172</v>
      </c>
      <c r="C27" s="100" t="s">
        <v>133</v>
      </c>
      <c r="D27" s="101">
        <v>89</v>
      </c>
      <c r="E27" s="101">
        <v>4.33</v>
      </c>
      <c r="F27" s="54">
        <f>'Com''l Priceout'!T275</f>
        <v>7146.1067600000006</v>
      </c>
      <c r="G27" s="53">
        <f>References!B33</f>
        <v>980</v>
      </c>
      <c r="H27" s="102">
        <f t="shared" si="34"/>
        <v>7003184.6248000003</v>
      </c>
      <c r="I27" s="81">
        <f t="shared" si="28"/>
        <v>5632904.8850090122</v>
      </c>
      <c r="J27" s="84">
        <f>References!$C$49*I27</f>
        <v>46753.110545574891</v>
      </c>
      <c r="K27" s="84">
        <f>J27/References!$G$52</f>
        <v>47975.996280660627</v>
      </c>
      <c r="L27" s="82">
        <f t="shared" si="35"/>
        <v>6.7135851578938102</v>
      </c>
      <c r="M27" s="52">
        <v>117.91</v>
      </c>
      <c r="N27" s="83">
        <f t="shared" si="33"/>
        <v>124.62358515789381</v>
      </c>
      <c r="O27" s="84">
        <f t="shared" si="29"/>
        <v>842597.44807160005</v>
      </c>
      <c r="P27" s="84">
        <f t="shared" si="30"/>
        <v>890573.44435226067</v>
      </c>
      <c r="Q27" s="182">
        <f t="shared" si="7"/>
        <v>47975.99628066062</v>
      </c>
      <c r="S27" s="184">
        <f t="shared" si="8"/>
        <v>5.6938216927264973E-2</v>
      </c>
      <c r="U27" s="103"/>
    </row>
    <row r="28" spans="1:21">
      <c r="A28" s="291"/>
      <c r="B28" s="78">
        <v>44</v>
      </c>
      <c r="C28" s="100" t="s">
        <v>134</v>
      </c>
      <c r="D28" s="101">
        <v>12</v>
      </c>
      <c r="E28" s="101">
        <v>4.33</v>
      </c>
      <c r="F28" s="54">
        <f>'Com''l Priceout'!T278</f>
        <v>616.93008000000009</v>
      </c>
      <c r="G28" s="53">
        <f>References!B36</f>
        <v>892</v>
      </c>
      <c r="H28" s="102">
        <f t="shared" si="34"/>
        <v>550301.63136000012</v>
      </c>
      <c r="I28" s="81">
        <f t="shared" si="28"/>
        <v>442626.73534823424</v>
      </c>
      <c r="J28" s="84">
        <f>References!$C$49*I28</f>
        <v>3673.8019033903511</v>
      </c>
      <c r="K28" s="84">
        <f>J28/References!$G$52</f>
        <v>3769.8947598604564</v>
      </c>
      <c r="L28" s="82">
        <f t="shared" si="35"/>
        <v>6.1107326131033455</v>
      </c>
      <c r="M28" s="52">
        <v>116.88</v>
      </c>
      <c r="N28" s="83">
        <f t="shared" si="33"/>
        <v>122.99073261310335</v>
      </c>
      <c r="O28" s="84">
        <f t="shared" si="29"/>
        <v>72106.787750400006</v>
      </c>
      <c r="P28" s="84">
        <f t="shared" si="30"/>
        <v>75876.682510260463</v>
      </c>
      <c r="Q28" s="182">
        <f t="shared" si="7"/>
        <v>3769.8947598604573</v>
      </c>
      <c r="S28" s="184">
        <f t="shared" si="8"/>
        <v>5.2282106546058804E-2</v>
      </c>
      <c r="U28" s="103"/>
    </row>
    <row r="29" spans="1:21">
      <c r="A29" s="291"/>
      <c r="B29" s="78">
        <v>44</v>
      </c>
      <c r="C29" s="100" t="s">
        <v>135</v>
      </c>
      <c r="D29" s="101">
        <v>4</v>
      </c>
      <c r="E29" s="101">
        <v>4.33</v>
      </c>
      <c r="F29" s="54">
        <f>'Com''l Priceout'!T279+'Com''l Priceout'!T280</f>
        <v>308.46503999999999</v>
      </c>
      <c r="G29" s="53">
        <f>References!B37</f>
        <v>1301</v>
      </c>
      <c r="H29" s="102">
        <f t="shared" si="34"/>
        <v>401313.01704000001</v>
      </c>
      <c r="I29" s="81">
        <f t="shared" si="28"/>
        <v>322790.01271751832</v>
      </c>
      <c r="J29" s="84">
        <f>References!$C$49*I29</f>
        <v>2679.1571055554073</v>
      </c>
      <c r="K29" s="84">
        <f>J29/References!$G$52</f>
        <v>2749.2337906829898</v>
      </c>
      <c r="L29" s="82">
        <f t="shared" si="35"/>
        <v>8.9126268269590287</v>
      </c>
      <c r="M29" s="52">
        <v>209.36</v>
      </c>
      <c r="N29" s="83">
        <f t="shared" si="33"/>
        <v>218.27262682695905</v>
      </c>
      <c r="O29" s="84">
        <f t="shared" si="29"/>
        <v>64580.240774400001</v>
      </c>
      <c r="P29" s="84">
        <f t="shared" si="30"/>
        <v>67329.474565083001</v>
      </c>
      <c r="Q29" s="182">
        <f t="shared" si="7"/>
        <v>2749.2337906829998</v>
      </c>
      <c r="S29" s="184">
        <f t="shared" si="8"/>
        <v>4.2570819769578883E-2</v>
      </c>
      <c r="U29" s="103"/>
    </row>
    <row r="30" spans="1:21">
      <c r="A30" s="291"/>
      <c r="B30" s="78">
        <v>44</v>
      </c>
      <c r="C30" s="100" t="s">
        <v>136</v>
      </c>
      <c r="D30" s="101">
        <v>1</v>
      </c>
      <c r="E30" s="101">
        <v>4.33</v>
      </c>
      <c r="F30" s="54">
        <f>'Com''l Priceout'!T281</f>
        <v>102.82168</v>
      </c>
      <c r="G30" s="53">
        <f>References!B40</f>
        <v>2310</v>
      </c>
      <c r="H30" s="102">
        <f t="shared" ref="H30" si="36">F30*G30</f>
        <v>237518.0808</v>
      </c>
      <c r="I30" s="81">
        <f t="shared" si="28"/>
        <v>191044.05057070646</v>
      </c>
      <c r="J30" s="84">
        <f>References!$C$49*I30</f>
        <v>1585.6656197368666</v>
      </c>
      <c r="K30" s="84">
        <f>J30/References!$G$52</f>
        <v>1627.1406755003088</v>
      </c>
      <c r="L30" s="82">
        <f t="shared" ref="L30" si="37">K30/F30</f>
        <v>15.824879300749695</v>
      </c>
      <c r="M30" s="52">
        <v>297.18</v>
      </c>
      <c r="N30" s="83">
        <f t="shared" si="33"/>
        <v>313.00487930074968</v>
      </c>
      <c r="O30" s="84">
        <f t="shared" si="29"/>
        <v>30556.546862400002</v>
      </c>
      <c r="P30" s="84">
        <f t="shared" si="30"/>
        <v>32183.687537900307</v>
      </c>
      <c r="Q30" s="182">
        <f t="shared" si="7"/>
        <v>1627.1406755003045</v>
      </c>
      <c r="S30" s="184">
        <f t="shared" si="8"/>
        <v>5.3250149070427577E-2</v>
      </c>
      <c r="U30" s="103"/>
    </row>
    <row r="31" spans="1:21">
      <c r="A31" s="291"/>
      <c r="B31" s="78"/>
      <c r="C31" s="100"/>
      <c r="D31" s="101"/>
      <c r="E31" s="101"/>
      <c r="F31" s="54"/>
      <c r="G31" s="53"/>
      <c r="H31" s="102"/>
      <c r="I31" s="81"/>
      <c r="J31" s="84"/>
      <c r="K31" s="82"/>
      <c r="L31" s="82"/>
      <c r="M31" s="103"/>
      <c r="N31" s="82"/>
      <c r="O31" s="84"/>
      <c r="P31" s="84"/>
      <c r="Q31" s="85"/>
    </row>
    <row r="32" spans="1:21">
      <c r="A32" s="87"/>
      <c r="B32" s="104"/>
      <c r="C32" s="89" t="s">
        <v>2</v>
      </c>
      <c r="D32" s="90">
        <f>SUM(D17:D31)</f>
        <v>731</v>
      </c>
      <c r="E32" s="90"/>
      <c r="F32" s="90">
        <f>SUM(F17:F31)</f>
        <v>46372.577680000002</v>
      </c>
      <c r="G32" s="90"/>
      <c r="H32" s="90">
        <f>SUM(H17:H31)</f>
        <v>23636647.798400003</v>
      </c>
      <c r="I32" s="95">
        <f>SUM(I17:I31)</f>
        <v>19011777.638612125</v>
      </c>
      <c r="J32" s="98">
        <f>SUM(J17:J31)</f>
        <v>157797.75440048092</v>
      </c>
      <c r="K32" s="95">
        <f>SUM(K17:K31)</f>
        <v>161925.15085887918</v>
      </c>
      <c r="L32" s="99"/>
      <c r="M32" s="99"/>
      <c r="N32" s="99"/>
      <c r="O32" s="97">
        <f>SUM(O17:O31)</f>
        <v>2951477.1830723071</v>
      </c>
      <c r="P32" s="98">
        <f>SUM(P17:P31)</f>
        <v>3113402.3339311862</v>
      </c>
      <c r="Q32" s="99">
        <f>SUM(Q17:Q31)</f>
        <v>161925.15085887915</v>
      </c>
      <c r="S32" s="187">
        <f>+Q32/O32</f>
        <v>5.486240984262835E-2</v>
      </c>
    </row>
    <row r="33" spans="1:33">
      <c r="A33" s="105"/>
      <c r="B33" s="106"/>
      <c r="C33" s="107" t="s">
        <v>48</v>
      </c>
      <c r="D33" s="108">
        <f>D16+D32</f>
        <v>23337.2176</v>
      </c>
      <c r="E33" s="108"/>
      <c r="F33" s="108">
        <f>F16+F32</f>
        <v>1116619.81488</v>
      </c>
      <c r="G33" s="108"/>
      <c r="H33" s="108">
        <f>H16+H32</f>
        <v>67481504.108999997</v>
      </c>
      <c r="I33" s="108">
        <f>I16+I32</f>
        <v>54277719.995736554</v>
      </c>
      <c r="J33" s="82"/>
      <c r="K33" s="109"/>
      <c r="L33" s="109"/>
      <c r="M33" s="109"/>
      <c r="N33" s="109"/>
      <c r="O33" s="110">
        <f>O16+O32</f>
        <v>8691922.774797827</v>
      </c>
      <c r="P33" s="110">
        <f>P16+P32</f>
        <v>9154211.3711432666</v>
      </c>
      <c r="Q33" s="109">
        <f>Q16+Q32</f>
        <v>462288.59634544112</v>
      </c>
      <c r="S33" s="187">
        <f>+Q33/O33</f>
        <v>5.3185999038767792E-2</v>
      </c>
    </row>
    <row r="34" spans="1:33">
      <c r="A34" s="105"/>
      <c r="B34" s="106"/>
      <c r="C34" s="105"/>
      <c r="D34" s="111"/>
      <c r="E34" s="105"/>
      <c r="F34" s="105"/>
      <c r="G34" s="105"/>
      <c r="H34" s="105"/>
      <c r="I34" s="112"/>
      <c r="J34" s="113"/>
      <c r="K34" s="105"/>
      <c r="L34" s="105"/>
      <c r="M34" s="105"/>
      <c r="N34" s="105"/>
      <c r="O34" s="105"/>
      <c r="P34" s="114"/>
      <c r="Q34" s="105"/>
    </row>
    <row r="35" spans="1:33">
      <c r="A35" s="105"/>
      <c r="B35" s="106"/>
      <c r="C35" s="105"/>
      <c r="D35" s="111"/>
      <c r="E35" s="105"/>
      <c r="F35" s="105"/>
      <c r="G35" s="105"/>
      <c r="H35" s="105"/>
      <c r="I35" s="112"/>
      <c r="J35" s="113"/>
      <c r="K35" s="105"/>
      <c r="L35" s="105"/>
      <c r="M35" s="105"/>
      <c r="N35" s="105"/>
      <c r="O35" s="105"/>
      <c r="P35" s="114"/>
      <c r="Q35" s="105"/>
    </row>
    <row r="36" spans="1:33">
      <c r="A36" s="115"/>
      <c r="B36" s="116"/>
      <c r="C36" s="117" t="s">
        <v>49</v>
      </c>
      <c r="D36" s="118"/>
      <c r="E36" s="115"/>
      <c r="F36" s="115"/>
      <c r="G36" s="115"/>
      <c r="H36" s="115"/>
      <c r="I36" s="119"/>
      <c r="J36" s="120"/>
      <c r="K36" s="115"/>
      <c r="L36" s="115"/>
      <c r="M36" s="115"/>
      <c r="N36" s="115"/>
      <c r="O36" s="105"/>
      <c r="P36" s="114"/>
      <c r="Q36" s="105"/>
    </row>
    <row r="37" spans="1:33">
      <c r="A37" s="293" t="s">
        <v>20</v>
      </c>
      <c r="B37" s="78">
        <v>24</v>
      </c>
      <c r="C37" s="121" t="s">
        <v>117</v>
      </c>
      <c r="D37" s="122">
        <v>1</v>
      </c>
      <c r="E37" s="101">
        <f>References!$B$7</f>
        <v>4.333333333333333</v>
      </c>
      <c r="F37" s="79">
        <f>D37*E37*12</f>
        <v>52</v>
      </c>
      <c r="G37" s="79">
        <f>References!B18</f>
        <v>117</v>
      </c>
      <c r="H37" s="79">
        <f t="shared" ref="H37:H39" si="38">G37*F37</f>
        <v>6084</v>
      </c>
      <c r="I37" s="81">
        <f t="shared" ref="I37:I43" si="39">$D$84*H37</f>
        <v>4893.5727324729123</v>
      </c>
      <c r="J37" s="82">
        <f>(References!$C$49*I37)</f>
        <v>40.61665367952525</v>
      </c>
      <c r="K37" s="82">
        <f>J37/References!$G$52</f>
        <v>41.679032755740749</v>
      </c>
      <c r="L37" s="82">
        <f t="shared" ref="L37" si="40">(K37/F37)*E37</f>
        <v>3.4732527296450622</v>
      </c>
      <c r="M37" s="82">
        <v>60.95</v>
      </c>
      <c r="N37" s="83">
        <f>ROUND(L37+M37,2)</f>
        <v>64.42</v>
      </c>
      <c r="O37" s="105"/>
      <c r="P37" s="82"/>
      <c r="Q37" s="82"/>
    </row>
    <row r="38" spans="1:33">
      <c r="A38" s="293"/>
      <c r="B38" s="123">
        <v>24</v>
      </c>
      <c r="C38" s="121" t="s">
        <v>118</v>
      </c>
      <c r="D38" s="122">
        <v>1</v>
      </c>
      <c r="E38" s="101">
        <f>References!$B$7</f>
        <v>4.333333333333333</v>
      </c>
      <c r="F38" s="79">
        <f t="shared" ref="F38:F39" si="41">D38*E38*12</f>
        <v>52</v>
      </c>
      <c r="G38" s="79">
        <f>References!B19</f>
        <v>157</v>
      </c>
      <c r="H38" s="79">
        <f t="shared" si="38"/>
        <v>8164</v>
      </c>
      <c r="I38" s="81">
        <f t="shared" si="39"/>
        <v>6566.5890512670712</v>
      </c>
      <c r="J38" s="82">
        <f>(References!$C$49*I38)</f>
        <v>54.502689125516795</v>
      </c>
      <c r="K38" s="82">
        <f>J38/References!$G$52</f>
        <v>55.928274723515379</v>
      </c>
      <c r="L38" s="82">
        <f t="shared" ref="L38:L39" si="42">(K38/F38)*E38</f>
        <v>4.6606895602929477</v>
      </c>
      <c r="M38" s="82">
        <v>73.430000000000007</v>
      </c>
      <c r="N38" s="83">
        <f t="shared" ref="N38:N39" si="43">ROUND(L38+M38,2)</f>
        <v>78.09</v>
      </c>
      <c r="O38" s="105"/>
      <c r="P38" s="114"/>
      <c r="Q38" s="105"/>
    </row>
    <row r="39" spans="1:33">
      <c r="A39" s="293"/>
      <c r="B39" s="123">
        <v>24</v>
      </c>
      <c r="C39" s="100" t="s">
        <v>120</v>
      </c>
      <c r="D39" s="122">
        <v>1</v>
      </c>
      <c r="E39" s="101">
        <f>References!$B$9</f>
        <v>1</v>
      </c>
      <c r="F39" s="79">
        <f t="shared" si="41"/>
        <v>12</v>
      </c>
      <c r="G39" s="79">
        <f>References!B20</f>
        <v>37</v>
      </c>
      <c r="H39" s="79">
        <f t="shared" si="38"/>
        <v>444</v>
      </c>
      <c r="I39" s="81">
        <f t="shared" si="39"/>
        <v>357.1246372810607</v>
      </c>
      <c r="J39" s="82">
        <f>(References!$C$49*I39)</f>
        <v>2.9641344894328094</v>
      </c>
      <c r="K39" s="82">
        <f>J39/References!$G$52</f>
        <v>3.0416651123518896</v>
      </c>
      <c r="L39" s="82">
        <f t="shared" si="42"/>
        <v>0.2534720926959908</v>
      </c>
      <c r="M39" s="82">
        <v>8.5500000000000007</v>
      </c>
      <c r="N39" s="83">
        <f t="shared" si="43"/>
        <v>8.8000000000000007</v>
      </c>
      <c r="O39" s="105"/>
      <c r="P39" s="114"/>
      <c r="Q39" s="105"/>
    </row>
    <row r="40" spans="1:33">
      <c r="A40" s="293"/>
      <c r="B40" s="123">
        <v>34</v>
      </c>
      <c r="C40" s="100" t="s">
        <v>153</v>
      </c>
      <c r="D40" s="122">
        <v>1</v>
      </c>
      <c r="E40" s="101">
        <f>References!$B$7</f>
        <v>4.333333333333333</v>
      </c>
      <c r="F40" s="79">
        <f t="shared" ref="F40:F43" si="44">D40*E40*12</f>
        <v>52</v>
      </c>
      <c r="G40" s="79">
        <f>References!B21</f>
        <v>47</v>
      </c>
      <c r="H40" s="79">
        <f t="shared" ref="H40:H43" si="45">G40*F40</f>
        <v>2444</v>
      </c>
      <c r="I40" s="81">
        <f t="shared" si="39"/>
        <v>1965.7941745831358</v>
      </c>
      <c r="J40" s="82">
        <f>(References!$C$49*I40)</f>
        <v>16.316091649040057</v>
      </c>
      <c r="K40" s="82">
        <f>J40/References!$G$52</f>
        <v>16.742859312135174</v>
      </c>
      <c r="L40" s="82">
        <f t="shared" ref="L40:L43" si="46">(K40/F40)*E40</f>
        <v>1.3952382760112643</v>
      </c>
      <c r="M40" s="82">
        <v>29.09</v>
      </c>
      <c r="N40" s="83">
        <f t="shared" ref="N40:N43" si="47">ROUND(L40+M40,2)</f>
        <v>30.49</v>
      </c>
      <c r="O40" s="124"/>
      <c r="P40" s="114"/>
      <c r="Q40" s="105"/>
    </row>
    <row r="41" spans="1:33">
      <c r="A41" s="293"/>
      <c r="B41" s="123">
        <v>34</v>
      </c>
      <c r="C41" s="100" t="s">
        <v>154</v>
      </c>
      <c r="D41" s="122">
        <v>1</v>
      </c>
      <c r="E41" s="101">
        <f>References!$B$7</f>
        <v>4.333333333333333</v>
      </c>
      <c r="F41" s="79">
        <f t="shared" si="44"/>
        <v>52</v>
      </c>
      <c r="G41" s="79">
        <f>References!B22</f>
        <v>68</v>
      </c>
      <c r="H41" s="79">
        <f t="shared" si="45"/>
        <v>3536</v>
      </c>
      <c r="I41" s="81">
        <f t="shared" si="39"/>
        <v>2844.1277419500689</v>
      </c>
      <c r="J41" s="82">
        <f>(References!$C$49*I41)</f>
        <v>23.606260258185618</v>
      </c>
      <c r="K41" s="82">
        <f>J41/References!$G$52</f>
        <v>24.223711345216849</v>
      </c>
      <c r="L41" s="82">
        <f t="shared" si="46"/>
        <v>2.0186426121014041</v>
      </c>
      <c r="M41" s="82">
        <v>40.83</v>
      </c>
      <c r="N41" s="83">
        <f t="shared" si="47"/>
        <v>42.85</v>
      </c>
      <c r="O41" s="124"/>
      <c r="P41" s="114"/>
      <c r="Q41" s="105"/>
      <c r="AG41" s="77" t="s">
        <v>177</v>
      </c>
    </row>
    <row r="42" spans="1:33">
      <c r="A42" s="293"/>
      <c r="B42" s="123">
        <v>34</v>
      </c>
      <c r="C42" s="100" t="s">
        <v>155</v>
      </c>
      <c r="D42" s="122">
        <v>1</v>
      </c>
      <c r="E42" s="101">
        <f>References!$B$9</f>
        <v>1</v>
      </c>
      <c r="F42" s="79">
        <f t="shared" si="44"/>
        <v>12</v>
      </c>
      <c r="G42" s="79">
        <f>References!$B$42</f>
        <v>125</v>
      </c>
      <c r="H42" s="79">
        <f t="shared" si="45"/>
        <v>1500</v>
      </c>
      <c r="I42" s="81">
        <f t="shared" si="39"/>
        <v>1206.5021529765563</v>
      </c>
      <c r="J42" s="82">
        <f>(References!$C$49*I42)</f>
        <v>10.013967869705436</v>
      </c>
      <c r="K42" s="82">
        <f>J42/References!$G$52</f>
        <v>10.275895649837462</v>
      </c>
      <c r="L42" s="82">
        <f t="shared" si="46"/>
        <v>0.85632463748645515</v>
      </c>
      <c r="M42" s="82">
        <v>25.52</v>
      </c>
      <c r="N42" s="83">
        <f t="shared" si="47"/>
        <v>26.38</v>
      </c>
      <c r="O42" s="124"/>
      <c r="P42" s="114"/>
      <c r="Q42" s="105"/>
    </row>
    <row r="43" spans="1:33">
      <c r="A43" s="293"/>
      <c r="B43" s="123">
        <v>34</v>
      </c>
      <c r="C43" s="100" t="s">
        <v>156</v>
      </c>
      <c r="D43" s="122">
        <v>1</v>
      </c>
      <c r="E43" s="101">
        <f>References!$B$9</f>
        <v>1</v>
      </c>
      <c r="F43" s="79">
        <f t="shared" si="44"/>
        <v>12</v>
      </c>
      <c r="G43" s="79">
        <f>References!$B$42</f>
        <v>125</v>
      </c>
      <c r="H43" s="79">
        <f t="shared" si="45"/>
        <v>1500</v>
      </c>
      <c r="I43" s="81">
        <f t="shared" si="39"/>
        <v>1206.5021529765563</v>
      </c>
      <c r="J43" s="82">
        <f>(References!$C$49*I43)</f>
        <v>10.013967869705436</v>
      </c>
      <c r="K43" s="82">
        <f>J43/References!$G$52</f>
        <v>10.275895649837462</v>
      </c>
      <c r="L43" s="82">
        <f t="shared" si="46"/>
        <v>0.85632463748645515</v>
      </c>
      <c r="M43" s="82">
        <v>24.33</v>
      </c>
      <c r="N43" s="83">
        <f t="shared" si="47"/>
        <v>25.19</v>
      </c>
      <c r="O43" s="124"/>
      <c r="P43" s="114"/>
      <c r="Q43" s="105"/>
    </row>
    <row r="44" spans="1:33">
      <c r="A44" s="293"/>
      <c r="B44" s="125"/>
      <c r="C44" s="126"/>
      <c r="D44" s="127"/>
      <c r="E44" s="128"/>
      <c r="F44" s="129"/>
      <c r="G44" s="129"/>
      <c r="H44" s="129"/>
      <c r="I44" s="129"/>
      <c r="J44" s="130"/>
      <c r="K44" s="130"/>
      <c r="L44" s="130"/>
      <c r="M44" s="130"/>
      <c r="N44" s="130"/>
      <c r="O44" s="124"/>
      <c r="P44" s="114"/>
      <c r="Q44" s="105"/>
    </row>
    <row r="45" spans="1:33" ht="15" customHeight="1">
      <c r="A45" s="287" t="s">
        <v>173</v>
      </c>
      <c r="B45" s="131">
        <v>30</v>
      </c>
      <c r="C45" s="132" t="s">
        <v>142</v>
      </c>
      <c r="D45" s="132"/>
      <c r="E45" s="132"/>
      <c r="F45" s="133">
        <v>12</v>
      </c>
      <c r="G45" s="134">
        <f>References!B26</f>
        <v>29</v>
      </c>
      <c r="H45" s="133">
        <f>F45*G45</f>
        <v>348</v>
      </c>
      <c r="I45" s="135">
        <f t="shared" ref="I45:I72" si="48">$D$84*H45</f>
        <v>279.9084994905611</v>
      </c>
      <c r="J45" s="136">
        <f>References!$C$49*I45</f>
        <v>2.3232405457716614</v>
      </c>
      <c r="K45" s="136">
        <f>J45/References!$G$52</f>
        <v>2.3840077907622916</v>
      </c>
      <c r="L45" s="136">
        <f>K45/F45</f>
        <v>0.19866731589685763</v>
      </c>
      <c r="M45" s="136">
        <v>8.9</v>
      </c>
      <c r="N45" s="137">
        <f>ROUND(L45+M45,2)</f>
        <v>9.1</v>
      </c>
      <c r="O45" s="124"/>
      <c r="P45" s="114"/>
      <c r="Q45" s="105"/>
    </row>
    <row r="46" spans="1:33">
      <c r="A46" s="288"/>
      <c r="B46" s="123" t="s">
        <v>174</v>
      </c>
      <c r="C46" s="105" t="s">
        <v>143</v>
      </c>
      <c r="D46" s="105"/>
      <c r="E46" s="105"/>
      <c r="F46" s="102">
        <v>12</v>
      </c>
      <c r="G46" s="138">
        <f>References!B20</f>
        <v>37</v>
      </c>
      <c r="H46" s="102">
        <f t="shared" ref="H46:H48" si="49">F46*G46</f>
        <v>444</v>
      </c>
      <c r="I46" s="81">
        <f t="shared" si="48"/>
        <v>357.1246372810607</v>
      </c>
      <c r="J46" s="82">
        <f>References!$C$49*I46</f>
        <v>2.9641344894328094</v>
      </c>
      <c r="K46" s="82">
        <f>J46/References!$G$52</f>
        <v>3.0416651123518896</v>
      </c>
      <c r="L46" s="82">
        <f t="shared" ref="L46:L48" si="50">K46/F46</f>
        <v>0.2534720926959908</v>
      </c>
      <c r="M46" s="82">
        <v>9.3800000000000008</v>
      </c>
      <c r="N46" s="83">
        <f t="shared" ref="N46:N48" si="51">ROUND(L46+M46,2)</f>
        <v>9.6300000000000008</v>
      </c>
      <c r="O46" s="124">
        <v>5.93</v>
      </c>
      <c r="P46" s="178">
        <f>N46/M46*O46</f>
        <v>6.0880490405117271</v>
      </c>
      <c r="Q46" s="105"/>
    </row>
    <row r="47" spans="1:33">
      <c r="A47" s="288"/>
      <c r="B47" s="123" t="s">
        <v>174</v>
      </c>
      <c r="C47" s="139" t="s">
        <v>144</v>
      </c>
      <c r="D47" s="122"/>
      <c r="E47" s="140"/>
      <c r="F47" s="102">
        <v>12</v>
      </c>
      <c r="G47" s="138">
        <f>References!B21</f>
        <v>47</v>
      </c>
      <c r="H47" s="102">
        <f t="shared" si="49"/>
        <v>564</v>
      </c>
      <c r="I47" s="81">
        <f t="shared" si="48"/>
        <v>453.64480951918517</v>
      </c>
      <c r="J47" s="82">
        <f>References!$C$49*I47</f>
        <v>3.7652519190092439</v>
      </c>
      <c r="K47" s="82">
        <f>J47/References!$G$52</f>
        <v>3.8637367643388862</v>
      </c>
      <c r="L47" s="82">
        <f t="shared" si="50"/>
        <v>0.32197806369490717</v>
      </c>
      <c r="M47" s="82">
        <v>13.01</v>
      </c>
      <c r="N47" s="83">
        <f t="shared" si="51"/>
        <v>13.33</v>
      </c>
      <c r="O47" s="124">
        <v>10.35</v>
      </c>
      <c r="P47" s="178">
        <f>N47/M47*O47</f>
        <v>10.604573405073022</v>
      </c>
      <c r="Q47" s="105"/>
    </row>
    <row r="48" spans="1:33">
      <c r="A48" s="288"/>
      <c r="B48" s="123" t="s">
        <v>174</v>
      </c>
      <c r="C48" s="141" t="s">
        <v>145</v>
      </c>
      <c r="D48" s="122"/>
      <c r="E48" s="140"/>
      <c r="F48" s="102">
        <v>12</v>
      </c>
      <c r="G48" s="138">
        <f>References!B22</f>
        <v>68</v>
      </c>
      <c r="H48" s="102">
        <f t="shared" si="49"/>
        <v>816</v>
      </c>
      <c r="I48" s="81">
        <f t="shared" si="48"/>
        <v>656.33717121924667</v>
      </c>
      <c r="J48" s="82">
        <f>References!$C$49*I48</f>
        <v>5.4475985211197573</v>
      </c>
      <c r="K48" s="82">
        <f>J48/References!$G$52</f>
        <v>5.5900872335115803</v>
      </c>
      <c r="L48" s="82">
        <f t="shared" si="50"/>
        <v>0.46584060279263168</v>
      </c>
      <c r="M48" s="82">
        <v>15.94</v>
      </c>
      <c r="N48" s="83">
        <f t="shared" si="51"/>
        <v>16.41</v>
      </c>
      <c r="O48" s="124">
        <v>13.71</v>
      </c>
      <c r="P48" s="178">
        <f>N48/M48*O48</f>
        <v>14.114247176913425</v>
      </c>
      <c r="Q48" s="105"/>
    </row>
    <row r="49" spans="1:17">
      <c r="A49" s="288"/>
      <c r="B49" s="123" t="s">
        <v>172</v>
      </c>
      <c r="C49" s="141" t="s">
        <v>157</v>
      </c>
      <c r="D49" s="105"/>
      <c r="E49" s="105"/>
      <c r="F49" s="102">
        <v>12</v>
      </c>
      <c r="G49" s="122">
        <f>References!B27</f>
        <v>175</v>
      </c>
      <c r="H49" s="102">
        <f t="shared" ref="H49:H56" si="52">F49*G49</f>
        <v>2100</v>
      </c>
      <c r="I49" s="81">
        <f t="shared" si="48"/>
        <v>1689.103014167179</v>
      </c>
      <c r="J49" s="82">
        <f>References!$C$49*I49</f>
        <v>14.019555017587612</v>
      </c>
      <c r="K49" s="82">
        <f>J49/References!$G$52</f>
        <v>14.386253909772449</v>
      </c>
      <c r="L49" s="82">
        <f t="shared" ref="L49:L56" si="53">K49/F49</f>
        <v>1.1988544924810374</v>
      </c>
      <c r="M49" s="82">
        <v>30.19</v>
      </c>
      <c r="N49" s="83">
        <f t="shared" ref="N49:N61" si="54">ROUND(L49+M49,2)</f>
        <v>31.39</v>
      </c>
      <c r="O49" s="124"/>
      <c r="P49" s="114"/>
      <c r="Q49" s="105"/>
    </row>
    <row r="50" spans="1:17">
      <c r="A50" s="288"/>
      <c r="B50" s="123" t="s">
        <v>172</v>
      </c>
      <c r="C50" s="141" t="s">
        <v>162</v>
      </c>
      <c r="D50" s="105"/>
      <c r="E50" s="105"/>
      <c r="F50" s="102">
        <v>12</v>
      </c>
      <c r="G50" s="122">
        <f>References!B28</f>
        <v>250</v>
      </c>
      <c r="H50" s="102">
        <f t="shared" si="52"/>
        <v>3000</v>
      </c>
      <c r="I50" s="81">
        <f t="shared" si="48"/>
        <v>2413.0043059531126</v>
      </c>
      <c r="J50" s="82">
        <f>References!$C$49*I50</f>
        <v>20.027935739410871</v>
      </c>
      <c r="K50" s="82">
        <f>J50/References!$G$52</f>
        <v>20.551791299674925</v>
      </c>
      <c r="L50" s="82">
        <f t="shared" si="53"/>
        <v>1.7126492749729103</v>
      </c>
      <c r="M50" s="82">
        <v>38.479999999999997</v>
      </c>
      <c r="N50" s="83">
        <f t="shared" si="54"/>
        <v>40.19</v>
      </c>
      <c r="O50" s="124"/>
      <c r="P50" s="114"/>
      <c r="Q50" s="105"/>
    </row>
    <row r="51" spans="1:17">
      <c r="A51" s="288"/>
      <c r="B51" s="123" t="s">
        <v>172</v>
      </c>
      <c r="C51" s="141" t="s">
        <v>158</v>
      </c>
      <c r="D51" s="105"/>
      <c r="E51" s="105"/>
      <c r="F51" s="102">
        <v>12</v>
      </c>
      <c r="G51" s="122">
        <f>References!B29</f>
        <v>324</v>
      </c>
      <c r="H51" s="102">
        <f t="shared" si="52"/>
        <v>3888</v>
      </c>
      <c r="I51" s="81">
        <f t="shared" si="48"/>
        <v>3127.2535805152343</v>
      </c>
      <c r="J51" s="82">
        <f>References!$C$49*I51</f>
        <v>25.956204718276492</v>
      </c>
      <c r="K51" s="82">
        <f>J51/References!$G$52</f>
        <v>26.635121524378707</v>
      </c>
      <c r="L51" s="82">
        <f t="shared" si="53"/>
        <v>2.2195934603648921</v>
      </c>
      <c r="M51" s="82">
        <v>48.08</v>
      </c>
      <c r="N51" s="83">
        <f t="shared" si="54"/>
        <v>50.3</v>
      </c>
      <c r="O51" s="124"/>
      <c r="P51" s="114"/>
      <c r="Q51" s="105"/>
    </row>
    <row r="52" spans="1:17">
      <c r="A52" s="288"/>
      <c r="B52" s="123" t="s">
        <v>172</v>
      </c>
      <c r="C52" s="141" t="s">
        <v>159</v>
      </c>
      <c r="D52" s="105"/>
      <c r="E52" s="105"/>
      <c r="F52" s="102">
        <v>12</v>
      </c>
      <c r="G52" s="122">
        <f>References!B30</f>
        <v>473</v>
      </c>
      <c r="H52" s="102">
        <f t="shared" si="52"/>
        <v>5676</v>
      </c>
      <c r="I52" s="81">
        <f t="shared" si="48"/>
        <v>4565.4041468632895</v>
      </c>
      <c r="J52" s="82">
        <f>References!$C$49*I52</f>
        <v>37.892854418965378</v>
      </c>
      <c r="K52" s="82">
        <f>J52/References!$G$52</f>
        <v>38.883989138984973</v>
      </c>
      <c r="L52" s="82">
        <f t="shared" si="53"/>
        <v>3.2403324282487476</v>
      </c>
      <c r="M52" s="82">
        <v>64.56</v>
      </c>
      <c r="N52" s="83">
        <f t="shared" si="54"/>
        <v>67.8</v>
      </c>
      <c r="O52" s="124"/>
      <c r="P52" s="114"/>
      <c r="Q52" s="105"/>
    </row>
    <row r="53" spans="1:17">
      <c r="A53" s="288"/>
      <c r="B53" s="123" t="s">
        <v>172</v>
      </c>
      <c r="C53" s="141" t="s">
        <v>160</v>
      </c>
      <c r="D53" s="105"/>
      <c r="E53" s="105"/>
      <c r="F53" s="102">
        <v>12</v>
      </c>
      <c r="G53" s="122">
        <f>References!B31</f>
        <v>613</v>
      </c>
      <c r="H53" s="102">
        <f t="shared" si="52"/>
        <v>7356</v>
      </c>
      <c r="I53" s="81">
        <f t="shared" si="48"/>
        <v>5916.6865581970324</v>
      </c>
      <c r="J53" s="82">
        <f>References!$C$49*I53</f>
        <v>49.108498433035464</v>
      </c>
      <c r="K53" s="82">
        <f>J53/References!$G$52</f>
        <v>50.392992266802928</v>
      </c>
      <c r="L53" s="82">
        <f t="shared" si="53"/>
        <v>4.199416022233577</v>
      </c>
      <c r="M53" s="82">
        <v>77.8</v>
      </c>
      <c r="N53" s="83">
        <f t="shared" si="54"/>
        <v>82</v>
      </c>
      <c r="O53" s="124"/>
      <c r="P53" s="114"/>
      <c r="Q53" s="105"/>
    </row>
    <row r="54" spans="1:17">
      <c r="A54" s="288"/>
      <c r="B54" s="123" t="s">
        <v>172</v>
      </c>
      <c r="C54" s="141" t="s">
        <v>161</v>
      </c>
      <c r="D54" s="105"/>
      <c r="E54" s="105"/>
      <c r="F54" s="102">
        <v>12</v>
      </c>
      <c r="G54" s="122">
        <f>References!B32</f>
        <v>840</v>
      </c>
      <c r="H54" s="102">
        <f t="shared" si="52"/>
        <v>10080</v>
      </c>
      <c r="I54" s="81">
        <f t="shared" si="48"/>
        <v>8107.694468002459</v>
      </c>
      <c r="J54" s="82">
        <f>References!$C$49*I54</f>
        <v>67.293864084420534</v>
      </c>
      <c r="K54" s="82">
        <f>J54/References!$G$52</f>
        <v>69.05401876690776</v>
      </c>
      <c r="L54" s="82">
        <f t="shared" si="53"/>
        <v>5.7545015639089803</v>
      </c>
      <c r="M54" s="82">
        <v>100.61</v>
      </c>
      <c r="N54" s="83">
        <f t="shared" si="54"/>
        <v>106.36</v>
      </c>
      <c r="O54" s="124"/>
      <c r="P54" s="114"/>
      <c r="Q54" s="105"/>
    </row>
    <row r="55" spans="1:17">
      <c r="A55" s="288"/>
      <c r="B55" s="123" t="s">
        <v>172</v>
      </c>
      <c r="C55" s="141" t="s">
        <v>163</v>
      </c>
      <c r="D55" s="105"/>
      <c r="E55" s="105"/>
      <c r="F55" s="102">
        <v>12</v>
      </c>
      <c r="G55" s="122">
        <f>References!B33</f>
        <v>980</v>
      </c>
      <c r="H55" s="102">
        <f t="shared" si="52"/>
        <v>11760</v>
      </c>
      <c r="I55" s="81">
        <f t="shared" si="48"/>
        <v>9458.9768793362018</v>
      </c>
      <c r="J55" s="82">
        <f>References!$C$49*I55</f>
        <v>78.509508098490628</v>
      </c>
      <c r="K55" s="82">
        <f>J55/References!$G$52</f>
        <v>80.563021894725722</v>
      </c>
      <c r="L55" s="82">
        <f t="shared" si="53"/>
        <v>6.7135851578938102</v>
      </c>
      <c r="M55" s="82">
        <v>121.56</v>
      </c>
      <c r="N55" s="83">
        <f t="shared" si="54"/>
        <v>128.27000000000001</v>
      </c>
      <c r="O55" s="124"/>
      <c r="P55" s="114"/>
      <c r="Q55" s="105"/>
    </row>
    <row r="56" spans="1:17">
      <c r="A56" s="288"/>
      <c r="B56" s="123" t="s">
        <v>172</v>
      </c>
      <c r="C56" s="121" t="s">
        <v>146</v>
      </c>
      <c r="D56" s="122"/>
      <c r="E56" s="140"/>
      <c r="F56" s="102">
        <v>12</v>
      </c>
      <c r="G56" s="138">
        <f>References!B27</f>
        <v>175</v>
      </c>
      <c r="H56" s="102">
        <f t="shared" si="52"/>
        <v>2100</v>
      </c>
      <c r="I56" s="81">
        <f t="shared" si="48"/>
        <v>1689.103014167179</v>
      </c>
      <c r="J56" s="82">
        <f>References!$C$49*I56</f>
        <v>14.019555017587612</v>
      </c>
      <c r="K56" s="82">
        <f>J56/References!$G$52</f>
        <v>14.386253909772449</v>
      </c>
      <c r="L56" s="82">
        <f t="shared" si="53"/>
        <v>1.1988544924810374</v>
      </c>
      <c r="M56" s="82">
        <v>41.09</v>
      </c>
      <c r="N56" s="83">
        <f t="shared" si="54"/>
        <v>42.29</v>
      </c>
      <c r="O56" s="124"/>
      <c r="P56" s="114"/>
      <c r="Q56" s="105"/>
    </row>
    <row r="57" spans="1:17">
      <c r="A57" s="288"/>
      <c r="B57" s="123" t="s">
        <v>172</v>
      </c>
      <c r="C57" s="121" t="s">
        <v>147</v>
      </c>
      <c r="D57" s="122"/>
      <c r="E57" s="140"/>
      <c r="F57" s="102">
        <v>12</v>
      </c>
      <c r="G57" s="138">
        <f>References!B28</f>
        <v>250</v>
      </c>
      <c r="H57" s="102">
        <f t="shared" ref="H57:H59" si="55">F57*G57</f>
        <v>3000</v>
      </c>
      <c r="I57" s="81">
        <f t="shared" si="48"/>
        <v>2413.0043059531126</v>
      </c>
      <c r="J57" s="82">
        <f>References!$C$49*I57</f>
        <v>20.027935739410871</v>
      </c>
      <c r="K57" s="82">
        <f>J57/References!$G$52</f>
        <v>20.551791299674925</v>
      </c>
      <c r="L57" s="82">
        <f t="shared" ref="L57:L59" si="56">K57/F57</f>
        <v>1.7126492749729103</v>
      </c>
      <c r="M57" s="82">
        <v>49.38</v>
      </c>
      <c r="N57" s="83">
        <f t="shared" si="54"/>
        <v>51.09</v>
      </c>
      <c r="O57" s="124"/>
      <c r="P57" s="114"/>
      <c r="Q57" s="105"/>
    </row>
    <row r="58" spans="1:17">
      <c r="A58" s="289"/>
      <c r="B58" s="142" t="s">
        <v>172</v>
      </c>
      <c r="C58" s="121" t="s">
        <v>148</v>
      </c>
      <c r="D58" s="122"/>
      <c r="E58" s="140"/>
      <c r="F58" s="102">
        <v>12</v>
      </c>
      <c r="G58" s="138">
        <f>References!B29</f>
        <v>324</v>
      </c>
      <c r="H58" s="102">
        <f t="shared" si="55"/>
        <v>3888</v>
      </c>
      <c r="I58" s="81">
        <f t="shared" si="48"/>
        <v>3127.2535805152343</v>
      </c>
      <c r="J58" s="82">
        <f>References!$C$49*I58</f>
        <v>25.956204718276492</v>
      </c>
      <c r="K58" s="82">
        <f>J58/References!$G$52</f>
        <v>26.635121524378707</v>
      </c>
      <c r="L58" s="82">
        <f t="shared" si="56"/>
        <v>2.2195934603648921</v>
      </c>
      <c r="M58" s="82">
        <v>58.99</v>
      </c>
      <c r="N58" s="83">
        <f t="shared" si="54"/>
        <v>61.21</v>
      </c>
      <c r="O58" s="124"/>
      <c r="P58" s="114"/>
      <c r="Q58" s="105"/>
    </row>
    <row r="59" spans="1:17">
      <c r="A59" s="289"/>
      <c r="B59" s="142" t="s">
        <v>172</v>
      </c>
      <c r="C59" s="121" t="s">
        <v>149</v>
      </c>
      <c r="D59" s="122"/>
      <c r="E59" s="140"/>
      <c r="F59" s="102">
        <v>12</v>
      </c>
      <c r="G59" s="138">
        <f>References!B30</f>
        <v>473</v>
      </c>
      <c r="H59" s="102">
        <f t="shared" si="55"/>
        <v>5676</v>
      </c>
      <c r="I59" s="81">
        <f t="shared" si="48"/>
        <v>4565.4041468632895</v>
      </c>
      <c r="J59" s="82">
        <f>References!$C$49*I59</f>
        <v>37.892854418965378</v>
      </c>
      <c r="K59" s="82">
        <f>J59/References!$G$52</f>
        <v>38.883989138984973</v>
      </c>
      <c r="L59" s="82">
        <f t="shared" si="56"/>
        <v>3.2403324282487476</v>
      </c>
      <c r="M59" s="82">
        <v>75.459999999999994</v>
      </c>
      <c r="N59" s="83">
        <f t="shared" si="54"/>
        <v>78.7</v>
      </c>
      <c r="O59" s="124"/>
      <c r="P59" s="114"/>
      <c r="Q59" s="105"/>
    </row>
    <row r="60" spans="1:17">
      <c r="A60" s="289"/>
      <c r="B60" s="142" t="s">
        <v>172</v>
      </c>
      <c r="C60" s="121" t="s">
        <v>150</v>
      </c>
      <c r="D60" s="105"/>
      <c r="E60" s="105"/>
      <c r="F60" s="102">
        <v>12</v>
      </c>
      <c r="G60" s="138">
        <f>References!B31</f>
        <v>613</v>
      </c>
      <c r="H60" s="102">
        <f t="shared" ref="H60:H72" si="57">F60*G60</f>
        <v>7356</v>
      </c>
      <c r="I60" s="81">
        <f t="shared" si="48"/>
        <v>5916.6865581970324</v>
      </c>
      <c r="J60" s="82">
        <f>References!$C$49*I60</f>
        <v>49.108498433035464</v>
      </c>
      <c r="K60" s="82">
        <f>J60/References!$G$52</f>
        <v>50.392992266802928</v>
      </c>
      <c r="L60" s="82">
        <f t="shared" ref="L60:L72" si="58">K60/F60</f>
        <v>4.199416022233577</v>
      </c>
      <c r="M60" s="82">
        <v>88.7</v>
      </c>
      <c r="N60" s="83">
        <f t="shared" si="54"/>
        <v>92.9</v>
      </c>
      <c r="O60" s="124"/>
      <c r="P60" s="114"/>
      <c r="Q60" s="105"/>
    </row>
    <row r="61" spans="1:17">
      <c r="A61" s="289"/>
      <c r="B61" s="142" t="s">
        <v>172</v>
      </c>
      <c r="C61" s="121" t="s">
        <v>151</v>
      </c>
      <c r="D61" s="105"/>
      <c r="E61" s="105"/>
      <c r="F61" s="102">
        <v>12</v>
      </c>
      <c r="G61" s="138">
        <f>References!B32</f>
        <v>840</v>
      </c>
      <c r="H61" s="102">
        <f t="shared" si="57"/>
        <v>10080</v>
      </c>
      <c r="I61" s="81">
        <f t="shared" si="48"/>
        <v>8107.694468002459</v>
      </c>
      <c r="J61" s="82">
        <f>References!$C$49*I61</f>
        <v>67.293864084420534</v>
      </c>
      <c r="K61" s="82">
        <f>J61/References!$G$52</f>
        <v>69.05401876690776</v>
      </c>
      <c r="L61" s="82">
        <f t="shared" si="58"/>
        <v>5.7545015639089803</v>
      </c>
      <c r="M61" s="82">
        <v>111.51</v>
      </c>
      <c r="N61" s="83">
        <f t="shared" si="54"/>
        <v>117.26</v>
      </c>
      <c r="O61" s="124"/>
      <c r="P61" s="114"/>
      <c r="Q61" s="105"/>
    </row>
    <row r="62" spans="1:17">
      <c r="A62" s="289"/>
      <c r="B62" s="142" t="s">
        <v>172</v>
      </c>
      <c r="C62" s="121" t="s">
        <v>152</v>
      </c>
      <c r="D62" s="122"/>
      <c r="E62" s="140"/>
      <c r="F62" s="102">
        <v>12</v>
      </c>
      <c r="G62" s="138">
        <f>References!B33</f>
        <v>980</v>
      </c>
      <c r="H62" s="102">
        <f t="shared" si="57"/>
        <v>11760</v>
      </c>
      <c r="I62" s="81">
        <f t="shared" si="48"/>
        <v>9458.9768793362018</v>
      </c>
      <c r="J62" s="82">
        <f>References!$C$49*I62</f>
        <v>78.509508098490628</v>
      </c>
      <c r="K62" s="82">
        <f>J62/References!$G$52</f>
        <v>80.563021894725722</v>
      </c>
      <c r="L62" s="82">
        <f t="shared" si="58"/>
        <v>6.7135851578938102</v>
      </c>
      <c r="M62" s="82">
        <v>132.46</v>
      </c>
      <c r="N62" s="83">
        <f t="shared" ref="N62:N72" si="59">ROUND(L62+M62,2)</f>
        <v>139.16999999999999</v>
      </c>
      <c r="O62" s="124"/>
      <c r="P62" s="114"/>
      <c r="Q62" s="105"/>
    </row>
    <row r="63" spans="1:17">
      <c r="A63" s="289"/>
      <c r="B63" s="142">
        <v>43</v>
      </c>
      <c r="C63" s="143" t="s">
        <v>141</v>
      </c>
      <c r="D63" s="122"/>
      <c r="E63" s="140"/>
      <c r="F63" s="102">
        <v>12</v>
      </c>
      <c r="G63" s="122">
        <f>References!B13</f>
        <v>20</v>
      </c>
      <c r="H63" s="102">
        <f t="shared" si="57"/>
        <v>240</v>
      </c>
      <c r="I63" s="81">
        <f t="shared" si="48"/>
        <v>193.04034447624903</v>
      </c>
      <c r="J63" s="82">
        <f>References!$C$49*I63</f>
        <v>1.6022348591528699</v>
      </c>
      <c r="K63" s="82">
        <f>J63/References!$G$52</f>
        <v>1.6441433039739943</v>
      </c>
      <c r="L63" s="82">
        <f t="shared" si="58"/>
        <v>0.13701194199783287</v>
      </c>
      <c r="M63" s="82">
        <v>4.84</v>
      </c>
      <c r="N63" s="83">
        <f t="shared" si="59"/>
        <v>4.9800000000000004</v>
      </c>
      <c r="O63" s="124"/>
      <c r="P63" s="114"/>
      <c r="Q63" s="105"/>
    </row>
    <row r="64" spans="1:17">
      <c r="A64" s="289"/>
      <c r="B64" s="144">
        <v>43</v>
      </c>
      <c r="C64" s="145" t="s">
        <v>164</v>
      </c>
      <c r="D64" s="146"/>
      <c r="E64" s="147"/>
      <c r="F64" s="148">
        <v>12</v>
      </c>
      <c r="G64" s="146">
        <f>References!B13</f>
        <v>20</v>
      </c>
      <c r="H64" s="148">
        <f t="shared" si="57"/>
        <v>240</v>
      </c>
      <c r="I64" s="149">
        <f t="shared" si="48"/>
        <v>193.04034447624903</v>
      </c>
      <c r="J64" s="150">
        <f>References!$C$49*I64</f>
        <v>1.6022348591528699</v>
      </c>
      <c r="K64" s="150">
        <f>J64/References!$G$52</f>
        <v>1.6441433039739943</v>
      </c>
      <c r="L64" s="150">
        <f t="shared" si="58"/>
        <v>0.13701194199783287</v>
      </c>
      <c r="M64" s="150">
        <v>21.94</v>
      </c>
      <c r="N64" s="83">
        <f t="shared" si="59"/>
        <v>22.08</v>
      </c>
      <c r="O64" s="124"/>
      <c r="P64" s="114"/>
      <c r="Q64" s="105"/>
    </row>
    <row r="65" spans="1:17">
      <c r="A65" s="289"/>
      <c r="B65" s="144">
        <v>43</v>
      </c>
      <c r="C65" s="151" t="s">
        <v>165</v>
      </c>
      <c r="D65" s="151"/>
      <c r="E65" s="151"/>
      <c r="F65" s="148">
        <v>12</v>
      </c>
      <c r="G65" s="146">
        <f>References!B26</f>
        <v>29</v>
      </c>
      <c r="H65" s="148">
        <f t="shared" si="57"/>
        <v>348</v>
      </c>
      <c r="I65" s="149">
        <f t="shared" si="48"/>
        <v>279.9084994905611</v>
      </c>
      <c r="J65" s="150">
        <f>References!$C$49*I65</f>
        <v>2.3232405457716614</v>
      </c>
      <c r="K65" s="150">
        <f>J65/References!$G$52</f>
        <v>2.3840077907622916</v>
      </c>
      <c r="L65" s="150">
        <f t="shared" si="58"/>
        <v>0.19866731589685763</v>
      </c>
      <c r="M65" s="150">
        <v>24.72</v>
      </c>
      <c r="N65" s="83">
        <f t="shared" si="59"/>
        <v>24.92</v>
      </c>
      <c r="O65" s="124"/>
      <c r="P65" s="114"/>
      <c r="Q65" s="105"/>
    </row>
    <row r="66" spans="1:17">
      <c r="A66" s="289"/>
      <c r="B66" s="152" t="s">
        <v>171</v>
      </c>
      <c r="C66" s="121" t="s">
        <v>137</v>
      </c>
      <c r="D66" s="101"/>
      <c r="E66" s="101"/>
      <c r="F66" s="102">
        <v>12</v>
      </c>
      <c r="G66" s="138">
        <f>References!B38</f>
        <v>1686</v>
      </c>
      <c r="H66" s="102">
        <f t="shared" si="57"/>
        <v>20232</v>
      </c>
      <c r="I66" s="81">
        <f t="shared" si="48"/>
        <v>16273.301039347793</v>
      </c>
      <c r="J66" s="82">
        <f>References!$C$49*I66</f>
        <v>135.06839862658694</v>
      </c>
      <c r="K66" s="82">
        <f>J66/References!$G$52</f>
        <v>138.60128052500772</v>
      </c>
      <c r="L66" s="82">
        <f t="shared" si="58"/>
        <v>11.55010671041731</v>
      </c>
      <c r="M66" s="82">
        <v>247.9</v>
      </c>
      <c r="N66" s="83">
        <f t="shared" si="59"/>
        <v>259.45</v>
      </c>
      <c r="O66" s="124"/>
      <c r="P66" s="114"/>
      <c r="Q66" s="105"/>
    </row>
    <row r="67" spans="1:17">
      <c r="A67" s="288"/>
      <c r="B67" s="106">
        <v>44</v>
      </c>
      <c r="C67" s="121" t="s">
        <v>139</v>
      </c>
      <c r="D67" s="101"/>
      <c r="E67" s="101"/>
      <c r="F67" s="102">
        <v>12</v>
      </c>
      <c r="G67" s="138">
        <f>References!B41</f>
        <v>2800</v>
      </c>
      <c r="H67" s="102">
        <f t="shared" si="57"/>
        <v>33600</v>
      </c>
      <c r="I67" s="81">
        <f t="shared" si="48"/>
        <v>27025.648226674864</v>
      </c>
      <c r="J67" s="82">
        <f>References!$C$49*I67</f>
        <v>224.31288028140179</v>
      </c>
      <c r="K67" s="82">
        <f>J67/References!$G$52</f>
        <v>230.18006255635919</v>
      </c>
      <c r="L67" s="82">
        <f t="shared" si="58"/>
        <v>19.181671879696598</v>
      </c>
      <c r="M67" s="82">
        <v>390.6</v>
      </c>
      <c r="N67" s="83">
        <f t="shared" si="59"/>
        <v>409.78</v>
      </c>
      <c r="O67" s="124"/>
      <c r="P67" s="114"/>
      <c r="Q67" s="105"/>
    </row>
    <row r="68" spans="1:17">
      <c r="A68" s="288"/>
      <c r="B68" s="106">
        <v>44</v>
      </c>
      <c r="C68" s="121" t="s">
        <v>166</v>
      </c>
      <c r="D68" s="105"/>
      <c r="E68" s="105"/>
      <c r="F68" s="102">
        <v>12</v>
      </c>
      <c r="G68" s="122">
        <f>+References!B36</f>
        <v>892</v>
      </c>
      <c r="H68" s="102">
        <f t="shared" si="57"/>
        <v>10704</v>
      </c>
      <c r="I68" s="81">
        <f t="shared" si="48"/>
        <v>8609.5993636407056</v>
      </c>
      <c r="J68" s="82">
        <f>References!$C$49*I68</f>
        <v>71.459674718217997</v>
      </c>
      <c r="K68" s="82">
        <f>J68/References!$G$52</f>
        <v>73.328791357240149</v>
      </c>
      <c r="L68" s="82">
        <f t="shared" si="58"/>
        <v>6.1107326131033455</v>
      </c>
      <c r="M68" s="82">
        <v>121.14</v>
      </c>
      <c r="N68" s="83">
        <f t="shared" si="59"/>
        <v>127.25</v>
      </c>
      <c r="O68" s="124"/>
      <c r="P68" s="114"/>
      <c r="Q68" s="105"/>
    </row>
    <row r="69" spans="1:17">
      <c r="A69" s="288"/>
      <c r="B69" s="106">
        <v>44</v>
      </c>
      <c r="C69" s="121" t="s">
        <v>167</v>
      </c>
      <c r="D69" s="105"/>
      <c r="E69" s="105"/>
      <c r="F69" s="102">
        <v>12</v>
      </c>
      <c r="G69" s="122">
        <f>+References!B37</f>
        <v>1301</v>
      </c>
      <c r="H69" s="102">
        <f t="shared" si="57"/>
        <v>15612</v>
      </c>
      <c r="I69" s="81">
        <f t="shared" si="48"/>
        <v>12557.274408179999</v>
      </c>
      <c r="J69" s="82">
        <f>References!$C$49*I69</f>
        <v>104.22537758789419</v>
      </c>
      <c r="K69" s="82">
        <f>J69/References!$G$52</f>
        <v>106.95152192350832</v>
      </c>
      <c r="L69" s="82">
        <f t="shared" si="58"/>
        <v>8.912626826959027</v>
      </c>
      <c r="M69" s="82">
        <v>213.32</v>
      </c>
      <c r="N69" s="83">
        <f t="shared" si="59"/>
        <v>222.23</v>
      </c>
      <c r="O69" s="124"/>
      <c r="P69" s="114"/>
      <c r="Q69" s="105"/>
    </row>
    <row r="70" spans="1:17">
      <c r="A70" s="288"/>
      <c r="B70" s="106">
        <v>44</v>
      </c>
      <c r="C70" s="141" t="s">
        <v>169</v>
      </c>
      <c r="D70" s="105"/>
      <c r="E70" s="105"/>
      <c r="F70" s="102">
        <v>12</v>
      </c>
      <c r="G70" s="122">
        <f>+References!B38</f>
        <v>1686</v>
      </c>
      <c r="H70" s="102">
        <f t="shared" si="57"/>
        <v>20232</v>
      </c>
      <c r="I70" s="81">
        <f t="shared" si="48"/>
        <v>16273.301039347793</v>
      </c>
      <c r="J70" s="82">
        <f>References!$C$49*I70</f>
        <v>135.06839862658694</v>
      </c>
      <c r="K70" s="82">
        <f>J70/References!$G$52</f>
        <v>138.60128052500772</v>
      </c>
      <c r="L70" s="82">
        <f t="shared" si="58"/>
        <v>11.55010671041731</v>
      </c>
      <c r="M70" s="82">
        <v>251.85</v>
      </c>
      <c r="N70" s="83">
        <f t="shared" si="59"/>
        <v>263.39999999999998</v>
      </c>
      <c r="O70" s="124"/>
      <c r="P70" s="114"/>
      <c r="Q70" s="105"/>
    </row>
    <row r="71" spans="1:17">
      <c r="A71" s="288"/>
      <c r="B71" s="106">
        <v>44</v>
      </c>
      <c r="C71" s="121" t="s">
        <v>168</v>
      </c>
      <c r="D71" s="105"/>
      <c r="E71" s="105"/>
      <c r="F71" s="102">
        <v>12</v>
      </c>
      <c r="G71" s="153">
        <f>+References!B40</f>
        <v>2310</v>
      </c>
      <c r="H71" s="102">
        <f t="shared" si="57"/>
        <v>27720</v>
      </c>
      <c r="I71" s="81">
        <f t="shared" si="48"/>
        <v>22296.159787006764</v>
      </c>
      <c r="J71" s="82">
        <f>References!$C$49*I71</f>
        <v>185.0581262321565</v>
      </c>
      <c r="K71" s="82">
        <f>J71/References!$G$52</f>
        <v>189.89855160899637</v>
      </c>
      <c r="L71" s="82">
        <f t="shared" si="58"/>
        <v>15.824879300749698</v>
      </c>
      <c r="M71" s="82">
        <v>301.14</v>
      </c>
      <c r="N71" s="83">
        <f t="shared" si="59"/>
        <v>316.95999999999998</v>
      </c>
      <c r="O71" s="124"/>
      <c r="P71" s="114"/>
      <c r="Q71" s="105"/>
    </row>
    <row r="72" spans="1:17">
      <c r="A72" s="288"/>
      <c r="B72" s="106">
        <v>44</v>
      </c>
      <c r="C72" s="121" t="s">
        <v>170</v>
      </c>
      <c r="D72" s="105"/>
      <c r="E72" s="105"/>
      <c r="F72" s="102">
        <v>12</v>
      </c>
      <c r="G72" s="153">
        <f>+References!B41</f>
        <v>2800</v>
      </c>
      <c r="H72" s="102">
        <f t="shared" si="57"/>
        <v>33600</v>
      </c>
      <c r="I72" s="81">
        <f t="shared" si="48"/>
        <v>27025.648226674864</v>
      </c>
      <c r="J72" s="82">
        <f>References!$C$49*I72</f>
        <v>224.31288028140179</v>
      </c>
      <c r="K72" s="82">
        <f>J72/References!$G$52</f>
        <v>230.18006255635919</v>
      </c>
      <c r="L72" s="82">
        <f t="shared" si="58"/>
        <v>19.181671879696598</v>
      </c>
      <c r="M72" s="82">
        <v>394.54</v>
      </c>
      <c r="N72" s="83">
        <f t="shared" si="59"/>
        <v>413.72</v>
      </c>
      <c r="O72" s="124"/>
      <c r="P72" s="114"/>
      <c r="Q72" s="105"/>
    </row>
    <row r="73" spans="1:17">
      <c r="A73" s="290"/>
      <c r="B73" s="154"/>
      <c r="C73" s="154"/>
      <c r="D73" s="154"/>
      <c r="E73" s="154"/>
      <c r="F73" s="154"/>
      <c r="G73" s="154"/>
      <c r="H73" s="154"/>
      <c r="I73" s="154"/>
      <c r="J73" s="154"/>
      <c r="K73" s="154"/>
      <c r="L73" s="154"/>
      <c r="M73" s="154"/>
      <c r="N73" s="154"/>
      <c r="O73" s="124"/>
      <c r="P73" s="114"/>
      <c r="Q73" s="105"/>
    </row>
    <row r="74" spans="1:17">
      <c r="C74" s="100"/>
      <c r="H74" s="102"/>
      <c r="I74" s="81"/>
      <c r="J74" s="82"/>
      <c r="K74" s="82"/>
      <c r="L74" s="82"/>
      <c r="N74" s="82"/>
      <c r="O74" s="124"/>
      <c r="P74" s="114"/>
      <c r="Q74" s="105"/>
    </row>
    <row r="75" spans="1:17">
      <c r="C75" s="100"/>
      <c r="H75" s="102"/>
      <c r="I75" s="81"/>
      <c r="J75" s="82"/>
      <c r="K75" s="82"/>
      <c r="L75" s="82"/>
      <c r="N75" s="82"/>
      <c r="O75" s="124"/>
      <c r="P75" s="114"/>
      <c r="Q75" s="105"/>
    </row>
    <row r="76" spans="1:17">
      <c r="H76" s="102"/>
      <c r="I76" s="81"/>
      <c r="J76" s="82"/>
      <c r="K76" s="82"/>
      <c r="L76" s="82"/>
      <c r="N76" s="82"/>
      <c r="O76" s="124"/>
      <c r="P76" s="114"/>
      <c r="Q76" s="105"/>
    </row>
    <row r="77" spans="1:17">
      <c r="A77" s="121"/>
      <c r="B77" s="123"/>
      <c r="C77" s="121"/>
      <c r="D77" s="156"/>
      <c r="E77" s="101"/>
      <c r="F77" s="79"/>
      <c r="G77" s="79"/>
      <c r="H77" s="79"/>
      <c r="I77" s="81"/>
      <c r="J77" s="82"/>
      <c r="K77" s="82"/>
      <c r="L77" s="82"/>
      <c r="M77" s="103"/>
      <c r="N77" s="82"/>
      <c r="O77" s="105"/>
      <c r="P77" s="114"/>
      <c r="Q77" s="105"/>
    </row>
    <row r="78" spans="1:17">
      <c r="A78" s="157"/>
      <c r="B78" s="106"/>
      <c r="C78" s="158"/>
      <c r="D78" s="111"/>
      <c r="E78" s="105"/>
      <c r="F78" s="105"/>
      <c r="G78" s="105"/>
      <c r="H78" s="105"/>
      <c r="I78" s="112"/>
      <c r="J78" s="105"/>
      <c r="K78" s="105"/>
      <c r="L78" s="105"/>
      <c r="M78" s="105"/>
      <c r="N78" s="105"/>
      <c r="O78" s="105"/>
      <c r="P78" s="159"/>
      <c r="Q78" s="105"/>
    </row>
    <row r="79" spans="1:17">
      <c r="A79" s="157"/>
      <c r="C79" s="286" t="s">
        <v>50</v>
      </c>
      <c r="D79" s="286"/>
      <c r="E79" s="160"/>
      <c r="F79" s="160"/>
      <c r="G79" s="105"/>
      <c r="H79" s="161"/>
      <c r="I79" s="112"/>
      <c r="J79" s="105"/>
      <c r="K79" s="105"/>
      <c r="L79" s="105"/>
      <c r="M79" s="105"/>
      <c r="N79" s="105"/>
      <c r="O79" s="105"/>
      <c r="P79" s="105"/>
      <c r="Q79" s="105"/>
    </row>
    <row r="80" spans="1:17">
      <c r="A80" s="157"/>
      <c r="C80" s="105"/>
      <c r="D80" s="162" t="s">
        <v>2</v>
      </c>
      <c r="E80" s="163"/>
      <c r="F80" s="163"/>
      <c r="G80" s="105"/>
      <c r="H80" s="164" t="s">
        <v>51</v>
      </c>
      <c r="I80" s="112"/>
      <c r="J80" s="165"/>
      <c r="K80" s="105"/>
      <c r="L80" s="105"/>
      <c r="M80" s="105"/>
      <c r="N80" s="105"/>
      <c r="O80" s="111"/>
      <c r="P80" s="105"/>
      <c r="Q80" s="105"/>
    </row>
    <row r="81" spans="1:17">
      <c r="A81" s="157"/>
      <c r="C81" s="105" t="s">
        <v>52</v>
      </c>
      <c r="D81" s="166">
        <f>'Revenue &amp; Expense Adj.'!D21</f>
        <v>27138.859997868276</v>
      </c>
      <c r="E81" s="112"/>
      <c r="F81" s="112"/>
      <c r="G81" s="167"/>
      <c r="H81" s="168" t="s">
        <v>53</v>
      </c>
      <c r="I81" s="169"/>
      <c r="J81" s="165"/>
      <c r="K81" s="105"/>
      <c r="L81" s="105"/>
      <c r="M81" s="105"/>
      <c r="N81" s="105"/>
      <c r="O81" s="111"/>
      <c r="P81" s="105"/>
      <c r="Q81" s="105"/>
    </row>
    <row r="82" spans="1:17">
      <c r="A82" s="157"/>
      <c r="C82" s="105" t="s">
        <v>54</v>
      </c>
      <c r="D82" s="122">
        <f>D81*2000</f>
        <v>54277719.995736554</v>
      </c>
      <c r="E82" s="153"/>
      <c r="F82" s="153"/>
      <c r="G82" s="153"/>
      <c r="H82" s="170"/>
      <c r="I82" s="112"/>
      <c r="J82" s="165"/>
      <c r="K82" s="105"/>
      <c r="L82" s="105"/>
      <c r="M82" s="105"/>
      <c r="N82" s="105"/>
      <c r="O82" s="105"/>
      <c r="P82" s="105"/>
      <c r="Q82" s="105"/>
    </row>
    <row r="83" spans="1:17">
      <c r="A83" s="157"/>
      <c r="C83" s="105" t="s">
        <v>55</v>
      </c>
      <c r="D83" s="122">
        <f>F33</f>
        <v>1116619.81488</v>
      </c>
      <c r="E83" s="112"/>
      <c r="F83" s="112"/>
      <c r="G83" s="112"/>
      <c r="H83" s="105"/>
      <c r="I83" s="79"/>
      <c r="J83" s="165"/>
      <c r="K83" s="105"/>
      <c r="L83" s="105"/>
      <c r="M83" s="105"/>
      <c r="N83" s="105"/>
      <c r="O83" s="111"/>
      <c r="P83" s="105"/>
      <c r="Q83" s="105"/>
    </row>
    <row r="84" spans="1:17">
      <c r="A84" s="105"/>
      <c r="C84" s="171" t="s">
        <v>56</v>
      </c>
      <c r="D84" s="172">
        <f>D82/$H$33</f>
        <v>0.80433476865103759</v>
      </c>
      <c r="E84" s="173"/>
      <c r="F84" s="173"/>
      <c r="G84" s="173"/>
      <c r="H84" s="174"/>
      <c r="I84" s="112"/>
      <c r="J84" s="165"/>
      <c r="K84" s="105"/>
      <c r="L84" s="105"/>
      <c r="M84" s="175"/>
      <c r="N84" s="175"/>
      <c r="O84" s="176"/>
      <c r="P84" s="105"/>
      <c r="Q84" s="105"/>
    </row>
    <row r="85" spans="1:17">
      <c r="A85" s="105"/>
      <c r="B85" s="106"/>
      <c r="C85" s="105"/>
      <c r="D85" s="111"/>
      <c r="E85" s="165"/>
      <c r="F85" s="105"/>
      <c r="G85" s="177"/>
      <c r="H85" s="178"/>
      <c r="I85" s="112"/>
      <c r="J85" s="165"/>
      <c r="K85" s="105"/>
      <c r="L85" s="105"/>
      <c r="M85" s="155"/>
      <c r="N85" s="179"/>
      <c r="O85" s="159"/>
      <c r="P85" s="105"/>
      <c r="Q85" s="105"/>
    </row>
    <row r="86" spans="1:17">
      <c r="A86" s="105"/>
      <c r="B86" s="106"/>
      <c r="C86" s="105"/>
      <c r="D86" s="180"/>
      <c r="E86" s="181"/>
      <c r="F86" s="105"/>
      <c r="G86" s="177"/>
      <c r="H86" s="178"/>
      <c r="I86" s="112"/>
      <c r="J86" s="165"/>
      <c r="K86" s="105"/>
      <c r="L86" s="105"/>
      <c r="M86" s="155"/>
      <c r="N86" s="179"/>
      <c r="O86" s="159"/>
      <c r="P86" s="105"/>
      <c r="Q86" s="105"/>
    </row>
    <row r="87" spans="1:17">
      <c r="A87" s="105"/>
      <c r="B87" s="106"/>
      <c r="C87" s="105"/>
      <c r="D87" s="180"/>
      <c r="E87" s="181"/>
      <c r="F87" s="105"/>
      <c r="G87" s="177"/>
      <c r="H87" s="178"/>
      <c r="I87" s="112"/>
      <c r="J87" s="165"/>
      <c r="K87" s="105"/>
      <c r="L87" s="105"/>
      <c r="M87" s="155"/>
      <c r="N87" s="179"/>
      <c r="O87" s="159"/>
      <c r="P87" s="105"/>
      <c r="Q87" s="105"/>
    </row>
    <row r="88" spans="1:17">
      <c r="A88" s="105"/>
      <c r="B88" s="106"/>
      <c r="C88" s="105"/>
      <c r="D88" s="105"/>
      <c r="E88" s="105"/>
      <c r="F88" s="105"/>
      <c r="G88" s="105"/>
      <c r="H88" s="105"/>
      <c r="I88" s="105"/>
      <c r="J88" s="105"/>
      <c r="K88" s="105"/>
      <c r="L88" s="105"/>
      <c r="M88" s="105"/>
      <c r="N88" s="105"/>
      <c r="O88" s="105"/>
      <c r="P88" s="105"/>
      <c r="Q88" s="105"/>
    </row>
  </sheetData>
  <mergeCells count="5">
    <mergeCell ref="C79:D79"/>
    <mergeCell ref="A45:A73"/>
    <mergeCell ref="A2:A14"/>
    <mergeCell ref="A17:A31"/>
    <mergeCell ref="A37:A44"/>
  </mergeCells>
  <pageMargins left="0.45" right="0.45" top="0.75" bottom="0.75" header="0.3" footer="0.3"/>
  <pageSetup scale="70" fitToHeight="2" orientation="landscape" r:id="rId1"/>
  <ignoredErrors>
    <ignoredError sqref="I16 E39"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0AEB-8BE7-4D1B-AEE3-C14184DCCB2B}">
  <sheetPr codeName="Sheet10">
    <tabColor theme="2" tint="-0.249977111117893"/>
    <pageSetUpPr fitToPage="1"/>
  </sheetPr>
  <dimension ref="A1:X419"/>
  <sheetViews>
    <sheetView workbookViewId="0">
      <selection activeCell="T204" sqref="T204"/>
    </sheetView>
  </sheetViews>
  <sheetFormatPr defaultColWidth="9.140625" defaultRowHeight="15"/>
  <cols>
    <col min="1" max="1" width="36" style="234" bestFit="1" customWidth="1"/>
    <col min="2" max="2" width="13.7109375" style="234" bestFit="1" customWidth="1"/>
    <col min="3" max="3" width="14.28515625" style="234" customWidth="1"/>
    <col min="4" max="4" width="12" style="234" bestFit="1" customWidth="1"/>
    <col min="5" max="5" width="7" style="236" bestFit="1" customWidth="1"/>
    <col min="6" max="6" width="9.140625" style="237" bestFit="1" customWidth="1"/>
    <col min="7" max="7" width="20.28515625" style="248" bestFit="1" customWidth="1"/>
    <col min="8" max="8" width="16.42578125" style="234" bestFit="1" customWidth="1"/>
    <col min="9" max="9" width="12.28515625" style="234" bestFit="1" customWidth="1"/>
    <col min="10" max="10" width="9.140625" style="234"/>
    <col min="11" max="11" width="14" style="234" bestFit="1" customWidth="1"/>
    <col min="12" max="12" width="9.140625" style="234"/>
    <col min="13" max="13" width="10.7109375" style="249" bestFit="1" customWidth="1"/>
    <col min="14" max="14" width="10.28515625" style="249" bestFit="1" customWidth="1"/>
    <col min="15" max="15" width="14" style="234" bestFit="1" customWidth="1"/>
    <col min="16" max="16384" width="9.140625" style="234"/>
  </cols>
  <sheetData>
    <row r="1" spans="1:24" s="189" customFormat="1" ht="19.5">
      <c r="A1" s="188" t="str">
        <f>"Waste Management of "&amp;[2]Inputs!$B$6&amp;IF(ISBLANK([2]Inputs!$B$7),""," &amp; "&amp;[2]Inputs!$B$7)</f>
        <v>Waste Management of North Sound &amp; Marysville</v>
      </c>
      <c r="E1" s="190"/>
      <c r="F1" s="294" t="s">
        <v>17</v>
      </c>
      <c r="G1" s="294"/>
      <c r="H1" s="294"/>
      <c r="I1" s="294"/>
      <c r="J1" s="294"/>
      <c r="M1" s="191"/>
      <c r="N1" s="191"/>
    </row>
    <row r="2" spans="1:24" s="193" customFormat="1" ht="17.25">
      <c r="A2" s="189" t="s">
        <v>178</v>
      </c>
      <c r="B2" s="192"/>
      <c r="C2" s="192"/>
      <c r="E2" s="194"/>
      <c r="F2" s="195"/>
      <c r="G2" s="195" t="s">
        <v>179</v>
      </c>
      <c r="H2" s="195" t="s">
        <v>180</v>
      </c>
      <c r="I2" s="195"/>
      <c r="J2" s="196"/>
      <c r="M2" s="197"/>
      <c r="N2" s="197"/>
    </row>
    <row r="3" spans="1:24" s="193" customFormat="1" ht="17.25">
      <c r="A3" s="189"/>
      <c r="B3" s="192"/>
      <c r="C3" s="192"/>
      <c r="E3" s="194"/>
      <c r="F3" s="195"/>
      <c r="G3" s="195" t="s">
        <v>181</v>
      </c>
      <c r="H3" s="195" t="s">
        <v>182</v>
      </c>
      <c r="I3" s="195" t="s">
        <v>183</v>
      </c>
      <c r="J3" s="196" t="s">
        <v>184</v>
      </c>
      <c r="M3" s="197"/>
      <c r="N3" s="197"/>
    </row>
    <row r="4" spans="1:24" s="193" customFormat="1" ht="18" thickBot="1">
      <c r="A4" s="189"/>
      <c r="B4" s="192"/>
      <c r="C4" s="192"/>
      <c r="E4" s="194"/>
      <c r="F4" s="198" t="s">
        <v>185</v>
      </c>
      <c r="G4" s="198">
        <f>G193+G305+G370+G408</f>
        <v>12995921.368963974</v>
      </c>
      <c r="H4" s="198">
        <f>'[2]Com''l Garbage'!R13+'[2]Com''l Garbage'!R14</f>
        <v>12995977.749999892</v>
      </c>
      <c r="I4" s="198">
        <f>G4-H4</f>
        <v>-56.381035918369889</v>
      </c>
      <c r="J4" s="199">
        <f>I4/G4</f>
        <v>-4.3383638849197309E-6</v>
      </c>
      <c r="M4" s="197"/>
      <c r="N4" s="197"/>
    </row>
    <row r="5" spans="1:24" s="193" customFormat="1" ht="18" thickBot="1">
      <c r="A5" s="189"/>
      <c r="B5" s="192"/>
      <c r="C5" s="192"/>
      <c r="D5" s="200">
        <v>1.133E-2</v>
      </c>
      <c r="E5" s="194"/>
      <c r="F5" s="201"/>
      <c r="G5" s="202"/>
      <c r="M5" s="197"/>
      <c r="N5" s="197"/>
    </row>
    <row r="6" spans="1:24" s="193" customFormat="1" ht="17.25">
      <c r="A6" s="189"/>
      <c r="B6" s="192"/>
      <c r="C6" s="192"/>
      <c r="E6" s="194"/>
      <c r="F6" s="201"/>
      <c r="G6" s="203"/>
      <c r="M6" s="197"/>
      <c r="N6" s="197"/>
    </row>
    <row r="7" spans="1:24" s="193" customFormat="1" ht="17.25">
      <c r="B7" s="204" t="s">
        <v>19</v>
      </c>
      <c r="C7" s="204" t="s">
        <v>186</v>
      </c>
      <c r="D7" s="204" t="s">
        <v>2</v>
      </c>
      <c r="E7" s="194"/>
      <c r="F7" s="205"/>
      <c r="G7" s="203"/>
      <c r="H7" s="206"/>
      <c r="I7" s="207" t="s">
        <v>3</v>
      </c>
      <c r="J7" s="207"/>
      <c r="K7" s="207"/>
      <c r="L7" s="207" t="s">
        <v>187</v>
      </c>
      <c r="M7" s="208"/>
      <c r="N7" s="208"/>
      <c r="O7" s="209" t="s">
        <v>188</v>
      </c>
      <c r="P7" s="210"/>
      <c r="Q7" s="211"/>
      <c r="R7" s="212"/>
    </row>
    <row r="8" spans="1:24" s="193" customFormat="1">
      <c r="B8" s="213" t="s">
        <v>189</v>
      </c>
      <c r="C8" s="213" t="s">
        <v>189</v>
      </c>
      <c r="D8" s="213" t="s">
        <v>189</v>
      </c>
      <c r="E8" s="214"/>
      <c r="F8" s="215" t="s">
        <v>190</v>
      </c>
      <c r="G8" s="216" t="s">
        <v>191</v>
      </c>
      <c r="H8" s="207" t="s">
        <v>4</v>
      </c>
      <c r="I8" s="207" t="s">
        <v>191</v>
      </c>
      <c r="J8" s="207" t="s">
        <v>192</v>
      </c>
      <c r="K8" s="207" t="s">
        <v>5</v>
      </c>
      <c r="L8" s="207" t="s">
        <v>193</v>
      </c>
      <c r="M8" s="217" t="s">
        <v>194</v>
      </c>
      <c r="N8" s="218"/>
      <c r="O8" s="219" t="s">
        <v>195</v>
      </c>
      <c r="P8" s="220" t="s">
        <v>187</v>
      </c>
      <c r="Q8" s="221"/>
      <c r="R8" s="222"/>
    </row>
    <row r="9" spans="1:24" s="223" customFormat="1" ht="18" thickBot="1">
      <c r="A9" s="223" t="s">
        <v>196</v>
      </c>
      <c r="B9" s="223" t="s">
        <v>197</v>
      </c>
      <c r="C9" s="223" t="s">
        <v>197</v>
      </c>
      <c r="D9" s="223" t="s">
        <v>197</v>
      </c>
      <c r="E9" s="194" t="s">
        <v>198</v>
      </c>
      <c r="F9" s="224" t="s">
        <v>6</v>
      </c>
      <c r="G9" s="225" t="s">
        <v>5</v>
      </c>
      <c r="H9" s="226" t="s">
        <v>6</v>
      </c>
      <c r="I9" s="226" t="s">
        <v>5</v>
      </c>
      <c r="J9" s="226" t="s">
        <v>199</v>
      </c>
      <c r="K9" s="226" t="s">
        <v>199</v>
      </c>
      <c r="L9" s="226" t="s">
        <v>200</v>
      </c>
      <c r="M9" s="227" t="s">
        <v>201</v>
      </c>
      <c r="N9" s="227" t="s">
        <v>7</v>
      </c>
      <c r="O9" s="228" t="s">
        <v>202</v>
      </c>
      <c r="P9" s="229" t="s">
        <v>195</v>
      </c>
      <c r="Q9" s="229" t="s">
        <v>195</v>
      </c>
      <c r="R9" s="230" t="s">
        <v>203</v>
      </c>
    </row>
    <row r="10" spans="1:24" s="223" customFormat="1" ht="18" thickBot="1">
      <c r="A10" s="192" t="s">
        <v>204</v>
      </c>
      <c r="E10" s="194"/>
      <c r="F10" s="224"/>
      <c r="G10" s="225"/>
      <c r="H10" s="231">
        <f>+'[2]Res''l Priceout'!H14</f>
        <v>3.8199999999999998E-2</v>
      </c>
      <c r="M10" s="232"/>
      <c r="N10" s="232"/>
      <c r="O10" s="233">
        <v>105</v>
      </c>
    </row>
    <row r="11" spans="1:24" ht="16.5">
      <c r="A11" s="234" t="s">
        <v>205</v>
      </c>
      <c r="B11" s="235">
        <f>+V11*(1-$D$5)</f>
        <v>65.252220000000008</v>
      </c>
      <c r="C11" s="235">
        <f>+W11*(1-$D$5)</f>
        <v>0</v>
      </c>
      <c r="D11" s="235">
        <f>+C11+B11</f>
        <v>65.252220000000008</v>
      </c>
      <c r="E11" s="236">
        <v>1</v>
      </c>
      <c r="F11" s="237">
        <v>2.82</v>
      </c>
      <c r="G11" s="238">
        <f>+F11*E11*D11*52</f>
        <v>9568.5855408000007</v>
      </c>
      <c r="H11" s="239">
        <f>ROUND(F11*(1+$H$10),2)</f>
        <v>2.93</v>
      </c>
      <c r="I11" s="238">
        <f>+H11*D11*E11*52</f>
        <v>9941.8282392000019</v>
      </c>
      <c r="J11" s="240">
        <f>+H11-F11</f>
        <v>0.11000000000000032</v>
      </c>
      <c r="K11" s="241">
        <f>+I11-G11</f>
        <v>373.24269840000125</v>
      </c>
      <c r="L11" s="242">
        <f>J11/F11</f>
        <v>3.9007092198581679E-2</v>
      </c>
      <c r="M11" s="243">
        <f>20/202*$M$55</f>
        <v>9.9009900990099009</v>
      </c>
      <c r="N11" s="244">
        <f>+D11*E11*M11*52/2000</f>
        <v>16.797601188118815</v>
      </c>
      <c r="O11" s="245">
        <f>+$O$10*N11</f>
        <v>1763.7481247524756</v>
      </c>
      <c r="P11" s="246">
        <f>+O11/I11</f>
        <v>0.17740681918021153</v>
      </c>
      <c r="Q11" s="247">
        <f>+P11*H11</f>
        <v>0.51980198019801982</v>
      </c>
      <c r="R11" s="247">
        <f>+H11-Q11</f>
        <v>2.4101980198019803</v>
      </c>
      <c r="V11" s="234">
        <v>66</v>
      </c>
      <c r="X11" s="234">
        <f>+W11+V11</f>
        <v>66</v>
      </c>
    </row>
    <row r="12" spans="1:24">
      <c r="B12" s="235">
        <f t="shared" ref="B12:C27" si="0">+V12*(1-$D$5)</f>
        <v>0</v>
      </c>
      <c r="C12" s="235">
        <f t="shared" si="0"/>
        <v>0</v>
      </c>
      <c r="D12" s="235"/>
      <c r="I12" s="248"/>
    </row>
    <row r="13" spans="1:24">
      <c r="B13" s="235">
        <f t="shared" si="0"/>
        <v>0</v>
      </c>
      <c r="C13" s="235">
        <f t="shared" si="0"/>
        <v>0</v>
      </c>
      <c r="D13" s="235"/>
      <c r="I13" s="248"/>
    </row>
    <row r="14" spans="1:24">
      <c r="A14" s="234" t="s">
        <v>206</v>
      </c>
      <c r="B14" s="235">
        <f t="shared" si="0"/>
        <v>61.297540000000005</v>
      </c>
      <c r="C14" s="235">
        <f t="shared" si="0"/>
        <v>9.8867000000000012</v>
      </c>
      <c r="D14" s="235">
        <f t="shared" ref="D14:D27" si="1">+C14+B14</f>
        <v>71.184240000000003</v>
      </c>
      <c r="E14" s="236">
        <v>1</v>
      </c>
      <c r="F14" s="237">
        <v>3.13</v>
      </c>
      <c r="G14" s="248">
        <f t="shared" ref="G14:G34" si="2">+F14*E14*D14*52</f>
        <v>11585.946902400001</v>
      </c>
      <c r="H14" s="250">
        <f>ROUND(F14*(1+$H$10),2)</f>
        <v>3.25</v>
      </c>
      <c r="I14" s="248">
        <f>+H14*D14*E14*52</f>
        <v>12030.136560000001</v>
      </c>
      <c r="J14" s="251">
        <f>+H14-F14</f>
        <v>0.12000000000000011</v>
      </c>
      <c r="K14" s="252">
        <f>+I14-G14</f>
        <v>444.18965759999992</v>
      </c>
      <c r="L14" s="253">
        <f>J14/F14</f>
        <v>3.8338658146964889E-2</v>
      </c>
      <c r="M14" s="254">
        <f>32/202*$M$55</f>
        <v>15.841584158415841</v>
      </c>
      <c r="N14" s="208">
        <f>+D14*E14*M14*52/2000</f>
        <v>29.319449346534654</v>
      </c>
      <c r="O14" s="255">
        <f>+$O$10*N14</f>
        <v>3078.5421813861385</v>
      </c>
      <c r="P14" s="210">
        <f>+O14/I14</f>
        <v>0.25590251332825587</v>
      </c>
      <c r="Q14" s="212">
        <f>+P14*H14</f>
        <v>0.83168316831683153</v>
      </c>
      <c r="R14" s="212">
        <f>+H14-Q14</f>
        <v>2.4183168316831685</v>
      </c>
      <c r="V14" s="234">
        <v>62</v>
      </c>
      <c r="W14" s="234">
        <v>10</v>
      </c>
      <c r="X14" s="234">
        <f t="shared" ref="X14:X27" si="3">+W14+V14</f>
        <v>72</v>
      </c>
    </row>
    <row r="15" spans="1:24">
      <c r="A15" s="234" t="s">
        <v>207</v>
      </c>
      <c r="B15" s="235">
        <f t="shared" si="0"/>
        <v>69.206900000000005</v>
      </c>
      <c r="C15" s="235">
        <f t="shared" si="0"/>
        <v>73.161580000000001</v>
      </c>
      <c r="D15" s="235">
        <f t="shared" si="1"/>
        <v>142.36848000000001</v>
      </c>
      <c r="E15" s="236">
        <v>1</v>
      </c>
      <c r="F15" s="237">
        <f>+F14</f>
        <v>3.13</v>
      </c>
      <c r="G15" s="248">
        <f>+F15*E15*D15*52</f>
        <v>23171.893804800002</v>
      </c>
      <c r="H15" s="250">
        <f t="shared" ref="H15:H27" si="4">ROUND(F15*(1+$H$10),2)</f>
        <v>3.25</v>
      </c>
      <c r="I15" s="248">
        <f t="shared" ref="I15:I51" si="5">+H15*D15*E15*52</f>
        <v>24060.273120000002</v>
      </c>
      <c r="J15" s="251">
        <f t="shared" ref="J15:K27" si="6">+H15-F15</f>
        <v>0.12000000000000011</v>
      </c>
      <c r="K15" s="252">
        <f t="shared" si="6"/>
        <v>888.37931519999984</v>
      </c>
      <c r="L15" s="253">
        <f t="shared" ref="L15:L27" si="7">J15/F15</f>
        <v>3.8338658146964889E-2</v>
      </c>
      <c r="M15" s="254">
        <f t="shared" ref="M15:M27" si="8">32/202*$M$55</f>
        <v>15.841584158415841</v>
      </c>
      <c r="N15" s="208">
        <f t="shared" ref="N15:N27" si="9">+D15*E15*M15*52/2000</f>
        <v>58.638898693069308</v>
      </c>
      <c r="O15" s="255">
        <f t="shared" ref="O15:O27" si="10">+$O$10*N15</f>
        <v>6157.084362772277</v>
      </c>
      <c r="P15" s="210">
        <f t="shared" ref="P15:P27" si="11">+O15/I15</f>
        <v>0.25590251332825587</v>
      </c>
      <c r="Q15" s="212">
        <f t="shared" ref="Q15:Q27" si="12">+P15*H15</f>
        <v>0.83168316831683153</v>
      </c>
      <c r="R15" s="212">
        <f t="shared" ref="R15:R27" si="13">+H15-Q15</f>
        <v>2.4183168316831685</v>
      </c>
      <c r="V15" s="234">
        <v>70</v>
      </c>
      <c r="W15" s="234">
        <v>74</v>
      </c>
      <c r="X15" s="234">
        <f t="shared" si="3"/>
        <v>144</v>
      </c>
    </row>
    <row r="16" spans="1:24">
      <c r="A16" s="234" t="s">
        <v>208</v>
      </c>
      <c r="B16" s="235">
        <f t="shared" si="0"/>
        <v>29.6601</v>
      </c>
      <c r="C16" s="235">
        <f t="shared" si="0"/>
        <v>5.9320200000000005</v>
      </c>
      <c r="D16" s="235">
        <f t="shared" si="1"/>
        <v>35.592120000000001</v>
      </c>
      <c r="E16" s="236">
        <v>1</v>
      </c>
      <c r="F16" s="237">
        <f t="shared" ref="F16:F27" si="14">+F15</f>
        <v>3.13</v>
      </c>
      <c r="G16" s="248">
        <f t="shared" si="2"/>
        <v>5792.9734512000005</v>
      </c>
      <c r="H16" s="250">
        <f t="shared" si="4"/>
        <v>3.25</v>
      </c>
      <c r="I16" s="248">
        <f t="shared" si="5"/>
        <v>6015.0682800000004</v>
      </c>
      <c r="J16" s="251">
        <f t="shared" si="6"/>
        <v>0.12000000000000011</v>
      </c>
      <c r="K16" s="252">
        <f t="shared" si="6"/>
        <v>222.09482879999996</v>
      </c>
      <c r="L16" s="253">
        <f t="shared" si="7"/>
        <v>3.8338658146964889E-2</v>
      </c>
      <c r="M16" s="254">
        <f t="shared" si="8"/>
        <v>15.841584158415841</v>
      </c>
      <c r="N16" s="208">
        <f t="shared" si="9"/>
        <v>14.659724673267327</v>
      </c>
      <c r="O16" s="255">
        <f t="shared" si="10"/>
        <v>1539.2710906930693</v>
      </c>
      <c r="P16" s="210">
        <f t="shared" si="11"/>
        <v>0.25590251332825587</v>
      </c>
      <c r="Q16" s="212">
        <f t="shared" si="12"/>
        <v>0.83168316831683153</v>
      </c>
      <c r="R16" s="212">
        <f t="shared" si="13"/>
        <v>2.4183168316831685</v>
      </c>
      <c r="V16" s="234">
        <v>30</v>
      </c>
      <c r="W16" s="234">
        <v>6</v>
      </c>
      <c r="X16" s="234">
        <f t="shared" si="3"/>
        <v>36</v>
      </c>
    </row>
    <row r="17" spans="1:24">
      <c r="A17" s="234" t="s">
        <v>209</v>
      </c>
      <c r="B17" s="235">
        <f t="shared" si="0"/>
        <v>71.184240000000003</v>
      </c>
      <c r="C17" s="235">
        <f t="shared" si="0"/>
        <v>27.682760000000002</v>
      </c>
      <c r="D17" s="235">
        <f t="shared" si="1"/>
        <v>98.867000000000004</v>
      </c>
      <c r="E17" s="236">
        <v>1</v>
      </c>
      <c r="F17" s="237">
        <f t="shared" si="14"/>
        <v>3.13</v>
      </c>
      <c r="G17" s="248">
        <f t="shared" si="2"/>
        <v>16091.592919999999</v>
      </c>
      <c r="H17" s="250">
        <f t="shared" si="4"/>
        <v>3.25</v>
      </c>
      <c r="I17" s="248">
        <f t="shared" si="5"/>
        <v>16708.523000000001</v>
      </c>
      <c r="J17" s="251">
        <f t="shared" si="6"/>
        <v>0.12000000000000011</v>
      </c>
      <c r="K17" s="252">
        <f t="shared" si="6"/>
        <v>616.93008000000191</v>
      </c>
      <c r="L17" s="253">
        <f t="shared" si="7"/>
        <v>3.8338658146964889E-2</v>
      </c>
      <c r="M17" s="254">
        <f t="shared" si="8"/>
        <v>15.841584158415841</v>
      </c>
      <c r="N17" s="208">
        <f t="shared" si="9"/>
        <v>40.721457425742571</v>
      </c>
      <c r="O17" s="255">
        <f t="shared" si="10"/>
        <v>4275.7530297029698</v>
      </c>
      <c r="P17" s="210">
        <f t="shared" si="11"/>
        <v>0.25590251332825587</v>
      </c>
      <c r="Q17" s="212">
        <f t="shared" si="12"/>
        <v>0.83168316831683153</v>
      </c>
      <c r="R17" s="212">
        <f t="shared" si="13"/>
        <v>2.4183168316831685</v>
      </c>
      <c r="V17" s="234">
        <v>72</v>
      </c>
      <c r="W17" s="234">
        <v>28</v>
      </c>
      <c r="X17" s="234">
        <f t="shared" si="3"/>
        <v>100</v>
      </c>
    </row>
    <row r="18" spans="1:24">
      <c r="A18" s="234" t="s">
        <v>210</v>
      </c>
      <c r="B18" s="235">
        <f t="shared" si="0"/>
        <v>0</v>
      </c>
      <c r="C18" s="235">
        <f t="shared" si="0"/>
        <v>4.9433500000000006</v>
      </c>
      <c r="D18" s="235">
        <f t="shared" si="1"/>
        <v>4.9433500000000006</v>
      </c>
      <c r="E18" s="236">
        <v>1</v>
      </c>
      <c r="F18" s="237">
        <f t="shared" si="14"/>
        <v>3.13</v>
      </c>
      <c r="G18" s="248">
        <f t="shared" si="2"/>
        <v>804.57964600000003</v>
      </c>
      <c r="H18" s="250">
        <f t="shared" si="4"/>
        <v>3.25</v>
      </c>
      <c r="I18" s="248">
        <f t="shared" si="5"/>
        <v>835.42615000000012</v>
      </c>
      <c r="J18" s="251">
        <f t="shared" si="6"/>
        <v>0.12000000000000011</v>
      </c>
      <c r="K18" s="252">
        <f t="shared" si="6"/>
        <v>30.846504000000095</v>
      </c>
      <c r="L18" s="253">
        <f t="shared" si="7"/>
        <v>3.8338658146964889E-2</v>
      </c>
      <c r="M18" s="254">
        <f t="shared" si="8"/>
        <v>15.841584158415841</v>
      </c>
      <c r="N18" s="208">
        <f t="shared" si="9"/>
        <v>2.036072871287129</v>
      </c>
      <c r="O18" s="255">
        <f t="shared" si="10"/>
        <v>213.78765148514856</v>
      </c>
      <c r="P18" s="210">
        <f t="shared" si="11"/>
        <v>0.25590251332825592</v>
      </c>
      <c r="Q18" s="212">
        <f t="shared" si="12"/>
        <v>0.83168316831683176</v>
      </c>
      <c r="R18" s="212">
        <f t="shared" si="13"/>
        <v>2.4183168316831685</v>
      </c>
      <c r="W18" s="234">
        <v>5</v>
      </c>
      <c r="X18" s="234">
        <f t="shared" si="3"/>
        <v>5</v>
      </c>
    </row>
    <row r="19" spans="1:24">
      <c r="A19" s="234" t="s">
        <v>211</v>
      </c>
      <c r="B19" s="235">
        <f t="shared" si="0"/>
        <v>11.864040000000001</v>
      </c>
      <c r="C19" s="235">
        <f t="shared" si="0"/>
        <v>0</v>
      </c>
      <c r="D19" s="235">
        <f t="shared" si="1"/>
        <v>11.864040000000001</v>
      </c>
      <c r="E19" s="236">
        <v>1</v>
      </c>
      <c r="F19" s="237">
        <f t="shared" si="14"/>
        <v>3.13</v>
      </c>
      <c r="G19" s="248">
        <f t="shared" si="2"/>
        <v>1930.9911504000002</v>
      </c>
      <c r="H19" s="250">
        <f t="shared" si="4"/>
        <v>3.25</v>
      </c>
      <c r="I19" s="248">
        <f t="shared" si="5"/>
        <v>2005.0227600000003</v>
      </c>
      <c r="J19" s="251">
        <f t="shared" si="6"/>
        <v>0.12000000000000011</v>
      </c>
      <c r="K19" s="252">
        <f t="shared" si="6"/>
        <v>74.031609600000138</v>
      </c>
      <c r="L19" s="253">
        <f t="shared" si="7"/>
        <v>3.8338658146964889E-2</v>
      </c>
      <c r="M19" s="254">
        <f t="shared" si="8"/>
        <v>15.841584158415841</v>
      </c>
      <c r="N19" s="208">
        <f t="shared" si="9"/>
        <v>4.8865748910891096</v>
      </c>
      <c r="O19" s="255">
        <f t="shared" si="10"/>
        <v>513.09036356435649</v>
      </c>
      <c r="P19" s="210">
        <f t="shared" si="11"/>
        <v>0.25590251332825592</v>
      </c>
      <c r="Q19" s="212">
        <f t="shared" si="12"/>
        <v>0.83168316831683176</v>
      </c>
      <c r="R19" s="212">
        <f t="shared" si="13"/>
        <v>2.4183168316831685</v>
      </c>
      <c r="V19" s="234">
        <v>12</v>
      </c>
      <c r="X19" s="234">
        <f t="shared" si="3"/>
        <v>12</v>
      </c>
    </row>
    <row r="20" spans="1:24" ht="13.5" customHeight="1">
      <c r="A20" s="234" t="s">
        <v>212</v>
      </c>
      <c r="B20" s="235">
        <f t="shared" si="0"/>
        <v>6.9206900000000005</v>
      </c>
      <c r="C20" s="235">
        <f t="shared" si="0"/>
        <v>0</v>
      </c>
      <c r="D20" s="235">
        <f t="shared" si="1"/>
        <v>6.9206900000000005</v>
      </c>
      <c r="E20" s="236">
        <v>1</v>
      </c>
      <c r="F20" s="237">
        <f t="shared" si="14"/>
        <v>3.13</v>
      </c>
      <c r="G20" s="248">
        <f t="shared" si="2"/>
        <v>1126.4115044</v>
      </c>
      <c r="H20" s="250">
        <f t="shared" si="4"/>
        <v>3.25</v>
      </c>
      <c r="I20" s="248">
        <f t="shared" si="5"/>
        <v>1169.5966100000001</v>
      </c>
      <c r="J20" s="251">
        <f t="shared" si="6"/>
        <v>0.12000000000000011</v>
      </c>
      <c r="K20" s="252">
        <f t="shared" si="6"/>
        <v>43.185105600000043</v>
      </c>
      <c r="L20" s="253">
        <f t="shared" si="7"/>
        <v>3.8338658146964889E-2</v>
      </c>
      <c r="M20" s="254">
        <f t="shared" si="8"/>
        <v>15.841584158415841</v>
      </c>
      <c r="N20" s="208">
        <f t="shared" si="9"/>
        <v>2.8505020198019801</v>
      </c>
      <c r="O20" s="255">
        <f t="shared" si="10"/>
        <v>299.30271207920794</v>
      </c>
      <c r="P20" s="210">
        <f t="shared" si="11"/>
        <v>0.25590251332825592</v>
      </c>
      <c r="Q20" s="212">
        <f t="shared" si="12"/>
        <v>0.83168316831683176</v>
      </c>
      <c r="R20" s="212">
        <f t="shared" si="13"/>
        <v>2.4183168316831685</v>
      </c>
      <c r="V20" s="234">
        <v>7</v>
      </c>
      <c r="X20" s="234">
        <f t="shared" si="3"/>
        <v>7</v>
      </c>
    </row>
    <row r="21" spans="1:24">
      <c r="A21" s="234" t="s">
        <v>213</v>
      </c>
      <c r="B21" s="235">
        <f t="shared" si="0"/>
        <v>15.818720000000001</v>
      </c>
      <c r="C21" s="235">
        <f t="shared" si="0"/>
        <v>0</v>
      </c>
      <c r="D21" s="235">
        <f t="shared" si="1"/>
        <v>15.818720000000001</v>
      </c>
      <c r="E21" s="236">
        <v>1</v>
      </c>
      <c r="F21" s="237">
        <f t="shared" si="14"/>
        <v>3.13</v>
      </c>
      <c r="G21" s="248">
        <f t="shared" si="2"/>
        <v>2574.6548671999999</v>
      </c>
      <c r="H21" s="250">
        <f t="shared" si="4"/>
        <v>3.25</v>
      </c>
      <c r="I21" s="248">
        <f t="shared" si="5"/>
        <v>2673.3636799999999</v>
      </c>
      <c r="J21" s="251">
        <f t="shared" si="6"/>
        <v>0.12000000000000011</v>
      </c>
      <c r="K21" s="252">
        <f t="shared" si="6"/>
        <v>98.708812800000032</v>
      </c>
      <c r="L21" s="253">
        <f t="shared" si="7"/>
        <v>3.8338658146964889E-2</v>
      </c>
      <c r="M21" s="254">
        <f t="shared" si="8"/>
        <v>15.841584158415841</v>
      </c>
      <c r="N21" s="208">
        <f t="shared" si="9"/>
        <v>6.5154331881188128</v>
      </c>
      <c r="O21" s="255">
        <f t="shared" si="10"/>
        <v>684.12048475247536</v>
      </c>
      <c r="P21" s="210">
        <f t="shared" si="11"/>
        <v>0.25590251332825598</v>
      </c>
      <c r="Q21" s="212">
        <f t="shared" si="12"/>
        <v>0.83168316831683198</v>
      </c>
      <c r="R21" s="212">
        <f t="shared" si="13"/>
        <v>2.418316831683168</v>
      </c>
      <c r="V21" s="234">
        <v>16</v>
      </c>
      <c r="X21" s="234">
        <f t="shared" si="3"/>
        <v>16</v>
      </c>
    </row>
    <row r="22" spans="1:24">
      <c r="A22" s="234" t="s">
        <v>214</v>
      </c>
      <c r="B22" s="235">
        <f t="shared" si="0"/>
        <v>24.716750000000001</v>
      </c>
      <c r="C22" s="235">
        <f t="shared" si="0"/>
        <v>0</v>
      </c>
      <c r="D22" s="235">
        <f t="shared" si="1"/>
        <v>24.716750000000001</v>
      </c>
      <c r="E22" s="236">
        <v>1</v>
      </c>
      <c r="F22" s="237">
        <f t="shared" si="14"/>
        <v>3.13</v>
      </c>
      <c r="G22" s="248">
        <f t="shared" si="2"/>
        <v>4022.8982299999998</v>
      </c>
      <c r="H22" s="250">
        <f t="shared" si="4"/>
        <v>3.25</v>
      </c>
      <c r="I22" s="248">
        <f t="shared" si="5"/>
        <v>4177.1307500000003</v>
      </c>
      <c r="J22" s="251">
        <f t="shared" si="6"/>
        <v>0.12000000000000011</v>
      </c>
      <c r="K22" s="252">
        <f t="shared" si="6"/>
        <v>154.23252000000048</v>
      </c>
      <c r="L22" s="253">
        <f t="shared" si="7"/>
        <v>3.8338658146964889E-2</v>
      </c>
      <c r="M22" s="254">
        <f t="shared" si="8"/>
        <v>15.841584158415841</v>
      </c>
      <c r="N22" s="208">
        <f t="shared" si="9"/>
        <v>10.180364356435643</v>
      </c>
      <c r="O22" s="255">
        <f t="shared" si="10"/>
        <v>1068.9382574257424</v>
      </c>
      <c r="P22" s="210">
        <f t="shared" si="11"/>
        <v>0.25590251332825587</v>
      </c>
      <c r="Q22" s="212">
        <f t="shared" si="12"/>
        <v>0.83168316831683153</v>
      </c>
      <c r="R22" s="212">
        <f t="shared" si="13"/>
        <v>2.4183168316831685</v>
      </c>
      <c r="V22" s="234">
        <v>25</v>
      </c>
      <c r="X22" s="234">
        <f t="shared" si="3"/>
        <v>25</v>
      </c>
    </row>
    <row r="23" spans="1:24">
      <c r="A23" s="234" t="s">
        <v>215</v>
      </c>
      <c r="B23" s="235">
        <f t="shared" si="0"/>
        <v>0</v>
      </c>
      <c r="C23" s="235">
        <f t="shared" si="0"/>
        <v>30.648770000000003</v>
      </c>
      <c r="D23" s="235">
        <f t="shared" si="1"/>
        <v>30.648770000000003</v>
      </c>
      <c r="E23" s="236">
        <v>1</v>
      </c>
      <c r="F23" s="237">
        <f t="shared" si="14"/>
        <v>3.13</v>
      </c>
      <c r="G23" s="248">
        <f t="shared" si="2"/>
        <v>4988.3938052000003</v>
      </c>
      <c r="H23" s="250">
        <f t="shared" si="4"/>
        <v>3.25</v>
      </c>
      <c r="I23" s="248">
        <f t="shared" si="5"/>
        <v>5179.6421300000011</v>
      </c>
      <c r="J23" s="251">
        <f t="shared" si="6"/>
        <v>0.12000000000000011</v>
      </c>
      <c r="K23" s="252">
        <f t="shared" si="6"/>
        <v>191.24832480000077</v>
      </c>
      <c r="L23" s="253">
        <f t="shared" si="7"/>
        <v>3.8338658146964889E-2</v>
      </c>
      <c r="M23" s="254">
        <f t="shared" si="8"/>
        <v>15.841584158415841</v>
      </c>
      <c r="N23" s="208">
        <f t="shared" si="9"/>
        <v>12.623651801980198</v>
      </c>
      <c r="O23" s="255">
        <f t="shared" si="10"/>
        <v>1325.4834392079208</v>
      </c>
      <c r="P23" s="210">
        <f t="shared" si="11"/>
        <v>0.25590251332825587</v>
      </c>
      <c r="Q23" s="212">
        <f t="shared" si="12"/>
        <v>0.83168316831683153</v>
      </c>
      <c r="R23" s="212">
        <f t="shared" si="13"/>
        <v>2.4183168316831685</v>
      </c>
      <c r="W23" s="234">
        <v>31</v>
      </c>
      <c r="X23" s="234">
        <f t="shared" si="3"/>
        <v>31</v>
      </c>
    </row>
    <row r="24" spans="1:24">
      <c r="A24" s="234" t="s">
        <v>216</v>
      </c>
      <c r="B24" s="235">
        <f t="shared" si="0"/>
        <v>35.592120000000001</v>
      </c>
      <c r="C24" s="235">
        <f t="shared" si="0"/>
        <v>0</v>
      </c>
      <c r="D24" s="235">
        <f t="shared" si="1"/>
        <v>35.592120000000001</v>
      </c>
      <c r="E24" s="236">
        <v>1</v>
      </c>
      <c r="F24" s="237">
        <f t="shared" si="14"/>
        <v>3.13</v>
      </c>
      <c r="G24" s="248">
        <f t="shared" si="2"/>
        <v>5792.9734512000005</v>
      </c>
      <c r="H24" s="250">
        <f t="shared" si="4"/>
        <v>3.25</v>
      </c>
      <c r="I24" s="248">
        <f t="shared" si="5"/>
        <v>6015.0682800000004</v>
      </c>
      <c r="J24" s="251">
        <f t="shared" si="6"/>
        <v>0.12000000000000011</v>
      </c>
      <c r="K24" s="252">
        <f t="shared" si="6"/>
        <v>222.09482879999996</v>
      </c>
      <c r="L24" s="253">
        <f t="shared" si="7"/>
        <v>3.8338658146964889E-2</v>
      </c>
      <c r="M24" s="254">
        <f t="shared" si="8"/>
        <v>15.841584158415841</v>
      </c>
      <c r="N24" s="208">
        <f t="shared" si="9"/>
        <v>14.659724673267327</v>
      </c>
      <c r="O24" s="255">
        <f t="shared" si="10"/>
        <v>1539.2710906930693</v>
      </c>
      <c r="P24" s="210">
        <f t="shared" si="11"/>
        <v>0.25590251332825587</v>
      </c>
      <c r="Q24" s="212">
        <f t="shared" si="12"/>
        <v>0.83168316831683153</v>
      </c>
      <c r="R24" s="212">
        <f t="shared" si="13"/>
        <v>2.4183168316831685</v>
      </c>
      <c r="V24" s="234">
        <v>36</v>
      </c>
      <c r="X24" s="234">
        <f t="shared" si="3"/>
        <v>36</v>
      </c>
    </row>
    <row r="25" spans="1:24">
      <c r="A25" s="234" t="s">
        <v>217</v>
      </c>
      <c r="B25" s="235">
        <f t="shared" si="0"/>
        <v>266.9409</v>
      </c>
      <c r="C25" s="235">
        <f t="shared" si="0"/>
        <v>0</v>
      </c>
      <c r="D25" s="235">
        <f t="shared" si="1"/>
        <v>266.9409</v>
      </c>
      <c r="E25" s="236">
        <v>1</v>
      </c>
      <c r="F25" s="237">
        <f t="shared" si="14"/>
        <v>3.13</v>
      </c>
      <c r="G25" s="248">
        <f t="shared" si="2"/>
        <v>43447.300883999997</v>
      </c>
      <c r="H25" s="250">
        <f t="shared" si="4"/>
        <v>3.25</v>
      </c>
      <c r="I25" s="248">
        <f t="shared" si="5"/>
        <v>45113.0121</v>
      </c>
      <c r="J25" s="251">
        <f t="shared" si="6"/>
        <v>0.12000000000000011</v>
      </c>
      <c r="K25" s="252">
        <f t="shared" si="6"/>
        <v>1665.7112160000033</v>
      </c>
      <c r="L25" s="253">
        <f t="shared" si="7"/>
        <v>3.8338658146964889E-2</v>
      </c>
      <c r="M25" s="254">
        <f t="shared" si="8"/>
        <v>15.841584158415841</v>
      </c>
      <c r="N25" s="208">
        <f t="shared" si="9"/>
        <v>109.94793504950495</v>
      </c>
      <c r="O25" s="255">
        <f t="shared" si="10"/>
        <v>11544.533180198019</v>
      </c>
      <c r="P25" s="210">
        <f t="shared" si="11"/>
        <v>0.25590251332825587</v>
      </c>
      <c r="Q25" s="212">
        <f t="shared" si="12"/>
        <v>0.83168316831683153</v>
      </c>
      <c r="R25" s="212">
        <f t="shared" si="13"/>
        <v>2.4183168316831685</v>
      </c>
      <c r="V25" s="234">
        <v>270</v>
      </c>
      <c r="X25" s="234">
        <f t="shared" si="3"/>
        <v>270</v>
      </c>
    </row>
    <row r="26" spans="1:24">
      <c r="A26" s="234" t="s">
        <v>218</v>
      </c>
      <c r="B26" s="235">
        <f t="shared" si="0"/>
        <v>50.422170000000001</v>
      </c>
      <c r="C26" s="235">
        <f t="shared" si="0"/>
        <v>0</v>
      </c>
      <c r="D26" s="235">
        <f t="shared" si="1"/>
        <v>50.422170000000001</v>
      </c>
      <c r="E26" s="236">
        <v>1</v>
      </c>
      <c r="F26" s="237">
        <f t="shared" si="14"/>
        <v>3.13</v>
      </c>
      <c r="G26" s="248">
        <f t="shared" si="2"/>
        <v>8206.7123892</v>
      </c>
      <c r="H26" s="250">
        <f t="shared" si="4"/>
        <v>3.25</v>
      </c>
      <c r="I26" s="248">
        <f t="shared" si="5"/>
        <v>8521.3467299999993</v>
      </c>
      <c r="J26" s="251">
        <f t="shared" si="6"/>
        <v>0.12000000000000011</v>
      </c>
      <c r="K26" s="252">
        <f t="shared" si="6"/>
        <v>314.63434079999934</v>
      </c>
      <c r="L26" s="253">
        <f t="shared" si="7"/>
        <v>3.8338658146964889E-2</v>
      </c>
      <c r="M26" s="254">
        <f t="shared" si="8"/>
        <v>15.841584158415841</v>
      </c>
      <c r="N26" s="208">
        <f t="shared" si="9"/>
        <v>20.767943287128713</v>
      </c>
      <c r="O26" s="255">
        <f t="shared" si="10"/>
        <v>2180.6340451485148</v>
      </c>
      <c r="P26" s="210">
        <f t="shared" si="11"/>
        <v>0.25590251332825592</v>
      </c>
      <c r="Q26" s="212">
        <f t="shared" si="12"/>
        <v>0.83168316831683176</v>
      </c>
      <c r="R26" s="212">
        <f t="shared" si="13"/>
        <v>2.4183168316831685</v>
      </c>
      <c r="V26" s="234">
        <v>51</v>
      </c>
      <c r="X26" s="234">
        <f t="shared" si="3"/>
        <v>51</v>
      </c>
    </row>
    <row r="27" spans="1:24" ht="16.5">
      <c r="A27" s="234" t="s">
        <v>219</v>
      </c>
      <c r="B27" s="256">
        <f t="shared" si="0"/>
        <v>395.46800000000002</v>
      </c>
      <c r="C27" s="256">
        <f t="shared" si="0"/>
        <v>0</v>
      </c>
      <c r="D27" s="256">
        <f t="shared" si="1"/>
        <v>395.46800000000002</v>
      </c>
      <c r="E27" s="236">
        <v>1</v>
      </c>
      <c r="F27" s="237">
        <f t="shared" si="14"/>
        <v>3.13</v>
      </c>
      <c r="G27" s="257">
        <f t="shared" si="2"/>
        <v>64366.371679999997</v>
      </c>
      <c r="H27" s="250">
        <f t="shared" si="4"/>
        <v>3.25</v>
      </c>
      <c r="I27" s="257">
        <f t="shared" si="5"/>
        <v>66834.092000000004</v>
      </c>
      <c r="J27" s="251">
        <f t="shared" si="6"/>
        <v>0.12000000000000011</v>
      </c>
      <c r="K27" s="258">
        <f t="shared" si="6"/>
        <v>2467.7203200000076</v>
      </c>
      <c r="L27" s="253">
        <f t="shared" si="7"/>
        <v>3.8338658146964889E-2</v>
      </c>
      <c r="M27" s="254">
        <f t="shared" si="8"/>
        <v>15.841584158415841</v>
      </c>
      <c r="N27" s="259">
        <f t="shared" si="9"/>
        <v>162.88582970297028</v>
      </c>
      <c r="O27" s="260">
        <f t="shared" si="10"/>
        <v>17103.012118811879</v>
      </c>
      <c r="P27" s="210">
        <f t="shared" si="11"/>
        <v>0.25590251332825587</v>
      </c>
      <c r="Q27" s="212">
        <f t="shared" si="12"/>
        <v>0.83168316831683153</v>
      </c>
      <c r="R27" s="212">
        <f t="shared" si="13"/>
        <v>2.4183168316831685</v>
      </c>
      <c r="V27" s="261">
        <v>400</v>
      </c>
      <c r="W27" s="261"/>
      <c r="X27" s="261">
        <f t="shared" si="3"/>
        <v>400</v>
      </c>
    </row>
    <row r="28" spans="1:24" ht="16.5">
      <c r="B28" s="262">
        <f>SUM(B14:B27)</f>
        <v>1039.0921700000001</v>
      </c>
      <c r="C28" s="262">
        <f>SUM(C14:C27)</f>
        <v>152.25518</v>
      </c>
      <c r="D28" s="262">
        <f>SUM(D14:D27)</f>
        <v>1191.34735</v>
      </c>
      <c r="E28" s="263"/>
      <c r="G28" s="238">
        <f>SUM(G14:G27)</f>
        <v>193903.694686</v>
      </c>
      <c r="H28" s="238"/>
      <c r="I28" s="238">
        <f>SUM(I14:I27)</f>
        <v>201337.70215000003</v>
      </c>
      <c r="J28" s="238"/>
      <c r="K28" s="238">
        <f>SUM(K14:K27)</f>
        <v>7434.007464000013</v>
      </c>
      <c r="L28" s="238"/>
      <c r="M28" s="238"/>
      <c r="N28" s="244">
        <f>SUM(N14:N27)</f>
        <v>490.69356198019801</v>
      </c>
      <c r="O28" s="238">
        <f>SUM(O14:O27)</f>
        <v>51522.82400792079</v>
      </c>
      <c r="V28" s="264">
        <f>SUM(V14:V27)</f>
        <v>1051</v>
      </c>
      <c r="W28" s="264">
        <f>SUM(W14:W27)</f>
        <v>154</v>
      </c>
      <c r="X28" s="264">
        <f>SUM(X14:X27)</f>
        <v>1205</v>
      </c>
    </row>
    <row r="29" spans="1:24">
      <c r="B29" s="235"/>
      <c r="C29" s="235"/>
      <c r="D29" s="235"/>
      <c r="I29" s="248"/>
    </row>
    <row r="30" spans="1:24">
      <c r="B30" s="235"/>
      <c r="C30" s="235"/>
      <c r="D30" s="235"/>
      <c r="I30" s="248"/>
    </row>
    <row r="31" spans="1:24">
      <c r="A31" s="234" t="s">
        <v>220</v>
      </c>
      <c r="B31" s="235">
        <f t="shared" ref="B31:C34" si="15">+V31*(1-$D$5)</f>
        <v>223.43942000000001</v>
      </c>
      <c r="C31" s="235">
        <f t="shared" si="15"/>
        <v>9.8867000000000012</v>
      </c>
      <c r="D31" s="235">
        <f t="shared" ref="D31:D92" si="16">+C31+B31</f>
        <v>233.32612</v>
      </c>
      <c r="E31" s="236">
        <v>1</v>
      </c>
      <c r="F31" s="237">
        <v>3.43</v>
      </c>
      <c r="G31" s="248">
        <f t="shared" si="2"/>
        <v>41616.0467632</v>
      </c>
      <c r="H31" s="250">
        <f>ROUND(F31*(1+$H$10),2)</f>
        <v>3.56</v>
      </c>
      <c r="I31" s="248">
        <f t="shared" si="5"/>
        <v>43193.331334400005</v>
      </c>
      <c r="J31" s="251">
        <f t="shared" ref="J31:K34" si="17">+H31-F31</f>
        <v>0.12999999999999989</v>
      </c>
      <c r="K31" s="252">
        <f t="shared" si="17"/>
        <v>1577.2845712000053</v>
      </c>
      <c r="L31" s="253">
        <f>J31/F31</f>
        <v>3.7900874635568481E-2</v>
      </c>
      <c r="M31" s="254">
        <f>35/202*$M$55</f>
        <v>17.326732673267326</v>
      </c>
      <c r="N31" s="208">
        <f>+D31*E31*M31*52/2000</f>
        <v>105.11226198019801</v>
      </c>
      <c r="O31" s="255">
        <f>+$O$10*N31</f>
        <v>11036.787507920792</v>
      </c>
      <c r="P31" s="210">
        <f>+O31/I31</f>
        <v>0.25552063633329619</v>
      </c>
      <c r="Q31" s="212">
        <f>+P31*H31</f>
        <v>0.90965346534653446</v>
      </c>
      <c r="R31" s="212">
        <f>+H31-Q31</f>
        <v>2.6503465346534654</v>
      </c>
      <c r="V31" s="234">
        <v>226</v>
      </c>
      <c r="W31" s="234">
        <v>10</v>
      </c>
      <c r="X31" s="234">
        <f>+W31+V31</f>
        <v>236</v>
      </c>
    </row>
    <row r="32" spans="1:24">
      <c r="A32" s="234" t="s">
        <v>221</v>
      </c>
      <c r="B32" s="235">
        <f t="shared" si="15"/>
        <v>3.9546800000000002</v>
      </c>
      <c r="C32" s="235">
        <f t="shared" si="15"/>
        <v>3.9546800000000002</v>
      </c>
      <c r="D32" s="235">
        <f t="shared" si="16"/>
        <v>7.9093600000000004</v>
      </c>
      <c r="E32" s="236">
        <v>1</v>
      </c>
      <c r="F32" s="237">
        <f>+F31</f>
        <v>3.43</v>
      </c>
      <c r="G32" s="248">
        <f t="shared" si="2"/>
        <v>1410.7134496000001</v>
      </c>
      <c r="H32" s="250">
        <f>ROUND(F32*(1+$H$10),2)</f>
        <v>3.56</v>
      </c>
      <c r="I32" s="248">
        <f t="shared" si="5"/>
        <v>1464.1807232000001</v>
      </c>
      <c r="J32" s="251">
        <f t="shared" si="17"/>
        <v>0.12999999999999989</v>
      </c>
      <c r="K32" s="252">
        <f t="shared" si="17"/>
        <v>53.467273599999999</v>
      </c>
      <c r="L32" s="253">
        <f>J32/F32</f>
        <v>3.7900874635568481E-2</v>
      </c>
      <c r="M32" s="254">
        <f>35/202*$M$55</f>
        <v>17.326732673267326</v>
      </c>
      <c r="N32" s="208">
        <f t="shared" ref="N32:N51" si="18">+D32*E32*M32*52/2000</f>
        <v>3.563127524752475</v>
      </c>
      <c r="O32" s="255">
        <f>+$O$10*N32</f>
        <v>374.12839009900989</v>
      </c>
      <c r="P32" s="210">
        <f>+O32/I32</f>
        <v>0.25552063633329625</v>
      </c>
      <c r="Q32" s="212">
        <f>+P32*H32</f>
        <v>0.90965346534653468</v>
      </c>
      <c r="R32" s="212">
        <f>+H32-Q32</f>
        <v>2.6503465346534654</v>
      </c>
      <c r="V32" s="234">
        <v>4</v>
      </c>
      <c r="W32" s="234">
        <v>4</v>
      </c>
      <c r="X32" s="234">
        <f>+W32+V32</f>
        <v>8</v>
      </c>
    </row>
    <row r="33" spans="1:24">
      <c r="A33" s="234" t="s">
        <v>222</v>
      </c>
      <c r="B33" s="235">
        <f t="shared" si="15"/>
        <v>2.9660100000000003</v>
      </c>
      <c r="C33" s="235">
        <f t="shared" si="15"/>
        <v>0</v>
      </c>
      <c r="D33" s="235">
        <f t="shared" si="16"/>
        <v>2.9660100000000003</v>
      </c>
      <c r="E33" s="236">
        <v>1</v>
      </c>
      <c r="F33" s="237">
        <f>+F32</f>
        <v>3.43</v>
      </c>
      <c r="G33" s="248">
        <f t="shared" si="2"/>
        <v>529.01754360000007</v>
      </c>
      <c r="H33" s="250">
        <f>ROUND(F33*(1+$H$10),2)</f>
        <v>3.56</v>
      </c>
      <c r="I33" s="248">
        <f t="shared" si="5"/>
        <v>549.06777120000004</v>
      </c>
      <c r="J33" s="251">
        <f t="shared" si="17"/>
        <v>0.12999999999999989</v>
      </c>
      <c r="K33" s="252">
        <f t="shared" si="17"/>
        <v>20.050227599999971</v>
      </c>
      <c r="L33" s="253">
        <f>J33/F33</f>
        <v>3.7900874635568481E-2</v>
      </c>
      <c r="M33" s="254">
        <f>35/202*$M$55</f>
        <v>17.326732673267326</v>
      </c>
      <c r="N33" s="208">
        <f t="shared" si="18"/>
        <v>1.3361728217821782</v>
      </c>
      <c r="O33" s="255">
        <f>+$O$10*N33</f>
        <v>140.2981462871287</v>
      </c>
      <c r="P33" s="210">
        <f>+O33/I33</f>
        <v>0.25552063633329619</v>
      </c>
      <c r="Q33" s="212">
        <f>+P33*H33</f>
        <v>0.90965346534653446</v>
      </c>
      <c r="R33" s="212">
        <f>+H33-Q33</f>
        <v>2.6503465346534654</v>
      </c>
      <c r="V33" s="234">
        <v>3</v>
      </c>
      <c r="X33" s="234">
        <f>+W33+V33</f>
        <v>3</v>
      </c>
    </row>
    <row r="34" spans="1:24" ht="16.5">
      <c r="A34" s="234" t="s">
        <v>223</v>
      </c>
      <c r="B34" s="256">
        <f t="shared" si="15"/>
        <v>3.9546800000000002</v>
      </c>
      <c r="C34" s="256">
        <f t="shared" si="15"/>
        <v>0</v>
      </c>
      <c r="D34" s="256">
        <f t="shared" si="16"/>
        <v>3.9546800000000002</v>
      </c>
      <c r="E34" s="236">
        <v>1</v>
      </c>
      <c r="F34" s="237">
        <f>+F33</f>
        <v>3.43</v>
      </c>
      <c r="G34" s="257">
        <f t="shared" si="2"/>
        <v>705.35672480000005</v>
      </c>
      <c r="H34" s="250">
        <f>ROUND(F34*(1+$H$10),2)</f>
        <v>3.56</v>
      </c>
      <c r="I34" s="257">
        <f t="shared" si="5"/>
        <v>732.09036160000005</v>
      </c>
      <c r="J34" s="251">
        <f t="shared" si="17"/>
        <v>0.12999999999999989</v>
      </c>
      <c r="K34" s="258">
        <f t="shared" si="17"/>
        <v>26.733636799999999</v>
      </c>
      <c r="L34" s="253">
        <f>J34/F34</f>
        <v>3.7900874635568481E-2</v>
      </c>
      <c r="M34" s="254">
        <f>35/202*$M$55</f>
        <v>17.326732673267326</v>
      </c>
      <c r="N34" s="259">
        <f t="shared" si="18"/>
        <v>1.7815637623762375</v>
      </c>
      <c r="O34" s="260">
        <f>+$O$10*N34</f>
        <v>187.06419504950495</v>
      </c>
      <c r="P34" s="210">
        <f>+O34/I34</f>
        <v>0.25552063633329625</v>
      </c>
      <c r="Q34" s="212">
        <f>+P34*H34</f>
        <v>0.90965346534653468</v>
      </c>
      <c r="R34" s="212">
        <f>+H34-Q34</f>
        <v>2.6503465346534654</v>
      </c>
      <c r="V34" s="261">
        <v>4</v>
      </c>
      <c r="W34" s="261"/>
      <c r="X34" s="261">
        <f>+W34+V34</f>
        <v>4</v>
      </c>
    </row>
    <row r="35" spans="1:24" ht="16.5">
      <c r="B35" s="262">
        <f>SUM(B31:B34)</f>
        <v>234.31479000000002</v>
      </c>
      <c r="C35" s="262">
        <f>SUM(C31:C34)</f>
        <v>13.841380000000001</v>
      </c>
      <c r="D35" s="262">
        <f>SUM(D31:D34)</f>
        <v>248.15617</v>
      </c>
      <c r="E35" s="263"/>
      <c r="G35" s="238">
        <f>SUM(G31:G34)</f>
        <v>44261.134481200002</v>
      </c>
      <c r="H35" s="238"/>
      <c r="I35" s="238">
        <f>SUM(I31:I34)</f>
        <v>45938.670190400007</v>
      </c>
      <c r="J35" s="238"/>
      <c r="K35" s="238">
        <f>SUM(K31:K34)</f>
        <v>1677.5357092000054</v>
      </c>
      <c r="L35" s="238"/>
      <c r="M35" s="238"/>
      <c r="N35" s="244">
        <f>SUM(N31:N34)</f>
        <v>111.79312608910891</v>
      </c>
      <c r="O35" s="238">
        <f>SUM(O31:O34)</f>
        <v>11738.278239356434</v>
      </c>
      <c r="V35" s="264">
        <f>SUM(V31:V34)</f>
        <v>237</v>
      </c>
      <c r="W35" s="264">
        <f>SUM(W31:W34)</f>
        <v>14</v>
      </c>
      <c r="X35" s="264">
        <f>SUM(X31:X34)</f>
        <v>251</v>
      </c>
    </row>
    <row r="36" spans="1:24" ht="16.5">
      <c r="B36" s="262"/>
      <c r="C36" s="262"/>
      <c r="D36" s="262"/>
      <c r="E36" s="263"/>
      <c r="I36" s="248"/>
      <c r="N36" s="208"/>
      <c r="V36" s="264"/>
      <c r="W36" s="264"/>
      <c r="X36" s="264"/>
    </row>
    <row r="37" spans="1:24" s="223" customFormat="1">
      <c r="B37" s="265"/>
      <c r="C37" s="265"/>
      <c r="D37" s="235"/>
      <c r="E37" s="266"/>
      <c r="F37" s="224"/>
      <c r="G37" s="267"/>
      <c r="I37" s="248"/>
      <c r="M37" s="232"/>
      <c r="N37" s="208"/>
      <c r="X37" s="234"/>
    </row>
    <row r="38" spans="1:24">
      <c r="A38" s="234" t="s">
        <v>224</v>
      </c>
      <c r="B38" s="235">
        <f t="shared" ref="B38:C43" si="19">+V38*(1-$D$5)</f>
        <v>102.82168</v>
      </c>
      <c r="C38" s="235">
        <f t="shared" si="19"/>
        <v>165.10789</v>
      </c>
      <c r="D38" s="235">
        <f t="shared" si="16"/>
        <v>267.92957000000001</v>
      </c>
      <c r="E38" s="236">
        <v>1</v>
      </c>
      <c r="F38" s="237">
        <v>5.55</v>
      </c>
      <c r="G38" s="248">
        <f t="shared" ref="G38:G43" si="20">+F38*E38*D38*52</f>
        <v>77324.473901999998</v>
      </c>
      <c r="H38" s="250">
        <f t="shared" ref="H38:H43" si="21">ROUND(F38*(1+$H$10),2)</f>
        <v>5.76</v>
      </c>
      <c r="I38" s="248">
        <f t="shared" si="5"/>
        <v>80250.264806399995</v>
      </c>
      <c r="J38" s="251">
        <f t="shared" ref="J38:K43" si="22">+H38-F38</f>
        <v>0.20999999999999996</v>
      </c>
      <c r="K38" s="252">
        <f t="shared" si="22"/>
        <v>2925.7909043999971</v>
      </c>
      <c r="L38" s="253">
        <f t="shared" ref="L38:L43" si="23">J38/F38</f>
        <v>3.7837837837837833E-2</v>
      </c>
      <c r="M38" s="254">
        <f t="shared" ref="M38:M43" si="24">64/202*$M$55</f>
        <v>31.683168316831683</v>
      </c>
      <c r="N38" s="208">
        <f t="shared" si="18"/>
        <v>220.71029924752472</v>
      </c>
      <c r="O38" s="255">
        <f t="shared" ref="O38:O43" si="25">+$O$10*N38</f>
        <v>23174.581420990096</v>
      </c>
      <c r="P38" s="210">
        <f t="shared" ref="P38:P43" si="26">+O38/I38</f>
        <v>0.28877887788778878</v>
      </c>
      <c r="Q38" s="212">
        <f t="shared" ref="Q38:Q43" si="27">+P38*H38</f>
        <v>1.6633663366336633</v>
      </c>
      <c r="R38" s="212">
        <f t="shared" ref="R38:R43" si="28">+H38-Q38</f>
        <v>4.0966336633663367</v>
      </c>
      <c r="V38" s="234">
        <v>104</v>
      </c>
      <c r="W38" s="234">
        <v>167</v>
      </c>
      <c r="X38" s="234">
        <f t="shared" ref="X38:X43" si="29">+W38+V38</f>
        <v>271</v>
      </c>
    </row>
    <row r="39" spans="1:24">
      <c r="A39" s="234" t="s">
        <v>225</v>
      </c>
      <c r="B39" s="235">
        <f t="shared" si="19"/>
        <v>73.161580000000001</v>
      </c>
      <c r="C39" s="235">
        <f t="shared" si="19"/>
        <v>17.796060000000001</v>
      </c>
      <c r="D39" s="235">
        <f t="shared" si="16"/>
        <v>90.957639999999998</v>
      </c>
      <c r="E39" s="236">
        <v>1</v>
      </c>
      <c r="F39" s="237">
        <f>+F38</f>
        <v>5.55</v>
      </c>
      <c r="G39" s="248">
        <f t="shared" si="20"/>
        <v>26250.374903999997</v>
      </c>
      <c r="H39" s="250">
        <f t="shared" si="21"/>
        <v>5.76</v>
      </c>
      <c r="I39" s="248">
        <f t="shared" si="5"/>
        <v>27243.6323328</v>
      </c>
      <c r="J39" s="251">
        <f t="shared" si="22"/>
        <v>0.20999999999999996</v>
      </c>
      <c r="K39" s="252">
        <f t="shared" si="22"/>
        <v>993.25742880000325</v>
      </c>
      <c r="L39" s="253">
        <f t="shared" si="23"/>
        <v>3.7837837837837833E-2</v>
      </c>
      <c r="M39" s="254">
        <f t="shared" si="24"/>
        <v>31.683168316831683</v>
      </c>
      <c r="N39" s="208">
        <f t="shared" si="18"/>
        <v>74.927481663366322</v>
      </c>
      <c r="O39" s="255">
        <f t="shared" si="25"/>
        <v>7867.3855746534637</v>
      </c>
      <c r="P39" s="210">
        <f t="shared" si="26"/>
        <v>0.28877887788778872</v>
      </c>
      <c r="Q39" s="212">
        <f t="shared" si="27"/>
        <v>1.6633663366336631</v>
      </c>
      <c r="R39" s="212">
        <f t="shared" si="28"/>
        <v>4.0966336633663367</v>
      </c>
      <c r="V39" s="234">
        <v>74</v>
      </c>
      <c r="W39" s="234">
        <v>18</v>
      </c>
      <c r="X39" s="234">
        <f t="shared" si="29"/>
        <v>92</v>
      </c>
    </row>
    <row r="40" spans="1:24">
      <c r="A40" s="234" t="s">
        <v>226</v>
      </c>
      <c r="B40" s="235">
        <f t="shared" si="19"/>
        <v>17.796060000000001</v>
      </c>
      <c r="C40" s="235">
        <f t="shared" si="19"/>
        <v>2.9660100000000003</v>
      </c>
      <c r="D40" s="235">
        <f t="shared" si="16"/>
        <v>20.762070000000001</v>
      </c>
      <c r="E40" s="236">
        <v>1</v>
      </c>
      <c r="F40" s="237">
        <f>+F39</f>
        <v>5.55</v>
      </c>
      <c r="G40" s="248">
        <f t="shared" si="20"/>
        <v>5991.9334020000006</v>
      </c>
      <c r="H40" s="250">
        <f t="shared" si="21"/>
        <v>5.76</v>
      </c>
      <c r="I40" s="248">
        <f t="shared" si="5"/>
        <v>6218.6552063999998</v>
      </c>
      <c r="J40" s="251">
        <f t="shared" si="22"/>
        <v>0.20999999999999996</v>
      </c>
      <c r="K40" s="252">
        <f t="shared" si="22"/>
        <v>226.7218043999992</v>
      </c>
      <c r="L40" s="253">
        <f t="shared" si="23"/>
        <v>3.7837837837837833E-2</v>
      </c>
      <c r="M40" s="254">
        <f t="shared" si="24"/>
        <v>31.683168316831683</v>
      </c>
      <c r="N40" s="208">
        <f t="shared" si="18"/>
        <v>17.103012118811883</v>
      </c>
      <c r="O40" s="255">
        <f t="shared" si="25"/>
        <v>1795.8162724752476</v>
      </c>
      <c r="P40" s="210">
        <f t="shared" si="26"/>
        <v>0.28877887788778883</v>
      </c>
      <c r="Q40" s="212">
        <f t="shared" si="27"/>
        <v>1.6633663366336635</v>
      </c>
      <c r="R40" s="212">
        <f t="shared" si="28"/>
        <v>4.0966336633663367</v>
      </c>
      <c r="V40" s="234">
        <v>18</v>
      </c>
      <c r="W40" s="234">
        <v>3</v>
      </c>
      <c r="X40" s="234">
        <f t="shared" si="29"/>
        <v>21</v>
      </c>
    </row>
    <row r="41" spans="1:24">
      <c r="A41" s="234" t="s">
        <v>227</v>
      </c>
      <c r="B41" s="235">
        <f t="shared" si="19"/>
        <v>20.762070000000001</v>
      </c>
      <c r="C41" s="235">
        <f t="shared" si="19"/>
        <v>0</v>
      </c>
      <c r="D41" s="235">
        <f t="shared" si="16"/>
        <v>20.762070000000001</v>
      </c>
      <c r="E41" s="236">
        <v>1</v>
      </c>
      <c r="F41" s="237">
        <f>+F40</f>
        <v>5.55</v>
      </c>
      <c r="G41" s="248">
        <f t="shared" si="20"/>
        <v>5991.9334020000006</v>
      </c>
      <c r="H41" s="250">
        <f t="shared" si="21"/>
        <v>5.76</v>
      </c>
      <c r="I41" s="248">
        <f t="shared" si="5"/>
        <v>6218.6552063999998</v>
      </c>
      <c r="J41" s="251">
        <f t="shared" si="22"/>
        <v>0.20999999999999996</v>
      </c>
      <c r="K41" s="252">
        <f t="shared" si="22"/>
        <v>226.7218043999992</v>
      </c>
      <c r="L41" s="253">
        <f t="shared" si="23"/>
        <v>3.7837837837837833E-2</v>
      </c>
      <c r="M41" s="254">
        <f t="shared" si="24"/>
        <v>31.683168316831683</v>
      </c>
      <c r="N41" s="208">
        <f t="shared" si="18"/>
        <v>17.103012118811883</v>
      </c>
      <c r="O41" s="255">
        <f t="shared" si="25"/>
        <v>1795.8162724752476</v>
      </c>
      <c r="P41" s="210">
        <f t="shared" si="26"/>
        <v>0.28877887788778883</v>
      </c>
      <c r="Q41" s="212">
        <f t="shared" si="27"/>
        <v>1.6633663366336635</v>
      </c>
      <c r="R41" s="212">
        <f t="shared" si="28"/>
        <v>4.0966336633663367</v>
      </c>
      <c r="V41" s="234">
        <v>21</v>
      </c>
      <c r="X41" s="234">
        <f t="shared" si="29"/>
        <v>21</v>
      </c>
    </row>
    <row r="42" spans="1:24">
      <c r="A42" s="234" t="s">
        <v>228</v>
      </c>
      <c r="B42" s="235">
        <f t="shared" si="19"/>
        <v>4.9433500000000006</v>
      </c>
      <c r="C42" s="235">
        <f t="shared" si="19"/>
        <v>4.9433500000000006</v>
      </c>
      <c r="D42" s="235">
        <f t="shared" si="16"/>
        <v>9.8867000000000012</v>
      </c>
      <c r="E42" s="236">
        <v>1</v>
      </c>
      <c r="F42" s="237">
        <f>+F41</f>
        <v>5.55</v>
      </c>
      <c r="G42" s="248">
        <f t="shared" si="20"/>
        <v>2853.3016200000002</v>
      </c>
      <c r="H42" s="250">
        <f t="shared" si="21"/>
        <v>5.76</v>
      </c>
      <c r="I42" s="248">
        <f t="shared" si="5"/>
        <v>2961.2643840000005</v>
      </c>
      <c r="J42" s="251">
        <f t="shared" si="22"/>
        <v>0.20999999999999996</v>
      </c>
      <c r="K42" s="252">
        <f t="shared" si="22"/>
        <v>107.96276400000033</v>
      </c>
      <c r="L42" s="253">
        <f t="shared" si="23"/>
        <v>3.7837837837837833E-2</v>
      </c>
      <c r="M42" s="254">
        <f t="shared" si="24"/>
        <v>31.683168316831683</v>
      </c>
      <c r="N42" s="208">
        <f t="shared" si="18"/>
        <v>8.144291485148516</v>
      </c>
      <c r="O42" s="255">
        <f t="shared" si="25"/>
        <v>855.15060594059423</v>
      </c>
      <c r="P42" s="210">
        <f t="shared" si="26"/>
        <v>0.28877887788778878</v>
      </c>
      <c r="Q42" s="212">
        <f t="shared" si="27"/>
        <v>1.6633663366336633</v>
      </c>
      <c r="R42" s="212">
        <f t="shared" si="28"/>
        <v>4.0966336633663367</v>
      </c>
      <c r="V42" s="234">
        <v>5</v>
      </c>
      <c r="W42" s="234">
        <v>5</v>
      </c>
      <c r="X42" s="234">
        <f t="shared" si="29"/>
        <v>10</v>
      </c>
    </row>
    <row r="43" spans="1:24" ht="17.25" customHeight="1">
      <c r="A43" s="234" t="s">
        <v>229</v>
      </c>
      <c r="B43" s="256">
        <f t="shared" si="19"/>
        <v>0</v>
      </c>
      <c r="C43" s="256">
        <f t="shared" si="19"/>
        <v>7.9093600000000004</v>
      </c>
      <c r="D43" s="256">
        <f t="shared" si="16"/>
        <v>7.9093600000000004</v>
      </c>
      <c r="E43" s="236">
        <v>1</v>
      </c>
      <c r="F43" s="237">
        <f>+F42</f>
        <v>5.55</v>
      </c>
      <c r="G43" s="257">
        <f t="shared" si="20"/>
        <v>2282.6412960000002</v>
      </c>
      <c r="H43" s="250">
        <f t="shared" si="21"/>
        <v>5.76</v>
      </c>
      <c r="I43" s="257">
        <f t="shared" si="5"/>
        <v>2369.0115071999999</v>
      </c>
      <c r="J43" s="251">
        <f t="shared" si="22"/>
        <v>0.20999999999999996</v>
      </c>
      <c r="K43" s="252">
        <f t="shared" si="22"/>
        <v>86.37021119999963</v>
      </c>
      <c r="L43" s="253">
        <f t="shared" si="23"/>
        <v>3.7837837837837833E-2</v>
      </c>
      <c r="M43" s="254">
        <f t="shared" si="24"/>
        <v>31.683168316831683</v>
      </c>
      <c r="N43" s="259">
        <f t="shared" si="18"/>
        <v>6.5154331881188128</v>
      </c>
      <c r="O43" s="260">
        <f t="shared" si="25"/>
        <v>684.12048475247536</v>
      </c>
      <c r="P43" s="210">
        <f t="shared" si="26"/>
        <v>0.28877887788778883</v>
      </c>
      <c r="Q43" s="212">
        <f t="shared" si="27"/>
        <v>1.6633663366336635</v>
      </c>
      <c r="R43" s="212">
        <f t="shared" si="28"/>
        <v>4.0966336633663367</v>
      </c>
      <c r="V43" s="261">
        <v>0</v>
      </c>
      <c r="W43" s="261">
        <v>8</v>
      </c>
      <c r="X43" s="261">
        <f t="shared" si="29"/>
        <v>8</v>
      </c>
    </row>
    <row r="44" spans="1:24" ht="17.25" customHeight="1">
      <c r="B44" s="262">
        <f>SUM(B38:B43)</f>
        <v>219.48474000000002</v>
      </c>
      <c r="C44" s="262">
        <f>SUM(C38:C43)</f>
        <v>198.72267000000002</v>
      </c>
      <c r="D44" s="262">
        <f>SUM(D38:D43)</f>
        <v>418.20740999999998</v>
      </c>
      <c r="E44" s="263"/>
      <c r="G44" s="238">
        <f>SUM(G38:G43)</f>
        <v>120694.65852599998</v>
      </c>
      <c r="H44" s="238"/>
      <c r="I44" s="238">
        <f>SUM(I38:I43)</f>
        <v>125261.48344319999</v>
      </c>
      <c r="J44" s="238"/>
      <c r="K44" s="238">
        <f>SUM(K38:K43)</f>
        <v>4566.8249171999978</v>
      </c>
      <c r="L44" s="238"/>
      <c r="M44" s="238"/>
      <c r="N44" s="244">
        <f>SUM(N38:N43)</f>
        <v>344.50352982178214</v>
      </c>
      <c r="O44" s="238">
        <f>SUM(O38:O43)</f>
        <v>36172.870631287129</v>
      </c>
      <c r="V44" s="264">
        <f>SUM(V38:V43)</f>
        <v>222</v>
      </c>
      <c r="W44" s="264">
        <f>SUM(W38:W43)</f>
        <v>201</v>
      </c>
      <c r="X44" s="264">
        <f>SUM(X38:X43)</f>
        <v>423</v>
      </c>
    </row>
    <row r="45" spans="1:24" ht="17.25" customHeight="1">
      <c r="B45" s="235"/>
      <c r="C45" s="235"/>
      <c r="D45" s="235"/>
      <c r="I45" s="248"/>
      <c r="N45" s="208"/>
    </row>
    <row r="46" spans="1:24">
      <c r="A46" s="234" t="s">
        <v>230</v>
      </c>
      <c r="B46" s="235">
        <v>0</v>
      </c>
      <c r="C46" s="235"/>
      <c r="D46" s="235"/>
      <c r="I46" s="248"/>
      <c r="N46" s="208"/>
      <c r="V46" s="234">
        <v>0</v>
      </c>
    </row>
    <row r="47" spans="1:24">
      <c r="A47" s="234" t="s">
        <v>231</v>
      </c>
      <c r="B47" s="235">
        <f t="shared" ref="B47:C51" si="30">+V47*(1-$D$5)</f>
        <v>82.059610000000006</v>
      </c>
      <c r="C47" s="235">
        <f t="shared" si="30"/>
        <v>23.728080000000002</v>
      </c>
      <c r="D47" s="235">
        <f t="shared" si="16"/>
        <v>105.78769000000001</v>
      </c>
      <c r="E47" s="236">
        <v>0.5</v>
      </c>
      <c r="F47" s="237">
        <v>8.07</v>
      </c>
      <c r="G47" s="248">
        <f>+F47*E47*D47*52</f>
        <v>22196.373115800001</v>
      </c>
      <c r="H47" s="250">
        <f>ROUND(F47*(1+$H$10),2)</f>
        <v>8.3800000000000008</v>
      </c>
      <c r="I47" s="248">
        <f t="shared" si="5"/>
        <v>23049.021897200004</v>
      </c>
      <c r="J47" s="251">
        <f t="shared" ref="J47:K51" si="31">+H47-F47</f>
        <v>0.3100000000000005</v>
      </c>
      <c r="K47" s="252">
        <f t="shared" si="31"/>
        <v>852.64878140000292</v>
      </c>
      <c r="L47" s="253">
        <f>J47/F47</f>
        <v>3.8413878562577511E-2</v>
      </c>
      <c r="M47" s="254">
        <f>96/202*$M$55</f>
        <v>47.524752475247524</v>
      </c>
      <c r="N47" s="208">
        <f t="shared" si="18"/>
        <v>65.357939168316847</v>
      </c>
      <c r="O47" s="255">
        <f>+$O$10*N47</f>
        <v>6862.5836126732693</v>
      </c>
      <c r="P47" s="210">
        <f>+O47/I47</f>
        <v>0.297738604409367</v>
      </c>
      <c r="Q47" s="212">
        <f>+P47*H47</f>
        <v>2.4950495049504959</v>
      </c>
      <c r="R47" s="212">
        <f>+H47-Q47</f>
        <v>5.8849504950495053</v>
      </c>
      <c r="V47" s="234">
        <v>83</v>
      </c>
      <c r="W47" s="234">
        <v>24</v>
      </c>
      <c r="X47" s="234">
        <f>+W47+V47</f>
        <v>107</v>
      </c>
    </row>
    <row r="48" spans="1:24">
      <c r="A48" s="234" t="s">
        <v>232</v>
      </c>
      <c r="B48" s="235">
        <f t="shared" si="30"/>
        <v>21.75074</v>
      </c>
      <c r="C48" s="235">
        <f t="shared" si="30"/>
        <v>13.841380000000001</v>
      </c>
      <c r="D48" s="235">
        <f t="shared" si="16"/>
        <v>35.592120000000001</v>
      </c>
      <c r="E48" s="236">
        <v>1</v>
      </c>
      <c r="F48" s="237">
        <f>+F47</f>
        <v>8.07</v>
      </c>
      <c r="G48" s="248">
        <f>+F48*E48*D48*52</f>
        <v>14935.877236800003</v>
      </c>
      <c r="H48" s="250">
        <f>ROUND(F48*(1+$H$10),2)</f>
        <v>8.3800000000000008</v>
      </c>
      <c r="I48" s="248">
        <f t="shared" si="5"/>
        <v>15509.622211200003</v>
      </c>
      <c r="J48" s="251">
        <f t="shared" si="31"/>
        <v>0.3100000000000005</v>
      </c>
      <c r="K48" s="252">
        <f t="shared" si="31"/>
        <v>573.7449744000005</v>
      </c>
      <c r="L48" s="253">
        <f>J48/F48</f>
        <v>3.8413878562577511E-2</v>
      </c>
      <c r="M48" s="254">
        <f>96/202*$M$55</f>
        <v>47.524752475247524</v>
      </c>
      <c r="N48" s="208">
        <f t="shared" si="18"/>
        <v>43.979174019801981</v>
      </c>
      <c r="O48" s="255">
        <f>+$O$10*N48</f>
        <v>4617.8132720792082</v>
      </c>
      <c r="P48" s="210">
        <f>+O48/I48</f>
        <v>0.29773860440936689</v>
      </c>
      <c r="Q48" s="212">
        <f>+P48*H48</f>
        <v>2.4950495049504946</v>
      </c>
      <c r="R48" s="212">
        <f>+H48-Q48</f>
        <v>5.8849504950495062</v>
      </c>
      <c r="V48" s="234">
        <v>22</v>
      </c>
      <c r="W48" s="234">
        <v>14</v>
      </c>
      <c r="X48" s="234">
        <f>+W48+V48</f>
        <v>36</v>
      </c>
    </row>
    <row r="49" spans="1:24">
      <c r="A49" s="234" t="s">
        <v>233</v>
      </c>
      <c r="B49" s="235">
        <f t="shared" si="30"/>
        <v>5.9320200000000005</v>
      </c>
      <c r="C49" s="235">
        <f t="shared" si="30"/>
        <v>0</v>
      </c>
      <c r="D49" s="235">
        <f t="shared" si="16"/>
        <v>5.9320200000000005</v>
      </c>
      <c r="E49" s="236">
        <v>1</v>
      </c>
      <c r="F49" s="237">
        <f>+F48</f>
        <v>8.07</v>
      </c>
      <c r="G49" s="248">
        <f>+F49*E49*D49*52</f>
        <v>2489.3128728000002</v>
      </c>
      <c r="H49" s="250">
        <f>ROUND(F49*(1+$H$10),2)</f>
        <v>8.3800000000000008</v>
      </c>
      <c r="I49" s="248">
        <f t="shared" si="5"/>
        <v>2584.9370352000005</v>
      </c>
      <c r="J49" s="251">
        <f t="shared" si="31"/>
        <v>0.3100000000000005</v>
      </c>
      <c r="K49" s="252">
        <f t="shared" si="31"/>
        <v>95.624162400000387</v>
      </c>
      <c r="L49" s="253">
        <f>J49/F49</f>
        <v>3.8413878562577511E-2</v>
      </c>
      <c r="M49" s="254">
        <f>96/202*$M$55</f>
        <v>47.524752475247524</v>
      </c>
      <c r="N49" s="208">
        <f t="shared" si="18"/>
        <v>7.3298623366336644</v>
      </c>
      <c r="O49" s="255">
        <f>+$O$10*N49</f>
        <v>769.63554534653474</v>
      </c>
      <c r="P49" s="210">
        <f>+O49/I49</f>
        <v>0.29773860440936695</v>
      </c>
      <c r="Q49" s="212">
        <f>+P49*H49</f>
        <v>2.495049504950495</v>
      </c>
      <c r="R49" s="212">
        <f>+H49-Q49</f>
        <v>5.8849504950495053</v>
      </c>
      <c r="V49" s="234">
        <v>6</v>
      </c>
      <c r="X49" s="234">
        <f>+W49+V49</f>
        <v>6</v>
      </c>
    </row>
    <row r="50" spans="1:24">
      <c r="A50" s="234" t="s">
        <v>234</v>
      </c>
      <c r="B50" s="235">
        <f t="shared" si="30"/>
        <v>3.9546800000000002</v>
      </c>
      <c r="C50" s="235">
        <f t="shared" si="30"/>
        <v>0</v>
      </c>
      <c r="D50" s="235">
        <f t="shared" si="16"/>
        <v>3.9546800000000002</v>
      </c>
      <c r="E50" s="236">
        <v>1</v>
      </c>
      <c r="F50" s="237">
        <f>+F49</f>
        <v>8.07</v>
      </c>
      <c r="G50" s="248">
        <f>+F50*E50*D50*52</f>
        <v>1659.5419152000002</v>
      </c>
      <c r="H50" s="250">
        <f>ROUND(F50*(1+$H$10),2)</f>
        <v>8.3800000000000008</v>
      </c>
      <c r="I50" s="248">
        <f t="shared" si="5"/>
        <v>1723.2913568000001</v>
      </c>
      <c r="J50" s="251">
        <f t="shared" si="31"/>
        <v>0.3100000000000005</v>
      </c>
      <c r="K50" s="252">
        <f t="shared" si="31"/>
        <v>63.749441599999955</v>
      </c>
      <c r="L50" s="253">
        <f>J50/F50</f>
        <v>3.8413878562577511E-2</v>
      </c>
      <c r="M50" s="254">
        <f>96/202*$M$55</f>
        <v>47.524752475247524</v>
      </c>
      <c r="N50" s="208">
        <f t="shared" si="18"/>
        <v>4.8865748910891096</v>
      </c>
      <c r="O50" s="255">
        <f>+$O$10*N50</f>
        <v>513.09036356435649</v>
      </c>
      <c r="P50" s="210">
        <f>+O50/I50</f>
        <v>0.29773860440936695</v>
      </c>
      <c r="Q50" s="212">
        <f>+P50*H50</f>
        <v>2.495049504950495</v>
      </c>
      <c r="R50" s="212">
        <f>+H50-Q50</f>
        <v>5.8849504950495053</v>
      </c>
      <c r="V50" s="234">
        <v>4</v>
      </c>
      <c r="X50" s="234">
        <f>+W50+V50</f>
        <v>4</v>
      </c>
    </row>
    <row r="51" spans="1:24" ht="16.5">
      <c r="A51" s="234" t="s">
        <v>235</v>
      </c>
      <c r="B51" s="256">
        <f t="shared" si="30"/>
        <v>0</v>
      </c>
      <c r="C51" s="256">
        <f t="shared" si="30"/>
        <v>7.9093600000000004</v>
      </c>
      <c r="D51" s="256">
        <f t="shared" si="16"/>
        <v>7.9093600000000004</v>
      </c>
      <c r="E51" s="236">
        <v>1</v>
      </c>
      <c r="F51" s="237">
        <f>+F50</f>
        <v>8.07</v>
      </c>
      <c r="G51" s="257">
        <f>+F51*E51*D51*52</f>
        <v>3319.0838304000004</v>
      </c>
      <c r="H51" s="250">
        <f>ROUND(F51*(1+$H$10),2)</f>
        <v>8.3800000000000008</v>
      </c>
      <c r="I51" s="257">
        <f t="shared" si="5"/>
        <v>3446.5827136000003</v>
      </c>
      <c r="J51" s="251">
        <f t="shared" si="31"/>
        <v>0.3100000000000005</v>
      </c>
      <c r="K51" s="258">
        <f t="shared" si="31"/>
        <v>127.49888319999991</v>
      </c>
      <c r="L51" s="253">
        <f>J51/F51</f>
        <v>3.8413878562577511E-2</v>
      </c>
      <c r="M51" s="254">
        <f>96/202*$M$55</f>
        <v>47.524752475247524</v>
      </c>
      <c r="N51" s="259">
        <f t="shared" si="18"/>
        <v>9.7731497821782192</v>
      </c>
      <c r="O51" s="260">
        <f>+$O$10*N51</f>
        <v>1026.180727128713</v>
      </c>
      <c r="P51" s="210">
        <f>+O51/I51</f>
        <v>0.29773860440936695</v>
      </c>
      <c r="Q51" s="212">
        <f>+P51*H51</f>
        <v>2.495049504950495</v>
      </c>
      <c r="R51" s="212">
        <f>+H51-Q51</f>
        <v>5.8849504950495053</v>
      </c>
      <c r="V51" s="261">
        <v>0</v>
      </c>
      <c r="W51" s="261">
        <v>8</v>
      </c>
      <c r="X51" s="261">
        <f>+W51+V51</f>
        <v>8</v>
      </c>
    </row>
    <row r="52" spans="1:24" s="223" customFormat="1" ht="16.5">
      <c r="B52" s="262">
        <f>SUM(B47:B51)</f>
        <v>113.69704999999999</v>
      </c>
      <c r="C52" s="262">
        <f>SUM(C47:C51)</f>
        <v>45.478820000000006</v>
      </c>
      <c r="D52" s="262">
        <f>SUM(D47:D51)</f>
        <v>159.17587</v>
      </c>
      <c r="E52" s="236"/>
      <c r="F52" s="237"/>
      <c r="G52" s="238">
        <f>SUM(G47:G51)</f>
        <v>44600.18897100001</v>
      </c>
      <c r="H52" s="238"/>
      <c r="I52" s="238">
        <f>SUM(I47:I51)</f>
        <v>46313.455214000009</v>
      </c>
      <c r="J52" s="238"/>
      <c r="K52" s="238">
        <f>SUM(K47:K51)</f>
        <v>1713.2662430000037</v>
      </c>
      <c r="L52" s="238"/>
      <c r="M52" s="238">
        <f>SUM(M47:M51)</f>
        <v>237.62376237623761</v>
      </c>
      <c r="N52" s="244">
        <f>SUM(N47:N51)</f>
        <v>131.32670019801981</v>
      </c>
      <c r="O52" s="238">
        <f>SUM(O47:O51)</f>
        <v>13789.303520792082</v>
      </c>
      <c r="V52" s="264">
        <f>SUM(V47:V51)</f>
        <v>115</v>
      </c>
      <c r="W52" s="264">
        <f>SUM(W47:W51)</f>
        <v>46</v>
      </c>
      <c r="X52" s="264">
        <f>SUM(X47:X51)</f>
        <v>161</v>
      </c>
    </row>
    <row r="53" spans="1:24" s="223" customFormat="1">
      <c r="B53" s="265"/>
      <c r="C53" s="265"/>
      <c r="D53" s="235"/>
      <c r="E53" s="266"/>
      <c r="F53" s="224"/>
      <c r="G53" s="267"/>
      <c r="M53" s="232"/>
      <c r="N53" s="232"/>
      <c r="X53" s="234"/>
    </row>
    <row r="54" spans="1:24" s="223" customFormat="1">
      <c r="B54" s="265"/>
      <c r="C54" s="265"/>
      <c r="D54" s="235"/>
      <c r="E54" s="266"/>
      <c r="F54" s="224"/>
      <c r="G54" s="267"/>
      <c r="M54" s="232"/>
      <c r="N54" s="232"/>
      <c r="X54" s="234"/>
    </row>
    <row r="55" spans="1:24">
      <c r="A55" s="234" t="s">
        <v>236</v>
      </c>
      <c r="B55" s="235">
        <f t="shared" ref="B55:C58" si="32">+V55*(1-$D$5)</f>
        <v>54.376850000000005</v>
      </c>
      <c r="C55" s="235">
        <f t="shared" si="32"/>
        <v>44.49015</v>
      </c>
      <c r="D55" s="235">
        <f t="shared" si="16"/>
        <v>98.867000000000004</v>
      </c>
      <c r="E55" s="236">
        <v>0.5</v>
      </c>
      <c r="F55" s="237">
        <v>16.739999999999998</v>
      </c>
      <c r="G55" s="248">
        <f>+F55*E55*D55*52</f>
        <v>43030.873079999998</v>
      </c>
      <c r="H55" s="250">
        <f>ROUND(F55*(1+$H$10),2)</f>
        <v>17.38</v>
      </c>
      <c r="I55" s="248">
        <f>+H55*D55*E55*52</f>
        <v>44676.019959999998</v>
      </c>
      <c r="J55" s="251">
        <f t="shared" ref="J55:K58" si="33">+H55-F55</f>
        <v>0.64000000000000057</v>
      </c>
      <c r="K55" s="252">
        <f t="shared" si="33"/>
        <v>1645.1468800000002</v>
      </c>
      <c r="L55" s="253">
        <f>J55/F55</f>
        <v>3.8231780167264078E-2</v>
      </c>
      <c r="M55" s="268">
        <v>100</v>
      </c>
      <c r="N55" s="208">
        <f>+D55*E55*M55*52/2000</f>
        <v>128.52710000000002</v>
      </c>
      <c r="O55" s="255">
        <f>+$O$10*N55</f>
        <v>13495.345500000001</v>
      </c>
      <c r="P55" s="210">
        <f>+O55/I55</f>
        <v>0.30207134637514388</v>
      </c>
      <c r="Q55" s="212">
        <f>+P55*H55</f>
        <v>5.25</v>
      </c>
      <c r="R55" s="212">
        <f>+H55-Q55</f>
        <v>12.129999999999999</v>
      </c>
      <c r="V55" s="234">
        <v>55</v>
      </c>
      <c r="W55" s="234">
        <v>45</v>
      </c>
      <c r="X55" s="234">
        <f>+W55+V55</f>
        <v>100</v>
      </c>
    </row>
    <row r="56" spans="1:24">
      <c r="A56" s="234" t="s">
        <v>237</v>
      </c>
      <c r="B56" s="235">
        <f t="shared" si="32"/>
        <v>369.76258000000001</v>
      </c>
      <c r="C56" s="235">
        <f t="shared" si="32"/>
        <v>208.60937000000001</v>
      </c>
      <c r="D56" s="235">
        <f t="shared" si="16"/>
        <v>578.37194999999997</v>
      </c>
      <c r="E56" s="236">
        <v>1</v>
      </c>
      <c r="F56" s="237">
        <f>+F55</f>
        <v>16.739999999999998</v>
      </c>
      <c r="G56" s="248">
        <f>+F56*E56*D56*52</f>
        <v>503461.21503599995</v>
      </c>
      <c r="H56" s="250">
        <f>ROUND(F56*(1+$H$10),2)</f>
        <v>17.38</v>
      </c>
      <c r="I56" s="248">
        <f>+H56*D56*E56*52</f>
        <v>522709.43353199994</v>
      </c>
      <c r="J56" s="251">
        <f t="shared" si="33"/>
        <v>0.64000000000000057</v>
      </c>
      <c r="K56" s="252">
        <f t="shared" si="33"/>
        <v>19248.218495999987</v>
      </c>
      <c r="L56" s="253">
        <f>J56/F56</f>
        <v>3.8231780167264078E-2</v>
      </c>
      <c r="M56" s="254">
        <f>+M55</f>
        <v>100</v>
      </c>
      <c r="N56" s="208">
        <f>+D56*E56*M56*52/2000</f>
        <v>1503.7670700000001</v>
      </c>
      <c r="O56" s="255">
        <f>+$O$10*N56</f>
        <v>157895.54235</v>
      </c>
      <c r="P56" s="210">
        <f>+O56/I56</f>
        <v>0.30207134637514388</v>
      </c>
      <c r="Q56" s="212">
        <f>+P56*H56</f>
        <v>5.25</v>
      </c>
      <c r="R56" s="212">
        <f>+H56-Q56</f>
        <v>12.129999999999999</v>
      </c>
      <c r="V56" s="234">
        <v>374</v>
      </c>
      <c r="W56" s="234">
        <v>211</v>
      </c>
      <c r="X56" s="234">
        <f>+W56+V56</f>
        <v>585</v>
      </c>
    </row>
    <row r="57" spans="1:24">
      <c r="A57" s="234" t="s">
        <v>238</v>
      </c>
      <c r="B57" s="235">
        <f t="shared" si="32"/>
        <v>1.9773400000000001</v>
      </c>
      <c r="C57" s="235">
        <f t="shared" si="32"/>
        <v>0.98867000000000005</v>
      </c>
      <c r="D57" s="235">
        <f t="shared" si="16"/>
        <v>2.9660100000000003</v>
      </c>
      <c r="E57" s="236">
        <v>1</v>
      </c>
      <c r="F57" s="237">
        <f>+F56</f>
        <v>16.739999999999998</v>
      </c>
      <c r="G57" s="248">
        <f>+F57*E57*D57*52</f>
        <v>2581.8523848</v>
      </c>
      <c r="H57" s="250">
        <f>ROUND(F57*(1+$H$10),2)</f>
        <v>17.38</v>
      </c>
      <c r="I57" s="248">
        <f>+H57*D57*E57*52</f>
        <v>2680.5611976</v>
      </c>
      <c r="J57" s="251">
        <f t="shared" si="33"/>
        <v>0.64000000000000057</v>
      </c>
      <c r="K57" s="252">
        <f t="shared" si="33"/>
        <v>98.708812800000032</v>
      </c>
      <c r="L57" s="253">
        <f>J57/F57</f>
        <v>3.8231780167264078E-2</v>
      </c>
      <c r="M57" s="249">
        <f>+M56</f>
        <v>100</v>
      </c>
      <c r="N57" s="208">
        <f>+D57*E57*M57*52/2000</f>
        <v>7.7116259999999999</v>
      </c>
      <c r="O57" s="255">
        <f t="shared" ref="O57:O67" si="34">+$O$10*N57</f>
        <v>809.72073</v>
      </c>
      <c r="P57" s="210">
        <f>+O57/I57</f>
        <v>0.30207134637514382</v>
      </c>
      <c r="Q57" s="212">
        <f>+P57*H57</f>
        <v>5.2499999999999991</v>
      </c>
      <c r="R57" s="212">
        <f>+H57-Q57</f>
        <v>12.129999999999999</v>
      </c>
      <c r="V57" s="234">
        <v>2</v>
      </c>
      <c r="W57" s="234">
        <v>1</v>
      </c>
      <c r="X57" s="234">
        <f>+W57+V57</f>
        <v>3</v>
      </c>
    </row>
    <row r="58" spans="1:24" ht="16.5">
      <c r="A58" s="234" t="s">
        <v>239</v>
      </c>
      <c r="B58" s="256">
        <f t="shared" si="32"/>
        <v>0</v>
      </c>
      <c r="C58" s="256">
        <f t="shared" si="32"/>
        <v>2.9660100000000003</v>
      </c>
      <c r="D58" s="256">
        <f t="shared" si="16"/>
        <v>2.9660100000000003</v>
      </c>
      <c r="E58" s="236">
        <v>1</v>
      </c>
      <c r="F58" s="237">
        <f>+F57</f>
        <v>16.739999999999998</v>
      </c>
      <c r="G58" s="257">
        <f>+F58*E58*D58*52</f>
        <v>2581.8523848</v>
      </c>
      <c r="H58" s="250">
        <f>ROUND(F58*(1+$H$10),2)</f>
        <v>17.38</v>
      </c>
      <c r="I58" s="248">
        <f>+H58*D58*E58*52</f>
        <v>2680.5611976</v>
      </c>
      <c r="J58" s="251">
        <f t="shared" si="33"/>
        <v>0.64000000000000057</v>
      </c>
      <c r="K58" s="258">
        <f t="shared" si="33"/>
        <v>98.708812800000032</v>
      </c>
      <c r="L58" s="253">
        <f>J58/F58</f>
        <v>3.8231780167264078E-2</v>
      </c>
      <c r="M58" s="249">
        <f>+M57</f>
        <v>100</v>
      </c>
      <c r="N58" s="259">
        <f>+D58*E58*M58*52/2000</f>
        <v>7.7116259999999999</v>
      </c>
      <c r="O58" s="260">
        <f t="shared" si="34"/>
        <v>809.72073</v>
      </c>
      <c r="P58" s="210">
        <f>+O58/I58</f>
        <v>0.30207134637514382</v>
      </c>
      <c r="Q58" s="212">
        <f>+P58*H58</f>
        <v>5.2499999999999991</v>
      </c>
      <c r="R58" s="212">
        <f>+H58-Q58</f>
        <v>12.129999999999999</v>
      </c>
      <c r="V58" s="261"/>
      <c r="W58" s="261">
        <v>3</v>
      </c>
      <c r="X58" s="261">
        <f>+W58+V58</f>
        <v>3</v>
      </c>
    </row>
    <row r="59" spans="1:24" ht="16.5">
      <c r="B59" s="262">
        <f>SUM(B55:B58)</f>
        <v>426.11677000000003</v>
      </c>
      <c r="C59" s="262">
        <f>SUM(C55:C58)</f>
        <v>257.05420000000004</v>
      </c>
      <c r="D59" s="262">
        <f>SUM(D55:D58)</f>
        <v>683.1709699999999</v>
      </c>
      <c r="E59" s="263"/>
      <c r="G59" s="238">
        <f>SUM(G55:G58)</f>
        <v>551655.79288559989</v>
      </c>
      <c r="H59" s="238"/>
      <c r="I59" s="238">
        <f>SUM(I55:I58)</f>
        <v>572746.57588719984</v>
      </c>
      <c r="J59" s="238"/>
      <c r="K59" s="238">
        <f>SUM(K55:K58)</f>
        <v>21090.783001599986</v>
      </c>
      <c r="L59" s="238"/>
      <c r="M59" s="238"/>
      <c r="N59" s="244">
        <f>SUM(N55:N58)</f>
        <v>1647.7174220000002</v>
      </c>
      <c r="O59" s="238">
        <f>SUM(O55:O58)</f>
        <v>173010.32931</v>
      </c>
      <c r="P59" s="210"/>
      <c r="Q59" s="212"/>
      <c r="R59" s="212"/>
      <c r="V59" s="264">
        <f>SUM(V55:V58)</f>
        <v>431</v>
      </c>
      <c r="W59" s="264">
        <f>SUM(W55:W58)</f>
        <v>260</v>
      </c>
      <c r="X59" s="264">
        <f>SUM(X55:X58)</f>
        <v>691</v>
      </c>
    </row>
    <row r="60" spans="1:24">
      <c r="B60" s="235"/>
      <c r="C60" s="235"/>
      <c r="D60" s="235"/>
      <c r="H60" s="250"/>
      <c r="I60" s="248"/>
      <c r="J60" s="251"/>
      <c r="K60" s="252"/>
      <c r="L60" s="253"/>
      <c r="N60" s="208"/>
      <c r="O60" s="255"/>
      <c r="P60" s="210"/>
      <c r="Q60" s="212"/>
      <c r="R60" s="212"/>
    </row>
    <row r="61" spans="1:24">
      <c r="B61" s="235"/>
      <c r="C61" s="235"/>
      <c r="D61" s="235"/>
      <c r="H61" s="250"/>
      <c r="I61" s="248"/>
      <c r="J61" s="251"/>
      <c r="K61" s="252"/>
      <c r="L61" s="253"/>
      <c r="N61" s="208"/>
      <c r="O61" s="255"/>
      <c r="P61" s="210"/>
      <c r="Q61" s="212"/>
      <c r="R61" s="212"/>
    </row>
    <row r="62" spans="1:24">
      <c r="A62" s="234" t="s">
        <v>240</v>
      </c>
      <c r="B62" s="235">
        <f t="shared" ref="B62:C67" si="35">+V62*(1-$D$5)</f>
        <v>8.8980300000000003</v>
      </c>
      <c r="C62" s="235">
        <f t="shared" si="35"/>
        <v>7.9093600000000004</v>
      </c>
      <c r="D62" s="235">
        <f t="shared" si="16"/>
        <v>16.807390000000002</v>
      </c>
      <c r="E62" s="236">
        <v>0.5</v>
      </c>
      <c r="F62" s="237">
        <v>23.29</v>
      </c>
      <c r="G62" s="248">
        <f t="shared" ref="G62:G67" si="36">+F62*E62*D62*52</f>
        <v>10177.546940600001</v>
      </c>
      <c r="H62" s="250">
        <f t="shared" ref="H62:H67" si="37">ROUND(F62*(1+$H$10),2)</f>
        <v>24.18</v>
      </c>
      <c r="I62" s="248">
        <f t="shared" ref="I62:I67" si="38">+H62*D62*E62*52</f>
        <v>10566.469945200002</v>
      </c>
      <c r="J62" s="251">
        <f t="shared" ref="J62:K67" si="39">+H62-F62</f>
        <v>0.89000000000000057</v>
      </c>
      <c r="K62" s="252">
        <f t="shared" si="39"/>
        <v>388.92300460000115</v>
      </c>
      <c r="L62" s="253">
        <f t="shared" ref="L62:L67" si="40">J62/F62</f>
        <v>3.8213825676255933E-2</v>
      </c>
      <c r="M62" s="249">
        <f>+$M$55*1.5</f>
        <v>150</v>
      </c>
      <c r="N62" s="208">
        <f t="shared" ref="N62:N67" si="41">+D62*E62*M62*52/2000</f>
        <v>32.774410500000002</v>
      </c>
      <c r="O62" s="255">
        <f t="shared" si="34"/>
        <v>3441.3131025000002</v>
      </c>
      <c r="P62" s="210">
        <f t="shared" ref="P62:P67" si="42">+O62/I62</f>
        <v>0.32568238213399497</v>
      </c>
      <c r="Q62" s="212">
        <f t="shared" ref="Q62:Q67" si="43">+P62*H62</f>
        <v>7.8749999999999982</v>
      </c>
      <c r="R62" s="212">
        <f t="shared" ref="R62:R67" si="44">+H62-Q62</f>
        <v>16.305</v>
      </c>
      <c r="V62" s="234">
        <v>9</v>
      </c>
      <c r="W62" s="234">
        <v>8</v>
      </c>
      <c r="X62" s="234">
        <f t="shared" ref="X62:X67" si="45">+W62+V62</f>
        <v>17</v>
      </c>
    </row>
    <row r="63" spans="1:24">
      <c r="A63" s="234" t="s">
        <v>241</v>
      </c>
      <c r="B63" s="235">
        <f t="shared" si="35"/>
        <v>133.47045</v>
      </c>
      <c r="C63" s="235">
        <f t="shared" si="35"/>
        <v>43.501480000000001</v>
      </c>
      <c r="D63" s="235">
        <f t="shared" si="16"/>
        <v>176.97192999999999</v>
      </c>
      <c r="E63" s="236">
        <v>1</v>
      </c>
      <c r="F63" s="237">
        <f>+F62</f>
        <v>23.29</v>
      </c>
      <c r="G63" s="248">
        <f t="shared" si="36"/>
        <v>214327.16498440001</v>
      </c>
      <c r="H63" s="250">
        <f t="shared" si="37"/>
        <v>24.18</v>
      </c>
      <c r="I63" s="248">
        <f t="shared" si="38"/>
        <v>222517.42590479995</v>
      </c>
      <c r="J63" s="251">
        <f t="shared" si="39"/>
        <v>0.89000000000000057</v>
      </c>
      <c r="K63" s="252">
        <f t="shared" si="39"/>
        <v>8190.2609203999455</v>
      </c>
      <c r="L63" s="253">
        <f t="shared" si="40"/>
        <v>3.8213825676255933E-2</v>
      </c>
      <c r="M63" s="249">
        <f>+M62</f>
        <v>150</v>
      </c>
      <c r="N63" s="208">
        <f t="shared" si="41"/>
        <v>690.19052699999997</v>
      </c>
      <c r="O63" s="255">
        <f t="shared" si="34"/>
        <v>72470.005334999994</v>
      </c>
      <c r="P63" s="210">
        <f t="shared" si="42"/>
        <v>0.32568238213399509</v>
      </c>
      <c r="Q63" s="212">
        <f t="shared" si="43"/>
        <v>7.8750000000000009</v>
      </c>
      <c r="R63" s="212">
        <f t="shared" si="44"/>
        <v>16.305</v>
      </c>
      <c r="V63" s="234">
        <v>135</v>
      </c>
      <c r="W63" s="234">
        <v>44</v>
      </c>
      <c r="X63" s="234">
        <f t="shared" si="45"/>
        <v>179</v>
      </c>
    </row>
    <row r="64" spans="1:24">
      <c r="A64" s="234" t="s">
        <v>242</v>
      </c>
      <c r="B64" s="235">
        <f t="shared" si="35"/>
        <v>1.9773400000000001</v>
      </c>
      <c r="C64" s="235">
        <f t="shared" si="35"/>
        <v>0</v>
      </c>
      <c r="D64" s="235">
        <f t="shared" si="16"/>
        <v>1.9773400000000001</v>
      </c>
      <c r="E64" s="236">
        <v>1</v>
      </c>
      <c r="F64" s="237">
        <f>+F63</f>
        <v>23.29</v>
      </c>
      <c r="G64" s="248">
        <f t="shared" si="36"/>
        <v>2394.7169272000001</v>
      </c>
      <c r="H64" s="250">
        <f t="shared" si="37"/>
        <v>24.18</v>
      </c>
      <c r="I64" s="248">
        <f t="shared" si="38"/>
        <v>2486.2282224</v>
      </c>
      <c r="J64" s="251">
        <f t="shared" si="39"/>
        <v>0.89000000000000057</v>
      </c>
      <c r="K64" s="252">
        <f t="shared" si="39"/>
        <v>91.51129519999995</v>
      </c>
      <c r="L64" s="253">
        <f t="shared" si="40"/>
        <v>3.8213825676255933E-2</v>
      </c>
      <c r="M64" s="249">
        <f>+M63</f>
        <v>150</v>
      </c>
      <c r="N64" s="208">
        <f t="shared" si="41"/>
        <v>7.7116259999999999</v>
      </c>
      <c r="O64" s="255">
        <f t="shared" si="34"/>
        <v>809.72073</v>
      </c>
      <c r="P64" s="210">
        <f t="shared" si="42"/>
        <v>0.32568238213399503</v>
      </c>
      <c r="Q64" s="212">
        <f t="shared" si="43"/>
        <v>7.875</v>
      </c>
      <c r="R64" s="212">
        <f t="shared" si="44"/>
        <v>16.305</v>
      </c>
      <c r="V64" s="234">
        <v>2</v>
      </c>
      <c r="X64" s="234">
        <f t="shared" si="45"/>
        <v>2</v>
      </c>
    </row>
    <row r="65" spans="1:24">
      <c r="A65" s="234" t="s">
        <v>243</v>
      </c>
      <c r="B65" s="235">
        <f t="shared" si="35"/>
        <v>0.98867000000000005</v>
      </c>
      <c r="C65" s="235">
        <f t="shared" si="35"/>
        <v>0</v>
      </c>
      <c r="D65" s="235">
        <f t="shared" si="16"/>
        <v>0.98867000000000005</v>
      </c>
      <c r="E65" s="236">
        <v>2</v>
      </c>
      <c r="F65" s="237">
        <f>+F64</f>
        <v>23.29</v>
      </c>
      <c r="G65" s="248">
        <f t="shared" si="36"/>
        <v>2394.7169272000001</v>
      </c>
      <c r="H65" s="250">
        <f t="shared" si="37"/>
        <v>24.18</v>
      </c>
      <c r="I65" s="248">
        <f t="shared" si="38"/>
        <v>2486.2282224</v>
      </c>
      <c r="J65" s="251">
        <f t="shared" si="39"/>
        <v>0.89000000000000057</v>
      </c>
      <c r="K65" s="252">
        <f t="shared" si="39"/>
        <v>91.51129519999995</v>
      </c>
      <c r="L65" s="253">
        <f t="shared" si="40"/>
        <v>3.8213825676255933E-2</v>
      </c>
      <c r="M65" s="249">
        <f>+M64</f>
        <v>150</v>
      </c>
      <c r="N65" s="208">
        <f t="shared" si="41"/>
        <v>7.7116259999999999</v>
      </c>
      <c r="O65" s="255">
        <f t="shared" si="34"/>
        <v>809.72073</v>
      </c>
      <c r="P65" s="210">
        <f t="shared" si="42"/>
        <v>0.32568238213399503</v>
      </c>
      <c r="Q65" s="212">
        <f t="shared" si="43"/>
        <v>7.875</v>
      </c>
      <c r="R65" s="212">
        <f t="shared" si="44"/>
        <v>16.305</v>
      </c>
      <c r="V65" s="234">
        <v>1</v>
      </c>
      <c r="X65" s="234">
        <f t="shared" si="45"/>
        <v>1</v>
      </c>
    </row>
    <row r="66" spans="1:24">
      <c r="A66" s="234" t="s">
        <v>244</v>
      </c>
      <c r="B66" s="235">
        <f t="shared" si="35"/>
        <v>1.9773400000000001</v>
      </c>
      <c r="C66" s="235">
        <f t="shared" si="35"/>
        <v>0</v>
      </c>
      <c r="D66" s="235">
        <f t="shared" si="16"/>
        <v>1.9773400000000001</v>
      </c>
      <c r="E66" s="236">
        <v>2</v>
      </c>
      <c r="F66" s="237">
        <f>+F65</f>
        <v>23.29</v>
      </c>
      <c r="G66" s="248">
        <f t="shared" si="36"/>
        <v>4789.4338544000002</v>
      </c>
      <c r="H66" s="250">
        <f t="shared" si="37"/>
        <v>24.18</v>
      </c>
      <c r="I66" s="248">
        <f t="shared" si="38"/>
        <v>4972.4564448000001</v>
      </c>
      <c r="J66" s="251">
        <f t="shared" si="39"/>
        <v>0.89000000000000057</v>
      </c>
      <c r="K66" s="252">
        <f t="shared" si="39"/>
        <v>183.0225903999999</v>
      </c>
      <c r="L66" s="253">
        <f t="shared" si="40"/>
        <v>3.8213825676255933E-2</v>
      </c>
      <c r="M66" s="249">
        <f>+M65</f>
        <v>150</v>
      </c>
      <c r="N66" s="208">
        <f t="shared" si="41"/>
        <v>15.423252</v>
      </c>
      <c r="O66" s="255">
        <f t="shared" si="34"/>
        <v>1619.44146</v>
      </c>
      <c r="P66" s="210">
        <f t="shared" si="42"/>
        <v>0.32568238213399503</v>
      </c>
      <c r="Q66" s="212">
        <f t="shared" si="43"/>
        <v>7.875</v>
      </c>
      <c r="R66" s="212">
        <f t="shared" si="44"/>
        <v>16.305</v>
      </c>
      <c r="V66" s="234">
        <v>2</v>
      </c>
      <c r="X66" s="234">
        <f t="shared" si="45"/>
        <v>2</v>
      </c>
    </row>
    <row r="67" spans="1:24" ht="16.5">
      <c r="A67" s="234" t="s">
        <v>245</v>
      </c>
      <c r="B67" s="256">
        <f t="shared" si="35"/>
        <v>2.9660100000000003</v>
      </c>
      <c r="C67" s="256">
        <f t="shared" si="35"/>
        <v>0</v>
      </c>
      <c r="D67" s="256">
        <f t="shared" si="16"/>
        <v>2.9660100000000003</v>
      </c>
      <c r="E67" s="236">
        <v>2</v>
      </c>
      <c r="F67" s="237">
        <f>+F66</f>
        <v>23.29</v>
      </c>
      <c r="G67" s="257">
        <f t="shared" si="36"/>
        <v>7184.1507816000003</v>
      </c>
      <c r="H67" s="250">
        <f t="shared" si="37"/>
        <v>24.18</v>
      </c>
      <c r="I67" s="257">
        <f t="shared" si="38"/>
        <v>7458.6846672000011</v>
      </c>
      <c r="J67" s="251">
        <f t="shared" si="39"/>
        <v>0.89000000000000057</v>
      </c>
      <c r="K67" s="258">
        <f t="shared" si="39"/>
        <v>274.53388560000076</v>
      </c>
      <c r="L67" s="253">
        <f t="shared" si="40"/>
        <v>3.8213825676255933E-2</v>
      </c>
      <c r="M67" s="249">
        <f>+M66</f>
        <v>150</v>
      </c>
      <c r="N67" s="259">
        <f t="shared" si="41"/>
        <v>23.134878000000004</v>
      </c>
      <c r="O67" s="260">
        <f t="shared" si="34"/>
        <v>2429.1621900000005</v>
      </c>
      <c r="P67" s="210">
        <f t="shared" si="42"/>
        <v>0.32568238213399503</v>
      </c>
      <c r="Q67" s="212">
        <f t="shared" si="43"/>
        <v>7.875</v>
      </c>
      <c r="R67" s="212">
        <f t="shared" si="44"/>
        <v>16.305</v>
      </c>
      <c r="V67" s="261">
        <v>3</v>
      </c>
      <c r="W67" s="261"/>
      <c r="X67" s="261">
        <f t="shared" si="45"/>
        <v>3</v>
      </c>
    </row>
    <row r="68" spans="1:24" ht="16.5">
      <c r="B68" s="262">
        <f>SUM(B62:B67)</f>
        <v>150.27784000000003</v>
      </c>
      <c r="C68" s="262">
        <f>SUM(C62:C67)</f>
        <v>51.41084</v>
      </c>
      <c r="D68" s="262">
        <f>SUM(D62:D67)</f>
        <v>201.68868000000001</v>
      </c>
      <c r="E68" s="263"/>
      <c r="G68" s="238">
        <f>SUM(G62:G67)</f>
        <v>241267.73041540003</v>
      </c>
      <c r="H68" s="238"/>
      <c r="I68" s="238">
        <f>SUM(I62:I67)</f>
        <v>250487.49340679994</v>
      </c>
      <c r="J68" s="238"/>
      <c r="K68" s="238">
        <f>SUM(K62:K67)</f>
        <v>9219.7629913999481</v>
      </c>
      <c r="L68" s="238"/>
      <c r="M68" s="238"/>
      <c r="N68" s="244">
        <f>SUM(N62:N67)</f>
        <v>776.94631950000007</v>
      </c>
      <c r="O68" s="238">
        <f>SUM(O62:O67)</f>
        <v>81579.363547500005</v>
      </c>
      <c r="V68" s="264">
        <f>SUM(V62:V67)</f>
        <v>152</v>
      </c>
      <c r="W68" s="264">
        <f>SUM(W62:W67)</f>
        <v>52</v>
      </c>
      <c r="X68" s="264">
        <f>SUM(X62:X67)</f>
        <v>204</v>
      </c>
    </row>
    <row r="69" spans="1:24" ht="16.5">
      <c r="B69" s="262"/>
      <c r="C69" s="262"/>
      <c r="D69" s="262"/>
      <c r="E69" s="263"/>
      <c r="V69" s="264"/>
      <c r="W69" s="264"/>
      <c r="X69" s="264"/>
    </row>
    <row r="70" spans="1:24">
      <c r="B70" s="235"/>
      <c r="C70" s="235"/>
      <c r="D70" s="235"/>
    </row>
    <row r="71" spans="1:24">
      <c r="A71" s="234" t="s">
        <v>246</v>
      </c>
      <c r="B71" s="235">
        <f>+V71*(1-$D$5)</f>
        <v>49.433500000000002</v>
      </c>
      <c r="C71" s="235">
        <f>+W71*(1-$D$5)</f>
        <v>29.6601</v>
      </c>
      <c r="D71" s="235">
        <f t="shared" si="16"/>
        <v>79.093600000000009</v>
      </c>
      <c r="E71" s="236">
        <v>0.5</v>
      </c>
      <c r="F71" s="237">
        <v>28.84</v>
      </c>
      <c r="G71" s="248">
        <f t="shared" ref="G71:G79" si="46">+F71*E71*D71*52</f>
        <v>59307.545023999999</v>
      </c>
      <c r="H71" s="250">
        <f>ROUND(F71*(1+$H$10),2)</f>
        <v>29.94</v>
      </c>
      <c r="I71" s="248">
        <f>+H71*D71*E71*52</f>
        <v>61569.621984000005</v>
      </c>
      <c r="J71" s="251">
        <f>+H71-F71</f>
        <v>1.1000000000000014</v>
      </c>
      <c r="K71" s="252">
        <f>+I71-G71</f>
        <v>2262.0769600000058</v>
      </c>
      <c r="L71" s="253">
        <f>J71/F71</f>
        <v>3.8141470180305184E-2</v>
      </c>
      <c r="M71" s="249">
        <f>+$M$55*2</f>
        <v>200</v>
      </c>
      <c r="N71" s="208">
        <f>+D71*E71*M71*52/2000</f>
        <v>205.64336</v>
      </c>
      <c r="O71" s="255">
        <f t="shared" ref="O71:O79" si="47">+$O$10*N71</f>
        <v>21592.552800000001</v>
      </c>
      <c r="P71" s="210">
        <f>+O71/I71</f>
        <v>0.35070140280561124</v>
      </c>
      <c r="Q71" s="212">
        <f>+P71*H71</f>
        <v>10.500000000000002</v>
      </c>
      <c r="R71" s="212">
        <f>+H71-Q71</f>
        <v>19.439999999999998</v>
      </c>
      <c r="V71" s="234">
        <v>50</v>
      </c>
      <c r="W71" s="234">
        <v>30</v>
      </c>
      <c r="X71" s="234">
        <f t="shared" ref="X71:X79" si="48">+W71+V71</f>
        <v>80</v>
      </c>
    </row>
    <row r="72" spans="1:24">
      <c r="A72" s="234" t="s">
        <v>247</v>
      </c>
      <c r="B72" s="235">
        <f t="shared" ref="B72:C79" si="49">+V72*(1-$D$5)</f>
        <v>253.09952000000001</v>
      </c>
      <c r="C72" s="235">
        <f t="shared" si="49"/>
        <v>103.81035</v>
      </c>
      <c r="D72" s="235">
        <f t="shared" si="16"/>
        <v>356.90987000000001</v>
      </c>
      <c r="E72" s="236">
        <v>1</v>
      </c>
      <c r="F72" s="237">
        <f t="shared" ref="F72:F79" si="50">+F71</f>
        <v>28.84</v>
      </c>
      <c r="G72" s="248">
        <f t="shared" si="46"/>
        <v>535250.5938416</v>
      </c>
      <c r="H72" s="250">
        <f>ROUND(F72*(1+$H$10),2)</f>
        <v>29.94</v>
      </c>
      <c r="I72" s="248">
        <f>+H72*D72*E72*52</f>
        <v>555665.83840560005</v>
      </c>
      <c r="J72" s="251">
        <f>+H72-F72</f>
        <v>1.1000000000000014</v>
      </c>
      <c r="K72" s="252">
        <f>+I72-G72</f>
        <v>20415.244564000051</v>
      </c>
      <c r="L72" s="253">
        <f>J72/F72</f>
        <v>3.8141470180305184E-2</v>
      </c>
      <c r="M72" s="249">
        <f>+M71</f>
        <v>200</v>
      </c>
      <c r="N72" s="208">
        <f>+D72*E72*M72*52/2000</f>
        <v>1855.9313240000001</v>
      </c>
      <c r="O72" s="255">
        <f t="shared" si="47"/>
        <v>194872.78902000003</v>
      </c>
      <c r="P72" s="210">
        <f>+O72/I72</f>
        <v>0.35070140280561124</v>
      </c>
      <c r="Q72" s="212">
        <f>+P72*H72</f>
        <v>10.500000000000002</v>
      </c>
      <c r="R72" s="212">
        <f>+H72-Q72</f>
        <v>19.439999999999998</v>
      </c>
      <c r="V72" s="234">
        <v>256</v>
      </c>
      <c r="W72" s="234">
        <v>105</v>
      </c>
      <c r="X72" s="234">
        <f t="shared" si="48"/>
        <v>361</v>
      </c>
    </row>
    <row r="73" spans="1:24">
      <c r="A73" s="234" t="s">
        <v>248</v>
      </c>
      <c r="B73" s="235">
        <f t="shared" si="49"/>
        <v>9.8867000000000012</v>
      </c>
      <c r="C73" s="235">
        <f t="shared" si="49"/>
        <v>17.796060000000001</v>
      </c>
      <c r="D73" s="235">
        <f t="shared" si="16"/>
        <v>27.682760000000002</v>
      </c>
      <c r="E73" s="236">
        <v>1</v>
      </c>
      <c r="F73" s="237">
        <f t="shared" si="50"/>
        <v>28.84</v>
      </c>
      <c r="G73" s="248">
        <f t="shared" si="46"/>
        <v>41515.281516800002</v>
      </c>
      <c r="H73" s="250">
        <f t="shared" ref="H73:H79" si="51">ROUND(F73*(1+$H$10),2)</f>
        <v>29.94</v>
      </c>
      <c r="I73" s="248">
        <f t="shared" ref="I73:I79" si="52">+H73*D73*E73*52</f>
        <v>43098.7353888</v>
      </c>
      <c r="J73" s="251">
        <f t="shared" ref="J73:K79" si="53">+H73-F73</f>
        <v>1.1000000000000014</v>
      </c>
      <c r="K73" s="252">
        <f t="shared" si="53"/>
        <v>1583.4538719999982</v>
      </c>
      <c r="L73" s="253">
        <f t="shared" ref="L73:L79" si="54">J73/F73</f>
        <v>3.8141470180305184E-2</v>
      </c>
      <c r="M73" s="249">
        <f t="shared" ref="M73:M79" si="55">+M72</f>
        <v>200</v>
      </c>
      <c r="N73" s="208">
        <f t="shared" ref="N73:N79" si="56">+D73*E73*M73*52/2000</f>
        <v>143.95035200000001</v>
      </c>
      <c r="O73" s="255">
        <f t="shared" si="47"/>
        <v>15114.786960000001</v>
      </c>
      <c r="P73" s="210">
        <f t="shared" ref="P73:P79" si="57">+O73/I73</f>
        <v>0.35070140280561124</v>
      </c>
      <c r="Q73" s="212">
        <f t="shared" ref="Q73:Q79" si="58">+P73*H73</f>
        <v>10.500000000000002</v>
      </c>
      <c r="R73" s="212">
        <f t="shared" ref="R73:R79" si="59">+H73-Q73</f>
        <v>19.439999999999998</v>
      </c>
      <c r="V73" s="234">
        <v>10</v>
      </c>
      <c r="W73" s="234">
        <v>18</v>
      </c>
      <c r="X73" s="234">
        <f t="shared" si="48"/>
        <v>28</v>
      </c>
    </row>
    <row r="74" spans="1:24" ht="12" customHeight="1">
      <c r="A74" s="234" t="s">
        <v>249</v>
      </c>
      <c r="B74" s="235">
        <f t="shared" si="49"/>
        <v>0</v>
      </c>
      <c r="C74" s="235">
        <f t="shared" si="49"/>
        <v>5.9320200000000005</v>
      </c>
      <c r="D74" s="235">
        <f t="shared" si="16"/>
        <v>5.9320200000000005</v>
      </c>
      <c r="E74" s="236">
        <v>1</v>
      </c>
      <c r="F74" s="237">
        <f t="shared" si="50"/>
        <v>28.84</v>
      </c>
      <c r="G74" s="248">
        <f t="shared" si="46"/>
        <v>8896.1317536000006</v>
      </c>
      <c r="H74" s="250">
        <f t="shared" si="51"/>
        <v>29.94</v>
      </c>
      <c r="I74" s="248">
        <f t="shared" si="52"/>
        <v>9235.4432976000007</v>
      </c>
      <c r="J74" s="251">
        <f t="shared" si="53"/>
        <v>1.1000000000000014</v>
      </c>
      <c r="K74" s="252">
        <f t="shared" si="53"/>
        <v>339.31154400000014</v>
      </c>
      <c r="L74" s="253">
        <f t="shared" si="54"/>
        <v>3.8141470180305184E-2</v>
      </c>
      <c r="M74" s="249">
        <f t="shared" si="55"/>
        <v>200</v>
      </c>
      <c r="N74" s="208">
        <f t="shared" si="56"/>
        <v>30.846503999999999</v>
      </c>
      <c r="O74" s="255">
        <f t="shared" si="47"/>
        <v>3238.88292</v>
      </c>
      <c r="P74" s="210">
        <f t="shared" si="57"/>
        <v>0.35070140280561118</v>
      </c>
      <c r="Q74" s="212">
        <f t="shared" si="58"/>
        <v>10.5</v>
      </c>
      <c r="R74" s="212">
        <f t="shared" si="59"/>
        <v>19.440000000000001</v>
      </c>
      <c r="V74" s="234">
        <v>0</v>
      </c>
      <c r="W74" s="234">
        <v>6</v>
      </c>
      <c r="X74" s="234">
        <f t="shared" si="48"/>
        <v>6</v>
      </c>
    </row>
    <row r="75" spans="1:24" ht="12" customHeight="1">
      <c r="A75" s="234" t="s">
        <v>250</v>
      </c>
      <c r="B75" s="235">
        <f t="shared" si="49"/>
        <v>0</v>
      </c>
      <c r="C75" s="235">
        <f t="shared" si="49"/>
        <v>3.9546800000000002</v>
      </c>
      <c r="D75" s="235">
        <f t="shared" si="16"/>
        <v>3.9546800000000002</v>
      </c>
      <c r="E75" s="236">
        <v>1</v>
      </c>
      <c r="F75" s="237">
        <f t="shared" si="50"/>
        <v>28.84</v>
      </c>
      <c r="G75" s="248">
        <f t="shared" si="46"/>
        <v>5930.7545024000001</v>
      </c>
      <c r="H75" s="250">
        <f t="shared" si="51"/>
        <v>29.94</v>
      </c>
      <c r="I75" s="248">
        <f t="shared" si="52"/>
        <v>6156.9621984000005</v>
      </c>
      <c r="J75" s="251">
        <f t="shared" si="53"/>
        <v>1.1000000000000014</v>
      </c>
      <c r="K75" s="252">
        <f t="shared" si="53"/>
        <v>226.2076960000004</v>
      </c>
      <c r="L75" s="253">
        <f t="shared" si="54"/>
        <v>3.8141470180305184E-2</v>
      </c>
      <c r="M75" s="249">
        <f t="shared" si="55"/>
        <v>200</v>
      </c>
      <c r="N75" s="208">
        <f t="shared" si="56"/>
        <v>20.564336000000001</v>
      </c>
      <c r="O75" s="255">
        <f t="shared" si="47"/>
        <v>2159.2552800000003</v>
      </c>
      <c r="P75" s="210">
        <f t="shared" si="57"/>
        <v>0.35070140280561124</v>
      </c>
      <c r="Q75" s="212">
        <f t="shared" si="58"/>
        <v>10.500000000000002</v>
      </c>
      <c r="R75" s="212">
        <f t="shared" si="59"/>
        <v>19.439999999999998</v>
      </c>
      <c r="W75" s="234">
        <v>4</v>
      </c>
      <c r="X75" s="234">
        <f t="shared" si="48"/>
        <v>4</v>
      </c>
    </row>
    <row r="76" spans="1:24" ht="12" customHeight="1">
      <c r="A76" s="234" t="s">
        <v>251</v>
      </c>
      <c r="B76" s="235">
        <f t="shared" si="49"/>
        <v>0</v>
      </c>
      <c r="C76" s="235">
        <f t="shared" si="49"/>
        <v>4.9433500000000006</v>
      </c>
      <c r="D76" s="235">
        <f t="shared" si="16"/>
        <v>4.9433500000000006</v>
      </c>
      <c r="E76" s="236">
        <v>1</v>
      </c>
      <c r="F76" s="237">
        <f t="shared" si="50"/>
        <v>28.84</v>
      </c>
      <c r="G76" s="248">
        <f t="shared" si="46"/>
        <v>7413.4431279999999</v>
      </c>
      <c r="H76" s="250">
        <f t="shared" si="51"/>
        <v>29.94</v>
      </c>
      <c r="I76" s="248">
        <f t="shared" si="52"/>
        <v>7696.2027480000006</v>
      </c>
      <c r="J76" s="251">
        <f t="shared" si="53"/>
        <v>1.1000000000000014</v>
      </c>
      <c r="K76" s="252">
        <f t="shared" si="53"/>
        <v>282.75962000000072</v>
      </c>
      <c r="L76" s="253">
        <f t="shared" si="54"/>
        <v>3.8141470180305184E-2</v>
      </c>
      <c r="M76" s="249">
        <f t="shared" si="55"/>
        <v>200</v>
      </c>
      <c r="N76" s="208">
        <f t="shared" si="56"/>
        <v>25.70542</v>
      </c>
      <c r="O76" s="255">
        <f t="shared" si="47"/>
        <v>2699.0691000000002</v>
      </c>
      <c r="P76" s="210">
        <f t="shared" si="57"/>
        <v>0.35070140280561124</v>
      </c>
      <c r="Q76" s="212">
        <f t="shared" si="58"/>
        <v>10.500000000000002</v>
      </c>
      <c r="R76" s="212">
        <f t="shared" si="59"/>
        <v>19.439999999999998</v>
      </c>
      <c r="W76" s="234">
        <v>5</v>
      </c>
      <c r="X76" s="234">
        <f t="shared" si="48"/>
        <v>5</v>
      </c>
    </row>
    <row r="77" spans="1:24">
      <c r="A77" s="234" t="s">
        <v>252</v>
      </c>
      <c r="B77" s="235">
        <f t="shared" si="49"/>
        <v>7.9093600000000004</v>
      </c>
      <c r="C77" s="235">
        <f t="shared" si="49"/>
        <v>0</v>
      </c>
      <c r="D77" s="235">
        <f t="shared" si="16"/>
        <v>7.9093600000000004</v>
      </c>
      <c r="E77" s="236">
        <v>1</v>
      </c>
      <c r="F77" s="237">
        <f t="shared" si="50"/>
        <v>28.84</v>
      </c>
      <c r="G77" s="248">
        <f t="shared" si="46"/>
        <v>11861.5090048</v>
      </c>
      <c r="H77" s="250">
        <f t="shared" si="51"/>
        <v>29.94</v>
      </c>
      <c r="I77" s="248">
        <f t="shared" si="52"/>
        <v>12313.924396800001</v>
      </c>
      <c r="J77" s="251">
        <f t="shared" si="53"/>
        <v>1.1000000000000014</v>
      </c>
      <c r="K77" s="252">
        <f t="shared" si="53"/>
        <v>452.41539200000079</v>
      </c>
      <c r="L77" s="253">
        <f t="shared" si="54"/>
        <v>3.8141470180305184E-2</v>
      </c>
      <c r="M77" s="249">
        <f t="shared" si="55"/>
        <v>200</v>
      </c>
      <c r="N77" s="208">
        <f t="shared" si="56"/>
        <v>41.128672000000002</v>
      </c>
      <c r="O77" s="255">
        <f t="shared" si="47"/>
        <v>4318.5105600000006</v>
      </c>
      <c r="P77" s="210">
        <f t="shared" si="57"/>
        <v>0.35070140280561124</v>
      </c>
      <c r="Q77" s="212">
        <f t="shared" si="58"/>
        <v>10.500000000000002</v>
      </c>
      <c r="R77" s="212">
        <f t="shared" si="59"/>
        <v>19.439999999999998</v>
      </c>
      <c r="V77" s="234">
        <v>8</v>
      </c>
      <c r="X77" s="234">
        <f t="shared" si="48"/>
        <v>8</v>
      </c>
    </row>
    <row r="78" spans="1:24">
      <c r="A78" s="234" t="s">
        <v>253</v>
      </c>
      <c r="B78" s="235">
        <f t="shared" si="49"/>
        <v>7.9093600000000004</v>
      </c>
      <c r="C78" s="235">
        <f t="shared" si="49"/>
        <v>3.9546800000000002</v>
      </c>
      <c r="D78" s="235">
        <f t="shared" si="16"/>
        <v>11.864040000000001</v>
      </c>
      <c r="E78" s="236">
        <v>2</v>
      </c>
      <c r="F78" s="237">
        <f t="shared" si="50"/>
        <v>28.84</v>
      </c>
      <c r="G78" s="248">
        <f t="shared" si="46"/>
        <v>35584.527014400002</v>
      </c>
      <c r="H78" s="250">
        <f t="shared" si="51"/>
        <v>29.94</v>
      </c>
      <c r="I78" s="248">
        <f t="shared" si="52"/>
        <v>36941.773190400003</v>
      </c>
      <c r="J78" s="251">
        <f t="shared" si="53"/>
        <v>1.1000000000000014</v>
      </c>
      <c r="K78" s="252">
        <f t="shared" si="53"/>
        <v>1357.2461760000006</v>
      </c>
      <c r="L78" s="253">
        <f t="shared" si="54"/>
        <v>3.8141470180305184E-2</v>
      </c>
      <c r="M78" s="249">
        <f t="shared" si="55"/>
        <v>200</v>
      </c>
      <c r="N78" s="208">
        <f t="shared" si="56"/>
        <v>123.386016</v>
      </c>
      <c r="O78" s="255">
        <f t="shared" si="47"/>
        <v>12955.53168</v>
      </c>
      <c r="P78" s="210">
        <f t="shared" si="57"/>
        <v>0.35070140280561118</v>
      </c>
      <c r="Q78" s="212">
        <f t="shared" si="58"/>
        <v>10.5</v>
      </c>
      <c r="R78" s="212">
        <f t="shared" si="59"/>
        <v>19.440000000000001</v>
      </c>
      <c r="V78" s="234">
        <v>8</v>
      </c>
      <c r="W78" s="234">
        <v>4</v>
      </c>
      <c r="X78" s="234">
        <f t="shared" si="48"/>
        <v>12</v>
      </c>
    </row>
    <row r="79" spans="1:24" ht="16.5">
      <c r="A79" s="234" t="s">
        <v>254</v>
      </c>
      <c r="B79" s="256">
        <f t="shared" si="49"/>
        <v>0.98867000000000005</v>
      </c>
      <c r="C79" s="256">
        <f t="shared" si="49"/>
        <v>0</v>
      </c>
      <c r="D79" s="256">
        <f t="shared" si="16"/>
        <v>0.98867000000000005</v>
      </c>
      <c r="E79" s="269">
        <v>5</v>
      </c>
      <c r="F79" s="237">
        <f t="shared" si="50"/>
        <v>28.84</v>
      </c>
      <c r="G79" s="257">
        <f t="shared" si="46"/>
        <v>7413.4431279999999</v>
      </c>
      <c r="H79" s="250">
        <f t="shared" si="51"/>
        <v>29.94</v>
      </c>
      <c r="I79" s="257">
        <f t="shared" si="52"/>
        <v>7696.2027480000006</v>
      </c>
      <c r="J79" s="251">
        <f t="shared" si="53"/>
        <v>1.1000000000000014</v>
      </c>
      <c r="K79" s="258">
        <f t="shared" si="53"/>
        <v>282.75962000000072</v>
      </c>
      <c r="L79" s="253">
        <f t="shared" si="54"/>
        <v>3.8141470180305184E-2</v>
      </c>
      <c r="M79" s="249">
        <f t="shared" si="55"/>
        <v>200</v>
      </c>
      <c r="N79" s="259">
        <f t="shared" si="56"/>
        <v>25.70542</v>
      </c>
      <c r="O79" s="260">
        <f t="shared" si="47"/>
        <v>2699.0691000000002</v>
      </c>
      <c r="P79" s="210">
        <f t="shared" si="57"/>
        <v>0.35070140280561124</v>
      </c>
      <c r="Q79" s="212">
        <f t="shared" si="58"/>
        <v>10.500000000000002</v>
      </c>
      <c r="R79" s="212">
        <f t="shared" si="59"/>
        <v>19.439999999999998</v>
      </c>
      <c r="V79" s="261">
        <v>1</v>
      </c>
      <c r="W79" s="261"/>
      <c r="X79" s="261">
        <f t="shared" si="48"/>
        <v>1</v>
      </c>
    </row>
    <row r="80" spans="1:24" ht="16.5">
      <c r="B80" s="262">
        <f>SUM(B70:B79)</f>
        <v>329.22711000000004</v>
      </c>
      <c r="C80" s="262">
        <f>SUM(C70:C79)</f>
        <v>170.05124000000001</v>
      </c>
      <c r="D80" s="262">
        <f>SUM(D70:D79)</f>
        <v>499.27835000000005</v>
      </c>
      <c r="E80" s="263"/>
      <c r="G80" s="238">
        <f>SUM(G71:G79)</f>
        <v>713173.22891360009</v>
      </c>
      <c r="H80" s="238"/>
      <c r="I80" s="238">
        <f>SUM(I71:I79)</f>
        <v>740374.70435760019</v>
      </c>
      <c r="J80" s="238"/>
      <c r="K80" s="238">
        <f>SUM(K71:K79)</f>
        <v>27201.475444000058</v>
      </c>
      <c r="L80" s="238"/>
      <c r="M80" s="238"/>
      <c r="N80" s="244">
        <f>SUM(N71:N79)</f>
        <v>2472.8614039999993</v>
      </c>
      <c r="O80" s="238">
        <f>SUM(O71:O79)</f>
        <v>259650.44742000001</v>
      </c>
      <c r="V80" s="264">
        <f>SUM(V70:V79)</f>
        <v>333</v>
      </c>
      <c r="W80" s="264">
        <f>SUM(W70:W79)</f>
        <v>172</v>
      </c>
      <c r="X80" s="264">
        <f>SUM(X70:X79)</f>
        <v>505</v>
      </c>
    </row>
    <row r="81" spans="1:24">
      <c r="B81" s="235"/>
      <c r="C81" s="235"/>
      <c r="D81" s="235"/>
    </row>
    <row r="82" spans="1:24">
      <c r="B82" s="235"/>
      <c r="C82" s="235"/>
      <c r="D82" s="235"/>
    </row>
    <row r="83" spans="1:24">
      <c r="A83" s="234" t="s">
        <v>255</v>
      </c>
      <c r="B83" s="235">
        <f>+V83*(1-$D$5)</f>
        <v>19.773400000000002</v>
      </c>
      <c r="C83" s="235">
        <f>+W83*(1-$D$5)</f>
        <v>7.9093600000000004</v>
      </c>
      <c r="D83" s="235">
        <f t="shared" si="16"/>
        <v>27.682760000000002</v>
      </c>
      <c r="E83" s="236">
        <v>0.5</v>
      </c>
      <c r="F83" s="237">
        <v>37.61</v>
      </c>
      <c r="G83" s="248">
        <f t="shared" ref="G83:G92" si="60">+F83*E83*D83*52</f>
        <v>27069.863693600004</v>
      </c>
      <c r="H83" s="250">
        <f>ROUND(F83*(1+$H$10),2)</f>
        <v>39.049999999999997</v>
      </c>
      <c r="I83" s="248">
        <f>+H83*D83*E83*52</f>
        <v>28106.306228000001</v>
      </c>
      <c r="J83" s="251">
        <f>+H83-F83</f>
        <v>1.4399999999999977</v>
      </c>
      <c r="K83" s="252">
        <f>+I83-G83</f>
        <v>1036.4425343999974</v>
      </c>
      <c r="L83" s="253">
        <f>J83/F83</f>
        <v>3.8287689444296669E-2</v>
      </c>
      <c r="M83" s="249">
        <f>+$M$55*3</f>
        <v>300</v>
      </c>
      <c r="N83" s="208">
        <f>+D83*E83*M83*52/2000</f>
        <v>107.96276400000002</v>
      </c>
      <c r="O83" s="255">
        <f t="shared" ref="O83:O92" si="61">+$O$10*N83</f>
        <v>11336.090220000002</v>
      </c>
      <c r="P83" s="210">
        <f>+O83/I83</f>
        <v>0.40332906530089635</v>
      </c>
      <c r="Q83" s="212">
        <f>+P83*H83</f>
        <v>15.750000000000002</v>
      </c>
      <c r="R83" s="212">
        <f>+H83-Q83</f>
        <v>23.299999999999997</v>
      </c>
      <c r="V83" s="234">
        <v>20</v>
      </c>
      <c r="W83" s="234">
        <v>8</v>
      </c>
      <c r="X83" s="234">
        <f t="shared" ref="X83:X92" si="62">+W83+V83</f>
        <v>28</v>
      </c>
    </row>
    <row r="84" spans="1:24">
      <c r="A84" s="234" t="s">
        <v>256</v>
      </c>
      <c r="B84" s="235">
        <f t="shared" ref="B84:C92" si="63">+V84*(1-$D$5)</f>
        <v>212.56405000000001</v>
      </c>
      <c r="C84" s="235">
        <f t="shared" si="63"/>
        <v>45.478819999999999</v>
      </c>
      <c r="D84" s="235">
        <f t="shared" si="16"/>
        <v>258.04286999999999</v>
      </c>
      <c r="E84" s="236">
        <v>1</v>
      </c>
      <c r="F84" s="237">
        <f>+F83</f>
        <v>37.61</v>
      </c>
      <c r="G84" s="248">
        <f t="shared" si="60"/>
        <v>504659.60171639995</v>
      </c>
      <c r="H84" s="250">
        <f>ROUND(F84*(1+$H$10),2)</f>
        <v>39.049999999999997</v>
      </c>
      <c r="I84" s="248">
        <f>+H84*D84*E84*52</f>
        <v>523981.85182199988</v>
      </c>
      <c r="J84" s="251">
        <f>+H84-F84</f>
        <v>1.4399999999999977</v>
      </c>
      <c r="K84" s="252">
        <f>+I84-G84</f>
        <v>19322.250105599931</v>
      </c>
      <c r="L84" s="253">
        <f>J84/F84</f>
        <v>3.8287689444296669E-2</v>
      </c>
      <c r="M84" s="249">
        <f>+M83</f>
        <v>300</v>
      </c>
      <c r="N84" s="208">
        <f>+D84*E84*M84*52/2000</f>
        <v>2012.7343860000001</v>
      </c>
      <c r="O84" s="255">
        <f t="shared" si="61"/>
        <v>211337.11053000001</v>
      </c>
      <c r="P84" s="210">
        <f>+O84/I84</f>
        <v>0.40332906530089641</v>
      </c>
      <c r="Q84" s="212">
        <f>+P84*H84</f>
        <v>15.750000000000004</v>
      </c>
      <c r="R84" s="212">
        <f>+H84-Q84</f>
        <v>23.299999999999994</v>
      </c>
      <c r="V84" s="234">
        <v>215</v>
      </c>
      <c r="W84" s="234">
        <v>46</v>
      </c>
      <c r="X84" s="234">
        <f t="shared" si="62"/>
        <v>261</v>
      </c>
    </row>
    <row r="85" spans="1:24">
      <c r="A85" s="234" t="s">
        <v>257</v>
      </c>
      <c r="B85" s="235">
        <f t="shared" si="63"/>
        <v>15.818720000000001</v>
      </c>
      <c r="C85" s="235">
        <f t="shared" si="63"/>
        <v>7.9093600000000004</v>
      </c>
      <c r="D85" s="235">
        <f t="shared" si="16"/>
        <v>23.728080000000002</v>
      </c>
      <c r="E85" s="236">
        <v>1</v>
      </c>
      <c r="F85" s="237">
        <f t="shared" ref="F85:F92" si="64">+F84</f>
        <v>37.61</v>
      </c>
      <c r="G85" s="248">
        <f t="shared" si="60"/>
        <v>46405.480617600006</v>
      </c>
      <c r="H85" s="250">
        <f t="shared" ref="H85:H92" si="65">ROUND(F85*(1+$H$10),2)</f>
        <v>39.049999999999997</v>
      </c>
      <c r="I85" s="248">
        <f t="shared" ref="I85:I92" si="66">+H85*D85*E85*52</f>
        <v>48182.239248000005</v>
      </c>
      <c r="J85" s="251">
        <f t="shared" ref="J85:K92" si="67">+H85-F85</f>
        <v>1.4399999999999977</v>
      </c>
      <c r="K85" s="252">
        <f t="shared" si="67"/>
        <v>1776.7586303999997</v>
      </c>
      <c r="L85" s="253">
        <f t="shared" ref="L85:L92" si="68">J85/F85</f>
        <v>3.8287689444296669E-2</v>
      </c>
      <c r="M85" s="249">
        <f t="shared" ref="M85:M92" si="69">+M84</f>
        <v>300</v>
      </c>
      <c r="N85" s="208">
        <f t="shared" ref="N85:N92" si="70">+D85*E85*M85*52/2000</f>
        <v>185.07902400000003</v>
      </c>
      <c r="O85" s="255">
        <f t="shared" si="61"/>
        <v>19433.297520000004</v>
      </c>
      <c r="P85" s="210">
        <f t="shared" ref="P85:P92" si="71">+O85/I85</f>
        <v>0.40332906530089629</v>
      </c>
      <c r="Q85" s="212">
        <f t="shared" ref="Q85:Q92" si="72">+P85*H85</f>
        <v>15.75</v>
      </c>
      <c r="R85" s="212">
        <f t="shared" ref="R85:R92" si="73">+H85-Q85</f>
        <v>23.299999999999997</v>
      </c>
      <c r="V85" s="234">
        <v>16</v>
      </c>
      <c r="W85" s="234">
        <v>8</v>
      </c>
      <c r="X85" s="234">
        <f t="shared" si="62"/>
        <v>24</v>
      </c>
    </row>
    <row r="86" spans="1:24">
      <c r="A86" s="234" t="s">
        <v>258</v>
      </c>
      <c r="B86" s="235">
        <f t="shared" si="63"/>
        <v>7.9093600000000004</v>
      </c>
      <c r="C86" s="235">
        <f t="shared" si="63"/>
        <v>0</v>
      </c>
      <c r="D86" s="235">
        <f t="shared" si="16"/>
        <v>7.9093600000000004</v>
      </c>
      <c r="E86" s="236">
        <v>1</v>
      </c>
      <c r="F86" s="237">
        <f t="shared" si="64"/>
        <v>37.61</v>
      </c>
      <c r="G86" s="248">
        <f t="shared" si="60"/>
        <v>15468.493539200001</v>
      </c>
      <c r="H86" s="250">
        <f t="shared" si="65"/>
        <v>39.049999999999997</v>
      </c>
      <c r="I86" s="248">
        <f t="shared" si="66"/>
        <v>16060.746415999998</v>
      </c>
      <c r="J86" s="251">
        <f t="shared" si="67"/>
        <v>1.4399999999999977</v>
      </c>
      <c r="K86" s="252">
        <f t="shared" si="67"/>
        <v>592.25287679999747</v>
      </c>
      <c r="L86" s="253">
        <f t="shared" si="68"/>
        <v>3.8287689444296669E-2</v>
      </c>
      <c r="M86" s="249">
        <f t="shared" si="69"/>
        <v>300</v>
      </c>
      <c r="N86" s="208">
        <f t="shared" si="70"/>
        <v>61.693007999999999</v>
      </c>
      <c r="O86" s="255">
        <f t="shared" si="61"/>
        <v>6477.76584</v>
      </c>
      <c r="P86" s="210">
        <f t="shared" si="71"/>
        <v>0.40332906530089635</v>
      </c>
      <c r="Q86" s="212">
        <f t="shared" si="72"/>
        <v>15.750000000000002</v>
      </c>
      <c r="R86" s="212">
        <f t="shared" si="73"/>
        <v>23.299999999999997</v>
      </c>
      <c r="V86" s="234">
        <v>8</v>
      </c>
      <c r="X86" s="234">
        <f t="shared" si="62"/>
        <v>8</v>
      </c>
    </row>
    <row r="87" spans="1:24">
      <c r="A87" s="234" t="s">
        <v>259</v>
      </c>
      <c r="B87" s="235">
        <f t="shared" si="63"/>
        <v>0</v>
      </c>
      <c r="C87" s="235">
        <f t="shared" si="63"/>
        <v>8.8980300000000003</v>
      </c>
      <c r="D87" s="235">
        <f t="shared" si="16"/>
        <v>8.8980300000000003</v>
      </c>
      <c r="E87" s="236">
        <v>1</v>
      </c>
      <c r="F87" s="237">
        <f t="shared" si="64"/>
        <v>37.61</v>
      </c>
      <c r="G87" s="248">
        <f t="shared" si="60"/>
        <v>17402.055231599999</v>
      </c>
      <c r="H87" s="250">
        <f t="shared" si="65"/>
        <v>39.049999999999997</v>
      </c>
      <c r="I87" s="248">
        <f t="shared" si="66"/>
        <v>18068.339717999999</v>
      </c>
      <c r="J87" s="251">
        <f t="shared" si="67"/>
        <v>1.4399999999999977</v>
      </c>
      <c r="K87" s="252">
        <f t="shared" si="67"/>
        <v>666.28448639999988</v>
      </c>
      <c r="L87" s="253">
        <f t="shared" si="68"/>
        <v>3.8287689444296669E-2</v>
      </c>
      <c r="M87" s="249">
        <f t="shared" si="69"/>
        <v>300</v>
      </c>
      <c r="N87" s="208">
        <f t="shared" si="70"/>
        <v>69.404634000000001</v>
      </c>
      <c r="O87" s="255">
        <f t="shared" si="61"/>
        <v>7287.48657</v>
      </c>
      <c r="P87" s="210">
        <f t="shared" si="71"/>
        <v>0.40332906530089629</v>
      </c>
      <c r="Q87" s="212">
        <f t="shared" si="72"/>
        <v>15.75</v>
      </c>
      <c r="R87" s="212">
        <f t="shared" si="73"/>
        <v>23.299999999999997</v>
      </c>
      <c r="W87" s="234">
        <v>9</v>
      </c>
      <c r="X87" s="234">
        <f t="shared" si="62"/>
        <v>9</v>
      </c>
    </row>
    <row r="88" spans="1:24">
      <c r="A88" s="234" t="s">
        <v>260</v>
      </c>
      <c r="B88" s="235">
        <f t="shared" si="63"/>
        <v>30.648770000000003</v>
      </c>
      <c r="C88" s="235">
        <f t="shared" si="63"/>
        <v>3.9546800000000002</v>
      </c>
      <c r="D88" s="235">
        <f t="shared" si="16"/>
        <v>34.603450000000002</v>
      </c>
      <c r="E88" s="236">
        <v>2</v>
      </c>
      <c r="F88" s="237">
        <f t="shared" si="64"/>
        <v>37.61</v>
      </c>
      <c r="G88" s="248">
        <f t="shared" si="60"/>
        <v>135349.31846800001</v>
      </c>
      <c r="H88" s="250">
        <f t="shared" si="65"/>
        <v>39.049999999999997</v>
      </c>
      <c r="I88" s="248">
        <f t="shared" si="66"/>
        <v>140531.53114000001</v>
      </c>
      <c r="J88" s="251">
        <f t="shared" si="67"/>
        <v>1.4399999999999977</v>
      </c>
      <c r="K88" s="252">
        <f t="shared" si="67"/>
        <v>5182.2126719999942</v>
      </c>
      <c r="L88" s="253">
        <f t="shared" si="68"/>
        <v>3.8287689444296669E-2</v>
      </c>
      <c r="M88" s="249">
        <f t="shared" si="69"/>
        <v>300</v>
      </c>
      <c r="N88" s="208">
        <f t="shared" si="70"/>
        <v>539.81381999999996</v>
      </c>
      <c r="O88" s="255">
        <f t="shared" si="61"/>
        <v>56680.451099999998</v>
      </c>
      <c r="P88" s="210">
        <f t="shared" si="71"/>
        <v>0.40332906530089624</v>
      </c>
      <c r="Q88" s="212">
        <f t="shared" si="72"/>
        <v>15.749999999999996</v>
      </c>
      <c r="R88" s="212">
        <f t="shared" si="73"/>
        <v>23.3</v>
      </c>
      <c r="V88" s="234">
        <v>31</v>
      </c>
      <c r="W88" s="234">
        <v>4</v>
      </c>
      <c r="X88" s="234">
        <f t="shared" si="62"/>
        <v>35</v>
      </c>
    </row>
    <row r="89" spans="1:24">
      <c r="A89" s="234" t="s">
        <v>261</v>
      </c>
      <c r="B89" s="235">
        <f t="shared" si="63"/>
        <v>11.864040000000001</v>
      </c>
      <c r="C89" s="235">
        <f t="shared" si="63"/>
        <v>0</v>
      </c>
      <c r="D89" s="235">
        <f t="shared" si="16"/>
        <v>11.864040000000001</v>
      </c>
      <c r="E89" s="236">
        <v>2</v>
      </c>
      <c r="F89" s="237">
        <f t="shared" si="64"/>
        <v>37.61</v>
      </c>
      <c r="G89" s="248">
        <f t="shared" si="60"/>
        <v>46405.480617600006</v>
      </c>
      <c r="H89" s="250">
        <f t="shared" si="65"/>
        <v>39.049999999999997</v>
      </c>
      <c r="I89" s="248">
        <f t="shared" si="66"/>
        <v>48182.239248000005</v>
      </c>
      <c r="J89" s="251">
        <f t="shared" si="67"/>
        <v>1.4399999999999977</v>
      </c>
      <c r="K89" s="252">
        <f t="shared" si="67"/>
        <v>1776.7586303999997</v>
      </c>
      <c r="L89" s="253">
        <f t="shared" si="68"/>
        <v>3.8287689444296669E-2</v>
      </c>
      <c r="M89" s="249">
        <f t="shared" si="69"/>
        <v>300</v>
      </c>
      <c r="N89" s="208">
        <f t="shared" si="70"/>
        <v>185.07902400000003</v>
      </c>
      <c r="O89" s="255">
        <f t="shared" si="61"/>
        <v>19433.297520000004</v>
      </c>
      <c r="P89" s="210">
        <f t="shared" si="71"/>
        <v>0.40332906530089629</v>
      </c>
      <c r="Q89" s="212">
        <f t="shared" si="72"/>
        <v>15.75</v>
      </c>
      <c r="R89" s="212">
        <f t="shared" si="73"/>
        <v>23.299999999999997</v>
      </c>
      <c r="V89" s="234">
        <v>12</v>
      </c>
      <c r="X89" s="234">
        <f t="shared" si="62"/>
        <v>12</v>
      </c>
    </row>
    <row r="90" spans="1:24">
      <c r="A90" s="234" t="s">
        <v>262</v>
      </c>
      <c r="B90" s="235">
        <f t="shared" si="63"/>
        <v>0</v>
      </c>
      <c r="C90" s="235">
        <f t="shared" si="63"/>
        <v>3.9546800000000002</v>
      </c>
      <c r="D90" s="235">
        <f t="shared" si="16"/>
        <v>3.9546800000000002</v>
      </c>
      <c r="E90" s="236">
        <v>2</v>
      </c>
      <c r="F90" s="237">
        <f t="shared" si="64"/>
        <v>37.61</v>
      </c>
      <c r="G90" s="248">
        <f t="shared" si="60"/>
        <v>15468.493539200001</v>
      </c>
      <c r="H90" s="250">
        <f t="shared" si="65"/>
        <v>39.049999999999997</v>
      </c>
      <c r="I90" s="248">
        <f t="shared" si="66"/>
        <v>16060.746415999998</v>
      </c>
      <c r="J90" s="251">
        <f t="shared" si="67"/>
        <v>1.4399999999999977</v>
      </c>
      <c r="K90" s="252">
        <f t="shared" si="67"/>
        <v>592.25287679999747</v>
      </c>
      <c r="L90" s="253">
        <f t="shared" si="68"/>
        <v>3.8287689444296669E-2</v>
      </c>
      <c r="M90" s="249">
        <f t="shared" si="69"/>
        <v>300</v>
      </c>
      <c r="N90" s="208">
        <f t="shared" si="70"/>
        <v>61.693007999999999</v>
      </c>
      <c r="O90" s="255">
        <f t="shared" si="61"/>
        <v>6477.76584</v>
      </c>
      <c r="P90" s="210">
        <f t="shared" si="71"/>
        <v>0.40332906530089635</v>
      </c>
      <c r="Q90" s="212">
        <f t="shared" si="72"/>
        <v>15.750000000000002</v>
      </c>
      <c r="R90" s="212">
        <f t="shared" si="73"/>
        <v>23.299999999999997</v>
      </c>
      <c r="W90" s="234">
        <v>4</v>
      </c>
      <c r="X90" s="234">
        <f t="shared" si="62"/>
        <v>4</v>
      </c>
    </row>
    <row r="91" spans="1:24">
      <c r="A91" s="234" t="s">
        <v>263</v>
      </c>
      <c r="B91" s="235">
        <f t="shared" si="63"/>
        <v>11.864040000000001</v>
      </c>
      <c r="C91" s="235">
        <f t="shared" si="63"/>
        <v>0</v>
      </c>
      <c r="D91" s="235">
        <f t="shared" si="16"/>
        <v>11.864040000000001</v>
      </c>
      <c r="E91" s="236">
        <v>2</v>
      </c>
      <c r="F91" s="237">
        <f t="shared" si="64"/>
        <v>37.61</v>
      </c>
      <c r="G91" s="248">
        <f t="shared" si="60"/>
        <v>46405.480617600006</v>
      </c>
      <c r="H91" s="250">
        <f t="shared" si="65"/>
        <v>39.049999999999997</v>
      </c>
      <c r="I91" s="248">
        <f t="shared" si="66"/>
        <v>48182.239248000005</v>
      </c>
      <c r="J91" s="251">
        <f t="shared" si="67"/>
        <v>1.4399999999999977</v>
      </c>
      <c r="K91" s="252">
        <f t="shared" si="67"/>
        <v>1776.7586303999997</v>
      </c>
      <c r="L91" s="253">
        <f t="shared" si="68"/>
        <v>3.8287689444296669E-2</v>
      </c>
      <c r="M91" s="249">
        <f t="shared" si="69"/>
        <v>300</v>
      </c>
      <c r="N91" s="208">
        <f t="shared" si="70"/>
        <v>185.07902400000003</v>
      </c>
      <c r="O91" s="255">
        <f t="shared" si="61"/>
        <v>19433.297520000004</v>
      </c>
      <c r="P91" s="210">
        <f t="shared" si="71"/>
        <v>0.40332906530089629</v>
      </c>
      <c r="Q91" s="212">
        <f t="shared" si="72"/>
        <v>15.75</v>
      </c>
      <c r="R91" s="212">
        <f t="shared" si="73"/>
        <v>23.299999999999997</v>
      </c>
      <c r="V91" s="234">
        <v>12</v>
      </c>
      <c r="X91" s="234">
        <f t="shared" si="62"/>
        <v>12</v>
      </c>
    </row>
    <row r="92" spans="1:24" ht="16.5">
      <c r="A92" s="234" t="s">
        <v>264</v>
      </c>
      <c r="B92" s="256">
        <f t="shared" si="63"/>
        <v>7.9093600000000004</v>
      </c>
      <c r="C92" s="256">
        <f t="shared" si="63"/>
        <v>0</v>
      </c>
      <c r="D92" s="235">
        <f t="shared" si="16"/>
        <v>7.9093600000000004</v>
      </c>
      <c r="E92" s="236">
        <v>3</v>
      </c>
      <c r="F92" s="237">
        <f t="shared" si="64"/>
        <v>37.61</v>
      </c>
      <c r="G92" s="257">
        <f t="shared" si="60"/>
        <v>46405.480617600006</v>
      </c>
      <c r="H92" s="250">
        <f t="shared" si="65"/>
        <v>39.049999999999997</v>
      </c>
      <c r="I92" s="257">
        <f t="shared" si="66"/>
        <v>48182.239247999998</v>
      </c>
      <c r="J92" s="251">
        <f t="shared" si="67"/>
        <v>1.4399999999999977</v>
      </c>
      <c r="K92" s="258">
        <f t="shared" si="67"/>
        <v>1776.7586303999924</v>
      </c>
      <c r="L92" s="253">
        <f t="shared" si="68"/>
        <v>3.8287689444296669E-2</v>
      </c>
      <c r="M92" s="249">
        <f t="shared" si="69"/>
        <v>300</v>
      </c>
      <c r="N92" s="259">
        <f t="shared" si="70"/>
        <v>185.07902400000003</v>
      </c>
      <c r="O92" s="260">
        <f t="shared" si="61"/>
        <v>19433.297520000004</v>
      </c>
      <c r="P92" s="210">
        <f t="shared" si="71"/>
        <v>0.40332906530089641</v>
      </c>
      <c r="Q92" s="212">
        <f t="shared" si="72"/>
        <v>15.750000000000004</v>
      </c>
      <c r="R92" s="212">
        <f t="shared" si="73"/>
        <v>23.299999999999994</v>
      </c>
      <c r="V92" s="234">
        <v>8</v>
      </c>
      <c r="X92" s="234">
        <f t="shared" si="62"/>
        <v>8</v>
      </c>
    </row>
    <row r="93" spans="1:24" ht="16.5">
      <c r="B93" s="262">
        <f>SUM(B83:B92)</f>
        <v>318.35174000000001</v>
      </c>
      <c r="C93" s="262">
        <f>SUM(C83:C92)</f>
        <v>78.104929999999996</v>
      </c>
      <c r="D93" s="262">
        <f>SUM(D83:D92)</f>
        <v>396.45666999999997</v>
      </c>
      <c r="E93" s="263"/>
      <c r="G93" s="238">
        <f>SUM(G83:G92)</f>
        <v>901039.74865840015</v>
      </c>
      <c r="H93" s="238"/>
      <c r="I93" s="238">
        <f>SUM(I83:I92)</f>
        <v>935538.47873199964</v>
      </c>
      <c r="J93" s="238"/>
      <c r="K93" s="238">
        <f>SUM(K83:K92)</f>
        <v>34498.730073599909</v>
      </c>
      <c r="L93" s="238"/>
      <c r="M93" s="238"/>
      <c r="N93" s="244">
        <f>SUM(N83:N92)</f>
        <v>3593.6177160000007</v>
      </c>
      <c r="O93" s="238">
        <f>SUM(O83:O92)</f>
        <v>377329.86018000008</v>
      </c>
      <c r="V93" s="264">
        <f>SUM(V83:V92)</f>
        <v>322</v>
      </c>
      <c r="W93" s="264">
        <f>SUM(W83:W92)</f>
        <v>79</v>
      </c>
      <c r="X93" s="264">
        <f>SUM(X83:X92)</f>
        <v>401</v>
      </c>
    </row>
    <row r="94" spans="1:24">
      <c r="B94" s="235"/>
      <c r="C94" s="235"/>
      <c r="D94" s="235"/>
    </row>
    <row r="95" spans="1:24">
      <c r="B95" s="235"/>
      <c r="C95" s="235"/>
      <c r="D95" s="235"/>
    </row>
    <row r="96" spans="1:24">
      <c r="A96" s="234" t="s">
        <v>265</v>
      </c>
      <c r="B96" s="235">
        <f>+V96*(1-$D$5)</f>
        <v>25.70542</v>
      </c>
      <c r="C96" s="235">
        <f>+W96*(1-$D$5)</f>
        <v>7.9093600000000004</v>
      </c>
      <c r="D96" s="235">
        <f t="shared" ref="D96:D159" si="74">+C96+B96</f>
        <v>33.614780000000003</v>
      </c>
      <c r="E96" s="236">
        <v>0.5</v>
      </c>
      <c r="F96" s="237">
        <v>45.68</v>
      </c>
      <c r="G96" s="248">
        <f>+F96*E96*D96*52</f>
        <v>39923.601910400001</v>
      </c>
      <c r="H96" s="250">
        <f>ROUND(F96*(1+$H$10),2)</f>
        <v>47.42</v>
      </c>
      <c r="I96" s="248">
        <f>+H96*D96*E96*52</f>
        <v>41444.334557600007</v>
      </c>
      <c r="J96" s="251">
        <f>+H96-F96</f>
        <v>1.740000000000002</v>
      </c>
      <c r="K96" s="252">
        <f>+I96-G96</f>
        <v>1520.7326472000059</v>
      </c>
      <c r="L96" s="253">
        <f>J96/F96</f>
        <v>3.8091068301225967E-2</v>
      </c>
      <c r="M96" s="249">
        <f>+$M$55*4</f>
        <v>400</v>
      </c>
      <c r="N96" s="208">
        <f>+D96*E96*M96*52/2000</f>
        <v>174.79685600000002</v>
      </c>
      <c r="O96" s="255">
        <f t="shared" ref="O96:O111" si="75">+$O$10*N96</f>
        <v>18353.669880000001</v>
      </c>
      <c r="P96" s="210">
        <f>+O96/I96</f>
        <v>0.44285111767186836</v>
      </c>
      <c r="Q96" s="212">
        <f>+P96*H96</f>
        <v>20.999999999999996</v>
      </c>
      <c r="R96" s="212">
        <f>+H96-Q96</f>
        <v>26.420000000000005</v>
      </c>
      <c r="V96" s="234">
        <v>26</v>
      </c>
      <c r="W96" s="234">
        <v>8</v>
      </c>
      <c r="X96" s="234">
        <f t="shared" ref="X96:X111" si="76">+W96+V96</f>
        <v>34</v>
      </c>
    </row>
    <row r="97" spans="1:24">
      <c r="A97" s="234" t="s">
        <v>266</v>
      </c>
      <c r="B97" s="235">
        <f t="shared" ref="B97:C111" si="77">+V97*(1-$D$5)</f>
        <v>255.07686000000001</v>
      </c>
      <c r="C97" s="235">
        <f t="shared" si="77"/>
        <v>65.252220000000008</v>
      </c>
      <c r="D97" s="235">
        <f t="shared" si="74"/>
        <v>320.32908000000003</v>
      </c>
      <c r="E97" s="236">
        <v>1</v>
      </c>
      <c r="F97" s="237">
        <f>+F96</f>
        <v>45.68</v>
      </c>
      <c r="G97" s="248">
        <f>+F97*E97*D97*52</f>
        <v>760896.88346880011</v>
      </c>
      <c r="H97" s="250">
        <f>ROUND(F97*(1+$H$10),2)</f>
        <v>47.42</v>
      </c>
      <c r="I97" s="248">
        <f>+H97*D97*E97*52</f>
        <v>789880.25862720015</v>
      </c>
      <c r="J97" s="251">
        <f>+H97-F97</f>
        <v>1.740000000000002</v>
      </c>
      <c r="K97" s="252">
        <f>+I97-G97</f>
        <v>28983.375158400042</v>
      </c>
      <c r="L97" s="253">
        <f>J97/F97</f>
        <v>3.8091068301225967E-2</v>
      </c>
      <c r="M97" s="249">
        <f>+M96</f>
        <v>400</v>
      </c>
      <c r="N97" s="208">
        <f>+D97*E97*M97*52/2000</f>
        <v>3331.4224320000003</v>
      </c>
      <c r="O97" s="255">
        <f t="shared" si="75"/>
        <v>349799.35536000005</v>
      </c>
      <c r="P97" s="210">
        <f>+O97/I97</f>
        <v>0.44285111767186841</v>
      </c>
      <c r="Q97" s="212">
        <f>+P97*H97</f>
        <v>21</v>
      </c>
      <c r="R97" s="212">
        <f>+H97-Q97</f>
        <v>26.42</v>
      </c>
      <c r="V97" s="234">
        <v>258</v>
      </c>
      <c r="W97" s="234">
        <v>66</v>
      </c>
      <c r="X97" s="234">
        <f t="shared" si="76"/>
        <v>324</v>
      </c>
    </row>
    <row r="98" spans="1:24">
      <c r="A98" s="234" t="s">
        <v>267</v>
      </c>
      <c r="B98" s="235">
        <f t="shared" si="77"/>
        <v>23.728080000000002</v>
      </c>
      <c r="C98" s="235">
        <f t="shared" si="77"/>
        <v>13.841380000000001</v>
      </c>
      <c r="D98" s="235">
        <f t="shared" si="74"/>
        <v>37.569460000000007</v>
      </c>
      <c r="E98" s="236">
        <v>1</v>
      </c>
      <c r="F98" s="237">
        <f t="shared" ref="F98:F111" si="78">+F97</f>
        <v>45.68</v>
      </c>
      <c r="G98" s="248">
        <f t="shared" ref="G98:G111" si="79">+F98*E98*D98*52</f>
        <v>89240.992505600021</v>
      </c>
      <c r="H98" s="250">
        <f t="shared" ref="H98:H111" si="80">ROUND(F98*(1+$H$10),2)</f>
        <v>47.42</v>
      </c>
      <c r="I98" s="248">
        <f t="shared" ref="I98:I111" si="81">+H98*D98*E98*52</f>
        <v>92640.277246400015</v>
      </c>
      <c r="J98" s="251">
        <f t="shared" ref="J98:K111" si="82">+H98-F98</f>
        <v>1.740000000000002</v>
      </c>
      <c r="K98" s="252">
        <f t="shared" si="82"/>
        <v>3399.2847407999943</v>
      </c>
      <c r="L98" s="253">
        <f t="shared" ref="L98:L111" si="83">J98/F98</f>
        <v>3.8091068301225967E-2</v>
      </c>
      <c r="M98" s="249">
        <f t="shared" ref="M98:M111" si="84">+M97</f>
        <v>400</v>
      </c>
      <c r="N98" s="208">
        <f t="shared" ref="N98:N111" si="85">+D98*E98*M98*52/2000</f>
        <v>390.72238400000009</v>
      </c>
      <c r="O98" s="255">
        <f t="shared" si="75"/>
        <v>41025.850320000012</v>
      </c>
      <c r="P98" s="210">
        <f t="shared" ref="P98:P111" si="86">+O98/I98</f>
        <v>0.44285111767186847</v>
      </c>
      <c r="Q98" s="212">
        <f t="shared" ref="Q98:Q111" si="87">+P98*H98</f>
        <v>21.000000000000004</v>
      </c>
      <c r="R98" s="212">
        <f t="shared" ref="R98:R111" si="88">+H98-Q98</f>
        <v>26.419999999999998</v>
      </c>
      <c r="V98" s="234">
        <v>24</v>
      </c>
      <c r="W98" s="234">
        <v>14</v>
      </c>
      <c r="X98" s="234">
        <f t="shared" si="76"/>
        <v>38</v>
      </c>
    </row>
    <row r="99" spans="1:24">
      <c r="A99" s="234" t="s">
        <v>268</v>
      </c>
      <c r="B99" s="235">
        <f t="shared" si="77"/>
        <v>11.864040000000001</v>
      </c>
      <c r="C99" s="235">
        <f t="shared" si="77"/>
        <v>0</v>
      </c>
      <c r="D99" s="235">
        <f t="shared" si="74"/>
        <v>11.864040000000001</v>
      </c>
      <c r="E99" s="236">
        <v>1</v>
      </c>
      <c r="F99" s="237">
        <f t="shared" si="78"/>
        <v>45.68</v>
      </c>
      <c r="G99" s="248">
        <f t="shared" si="79"/>
        <v>28181.366054400001</v>
      </c>
      <c r="H99" s="250">
        <f t="shared" si="80"/>
        <v>47.42</v>
      </c>
      <c r="I99" s="248">
        <f t="shared" si="81"/>
        <v>29254.8243936</v>
      </c>
      <c r="J99" s="251">
        <f t="shared" si="82"/>
        <v>1.740000000000002</v>
      </c>
      <c r="K99" s="252">
        <f t="shared" si="82"/>
        <v>1073.4583391999986</v>
      </c>
      <c r="L99" s="253">
        <f t="shared" si="83"/>
        <v>3.8091068301225967E-2</v>
      </c>
      <c r="M99" s="249">
        <f t="shared" si="84"/>
        <v>400</v>
      </c>
      <c r="N99" s="208">
        <f t="shared" si="85"/>
        <v>123.386016</v>
      </c>
      <c r="O99" s="255">
        <f t="shared" si="75"/>
        <v>12955.53168</v>
      </c>
      <c r="P99" s="210">
        <f t="shared" si="86"/>
        <v>0.44285111767186841</v>
      </c>
      <c r="Q99" s="212">
        <f t="shared" si="87"/>
        <v>21</v>
      </c>
      <c r="R99" s="212">
        <f t="shared" si="88"/>
        <v>26.42</v>
      </c>
      <c r="V99" s="234">
        <v>12</v>
      </c>
      <c r="X99" s="234">
        <f t="shared" si="76"/>
        <v>12</v>
      </c>
    </row>
    <row r="100" spans="1:24">
      <c r="A100" s="234" t="s">
        <v>269</v>
      </c>
      <c r="B100" s="235">
        <f t="shared" si="77"/>
        <v>11.864040000000001</v>
      </c>
      <c r="C100" s="235">
        <f t="shared" si="77"/>
        <v>0</v>
      </c>
      <c r="D100" s="235">
        <f t="shared" si="74"/>
        <v>11.864040000000001</v>
      </c>
      <c r="E100" s="236">
        <v>1</v>
      </c>
      <c r="F100" s="237">
        <f t="shared" si="78"/>
        <v>45.68</v>
      </c>
      <c r="G100" s="248">
        <f t="shared" si="79"/>
        <v>28181.366054400001</v>
      </c>
      <c r="H100" s="250">
        <f t="shared" si="80"/>
        <v>47.42</v>
      </c>
      <c r="I100" s="248">
        <f t="shared" si="81"/>
        <v>29254.8243936</v>
      </c>
      <c r="J100" s="251">
        <f t="shared" si="82"/>
        <v>1.740000000000002</v>
      </c>
      <c r="K100" s="252">
        <f t="shared" si="82"/>
        <v>1073.4583391999986</v>
      </c>
      <c r="L100" s="253">
        <f t="shared" si="83"/>
        <v>3.8091068301225967E-2</v>
      </c>
      <c r="M100" s="249">
        <f t="shared" si="84"/>
        <v>400</v>
      </c>
      <c r="N100" s="208">
        <f t="shared" si="85"/>
        <v>123.386016</v>
      </c>
      <c r="O100" s="255">
        <f t="shared" si="75"/>
        <v>12955.53168</v>
      </c>
      <c r="P100" s="210">
        <f t="shared" si="86"/>
        <v>0.44285111767186841</v>
      </c>
      <c r="Q100" s="212">
        <f t="shared" si="87"/>
        <v>21</v>
      </c>
      <c r="R100" s="212">
        <f t="shared" si="88"/>
        <v>26.42</v>
      </c>
      <c r="V100" s="234">
        <v>12</v>
      </c>
      <c r="X100" s="234">
        <f t="shared" si="76"/>
        <v>12</v>
      </c>
    </row>
    <row r="101" spans="1:24">
      <c r="A101" s="234" t="s">
        <v>270</v>
      </c>
      <c r="B101" s="235">
        <f t="shared" si="77"/>
        <v>4.9433500000000006</v>
      </c>
      <c r="C101" s="235">
        <f t="shared" si="77"/>
        <v>0</v>
      </c>
      <c r="D101" s="235">
        <f t="shared" si="74"/>
        <v>4.9433500000000006</v>
      </c>
      <c r="E101" s="236">
        <v>1</v>
      </c>
      <c r="F101" s="237">
        <f t="shared" si="78"/>
        <v>45.68</v>
      </c>
      <c r="G101" s="248">
        <f t="shared" si="79"/>
        <v>11742.235856000001</v>
      </c>
      <c r="H101" s="250">
        <f t="shared" si="80"/>
        <v>47.42</v>
      </c>
      <c r="I101" s="248">
        <f t="shared" si="81"/>
        <v>12189.510164000001</v>
      </c>
      <c r="J101" s="251">
        <f t="shared" si="82"/>
        <v>1.740000000000002</v>
      </c>
      <c r="K101" s="252">
        <f t="shared" si="82"/>
        <v>447.27430800000002</v>
      </c>
      <c r="L101" s="253">
        <f t="shared" si="83"/>
        <v>3.8091068301225967E-2</v>
      </c>
      <c r="M101" s="249">
        <f t="shared" si="84"/>
        <v>400</v>
      </c>
      <c r="N101" s="208">
        <f t="shared" si="85"/>
        <v>51.41084</v>
      </c>
      <c r="O101" s="255">
        <f t="shared" si="75"/>
        <v>5398.1382000000003</v>
      </c>
      <c r="P101" s="210">
        <f t="shared" si="86"/>
        <v>0.44285111767186841</v>
      </c>
      <c r="Q101" s="212">
        <f t="shared" si="87"/>
        <v>21</v>
      </c>
      <c r="R101" s="212">
        <f t="shared" si="88"/>
        <v>26.42</v>
      </c>
      <c r="V101" s="234">
        <v>5</v>
      </c>
      <c r="X101" s="234">
        <f t="shared" si="76"/>
        <v>5</v>
      </c>
    </row>
    <row r="102" spans="1:24">
      <c r="A102" s="234" t="s">
        <v>271</v>
      </c>
      <c r="B102" s="235">
        <f t="shared" si="77"/>
        <v>55.365520000000004</v>
      </c>
      <c r="C102" s="235">
        <f t="shared" si="77"/>
        <v>5.9320200000000005</v>
      </c>
      <c r="D102" s="235">
        <f t="shared" si="74"/>
        <v>61.297540000000005</v>
      </c>
      <c r="E102" s="236">
        <v>2</v>
      </c>
      <c r="F102" s="237">
        <f t="shared" si="78"/>
        <v>45.68</v>
      </c>
      <c r="G102" s="248">
        <f t="shared" si="79"/>
        <v>291207.44922880002</v>
      </c>
      <c r="H102" s="250">
        <f t="shared" si="80"/>
        <v>47.42</v>
      </c>
      <c r="I102" s="248">
        <f t="shared" si="81"/>
        <v>302299.8520672</v>
      </c>
      <c r="J102" s="251">
        <f t="shared" si="82"/>
        <v>1.740000000000002</v>
      </c>
      <c r="K102" s="252">
        <f t="shared" si="82"/>
        <v>11092.402838399983</v>
      </c>
      <c r="L102" s="253">
        <f t="shared" si="83"/>
        <v>3.8091068301225967E-2</v>
      </c>
      <c r="M102" s="249">
        <f t="shared" si="84"/>
        <v>400</v>
      </c>
      <c r="N102" s="208">
        <f t="shared" si="85"/>
        <v>1274.9888320000002</v>
      </c>
      <c r="O102" s="255">
        <f t="shared" si="75"/>
        <v>133873.82736000002</v>
      </c>
      <c r="P102" s="210">
        <f t="shared" si="86"/>
        <v>0.44285111767186847</v>
      </c>
      <c r="Q102" s="212">
        <f t="shared" si="87"/>
        <v>21.000000000000004</v>
      </c>
      <c r="R102" s="212">
        <f t="shared" si="88"/>
        <v>26.419999999999998</v>
      </c>
      <c r="V102" s="234">
        <v>56</v>
      </c>
      <c r="W102" s="234">
        <v>6</v>
      </c>
      <c r="X102" s="234">
        <f t="shared" si="76"/>
        <v>62</v>
      </c>
    </row>
    <row r="103" spans="1:24">
      <c r="A103" s="234" t="s">
        <v>272</v>
      </c>
      <c r="B103" s="235">
        <f t="shared" si="77"/>
        <v>29.6601</v>
      </c>
      <c r="C103" s="235">
        <f t="shared" si="77"/>
        <v>1.9773400000000001</v>
      </c>
      <c r="D103" s="235">
        <f t="shared" si="74"/>
        <v>31.637440000000002</v>
      </c>
      <c r="E103" s="236">
        <v>2</v>
      </c>
      <c r="F103" s="237">
        <f t="shared" si="78"/>
        <v>45.68</v>
      </c>
      <c r="G103" s="248">
        <f t="shared" si="79"/>
        <v>150300.61895680003</v>
      </c>
      <c r="H103" s="250">
        <f t="shared" si="80"/>
        <v>47.42</v>
      </c>
      <c r="I103" s="248">
        <f t="shared" si="81"/>
        <v>156025.73009920001</v>
      </c>
      <c r="J103" s="251">
        <f t="shared" si="82"/>
        <v>1.740000000000002</v>
      </c>
      <c r="K103" s="252">
        <f t="shared" si="82"/>
        <v>5725.1111423999828</v>
      </c>
      <c r="L103" s="253">
        <f t="shared" si="83"/>
        <v>3.8091068301225967E-2</v>
      </c>
      <c r="M103" s="249">
        <f t="shared" si="84"/>
        <v>400</v>
      </c>
      <c r="N103" s="208">
        <f t="shared" si="85"/>
        <v>658.05875200000003</v>
      </c>
      <c r="O103" s="255">
        <f t="shared" si="75"/>
        <v>69096.16896000001</v>
      </c>
      <c r="P103" s="210">
        <f t="shared" si="86"/>
        <v>0.44285111767186847</v>
      </c>
      <c r="Q103" s="212">
        <f t="shared" si="87"/>
        <v>21.000000000000004</v>
      </c>
      <c r="R103" s="212">
        <f t="shared" si="88"/>
        <v>26.419999999999998</v>
      </c>
      <c r="V103" s="234">
        <v>30</v>
      </c>
      <c r="W103" s="234">
        <v>2</v>
      </c>
      <c r="X103" s="234">
        <f t="shared" si="76"/>
        <v>32</v>
      </c>
    </row>
    <row r="104" spans="1:24">
      <c r="A104" s="234" t="s">
        <v>273</v>
      </c>
      <c r="B104" s="235">
        <f t="shared" si="77"/>
        <v>5.9320200000000005</v>
      </c>
      <c r="C104" s="235">
        <f t="shared" si="77"/>
        <v>0</v>
      </c>
      <c r="D104" s="235">
        <f t="shared" si="74"/>
        <v>5.9320200000000005</v>
      </c>
      <c r="E104" s="236">
        <v>2</v>
      </c>
      <c r="F104" s="237">
        <f t="shared" si="78"/>
        <v>45.68</v>
      </c>
      <c r="G104" s="248">
        <f t="shared" si="79"/>
        <v>28181.366054400001</v>
      </c>
      <c r="H104" s="250">
        <f t="shared" si="80"/>
        <v>47.42</v>
      </c>
      <c r="I104" s="248">
        <f t="shared" si="81"/>
        <v>29254.8243936</v>
      </c>
      <c r="J104" s="251">
        <f t="shared" si="82"/>
        <v>1.740000000000002</v>
      </c>
      <c r="K104" s="252">
        <f t="shared" si="82"/>
        <v>1073.4583391999986</v>
      </c>
      <c r="L104" s="253">
        <f t="shared" si="83"/>
        <v>3.8091068301225967E-2</v>
      </c>
      <c r="M104" s="249">
        <f t="shared" si="84"/>
        <v>400</v>
      </c>
      <c r="N104" s="208">
        <f t="shared" si="85"/>
        <v>123.386016</v>
      </c>
      <c r="O104" s="255">
        <f t="shared" si="75"/>
        <v>12955.53168</v>
      </c>
      <c r="P104" s="210">
        <f t="shared" si="86"/>
        <v>0.44285111767186841</v>
      </c>
      <c r="Q104" s="212">
        <f t="shared" si="87"/>
        <v>21</v>
      </c>
      <c r="R104" s="212">
        <f t="shared" si="88"/>
        <v>26.42</v>
      </c>
      <c r="V104" s="234">
        <v>6</v>
      </c>
      <c r="X104" s="234">
        <f t="shared" si="76"/>
        <v>6</v>
      </c>
    </row>
    <row r="105" spans="1:24">
      <c r="A105" s="234" t="s">
        <v>274</v>
      </c>
      <c r="B105" s="235">
        <f t="shared" si="77"/>
        <v>3.9546800000000002</v>
      </c>
      <c r="C105" s="235">
        <f t="shared" si="77"/>
        <v>0</v>
      </c>
      <c r="D105" s="235">
        <f t="shared" si="74"/>
        <v>3.9546800000000002</v>
      </c>
      <c r="E105" s="236">
        <v>2</v>
      </c>
      <c r="F105" s="237">
        <f t="shared" si="78"/>
        <v>45.68</v>
      </c>
      <c r="G105" s="248">
        <f t="shared" si="79"/>
        <v>18787.577369600003</v>
      </c>
      <c r="H105" s="250">
        <f t="shared" si="80"/>
        <v>47.42</v>
      </c>
      <c r="I105" s="248">
        <f t="shared" si="81"/>
        <v>19503.216262400001</v>
      </c>
      <c r="J105" s="251">
        <f t="shared" si="82"/>
        <v>1.740000000000002</v>
      </c>
      <c r="K105" s="252">
        <f t="shared" si="82"/>
        <v>715.63889279999785</v>
      </c>
      <c r="L105" s="253">
        <f t="shared" si="83"/>
        <v>3.8091068301225967E-2</v>
      </c>
      <c r="M105" s="249">
        <f t="shared" si="84"/>
        <v>400</v>
      </c>
      <c r="N105" s="208">
        <f t="shared" si="85"/>
        <v>82.257344000000003</v>
      </c>
      <c r="O105" s="255">
        <f t="shared" si="75"/>
        <v>8637.0211200000012</v>
      </c>
      <c r="P105" s="210">
        <f t="shared" si="86"/>
        <v>0.44285111767186847</v>
      </c>
      <c r="Q105" s="212">
        <f t="shared" si="87"/>
        <v>21.000000000000004</v>
      </c>
      <c r="R105" s="212">
        <f t="shared" si="88"/>
        <v>26.419999999999998</v>
      </c>
      <c r="V105" s="234">
        <v>4</v>
      </c>
      <c r="X105" s="234">
        <f t="shared" si="76"/>
        <v>4</v>
      </c>
    </row>
    <row r="106" spans="1:24">
      <c r="A106" s="234" t="s">
        <v>275</v>
      </c>
      <c r="B106" s="235">
        <f t="shared" si="77"/>
        <v>4.9433500000000006</v>
      </c>
      <c r="C106" s="235">
        <f t="shared" si="77"/>
        <v>0</v>
      </c>
      <c r="D106" s="235">
        <f t="shared" si="74"/>
        <v>4.9433500000000006</v>
      </c>
      <c r="E106" s="236">
        <v>2</v>
      </c>
      <c r="F106" s="237">
        <f t="shared" si="78"/>
        <v>45.68</v>
      </c>
      <c r="G106" s="248">
        <f t="shared" si="79"/>
        <v>23484.471712000002</v>
      </c>
      <c r="H106" s="250">
        <f t="shared" si="80"/>
        <v>47.42</v>
      </c>
      <c r="I106" s="248">
        <f t="shared" si="81"/>
        <v>24379.020328000002</v>
      </c>
      <c r="J106" s="251">
        <f t="shared" si="82"/>
        <v>1.740000000000002</v>
      </c>
      <c r="K106" s="252">
        <f t="shared" si="82"/>
        <v>894.54861600000004</v>
      </c>
      <c r="L106" s="253">
        <f t="shared" si="83"/>
        <v>3.8091068301225967E-2</v>
      </c>
      <c r="M106" s="249">
        <f t="shared" si="84"/>
        <v>400</v>
      </c>
      <c r="N106" s="208">
        <f t="shared" si="85"/>
        <v>102.82168</v>
      </c>
      <c r="O106" s="255">
        <f t="shared" si="75"/>
        <v>10796.276400000001</v>
      </c>
      <c r="P106" s="210">
        <f t="shared" si="86"/>
        <v>0.44285111767186841</v>
      </c>
      <c r="Q106" s="212">
        <f t="shared" si="87"/>
        <v>21</v>
      </c>
      <c r="R106" s="212">
        <f t="shared" si="88"/>
        <v>26.42</v>
      </c>
      <c r="V106" s="234">
        <v>5</v>
      </c>
      <c r="X106" s="234">
        <f t="shared" si="76"/>
        <v>5</v>
      </c>
    </row>
    <row r="107" spans="1:24">
      <c r="A107" s="234" t="s">
        <v>276</v>
      </c>
      <c r="B107" s="235">
        <f t="shared" si="77"/>
        <v>6.9206900000000005</v>
      </c>
      <c r="C107" s="235">
        <f t="shared" si="77"/>
        <v>0</v>
      </c>
      <c r="D107" s="235">
        <f t="shared" si="74"/>
        <v>6.9206900000000005</v>
      </c>
      <c r="E107" s="236">
        <v>2</v>
      </c>
      <c r="F107" s="237">
        <f t="shared" si="78"/>
        <v>45.68</v>
      </c>
      <c r="G107" s="248">
        <f t="shared" si="79"/>
        <v>32878.260396800004</v>
      </c>
      <c r="H107" s="250">
        <f t="shared" si="80"/>
        <v>47.42</v>
      </c>
      <c r="I107" s="248">
        <f t="shared" si="81"/>
        <v>34130.628459200001</v>
      </c>
      <c r="J107" s="251">
        <f t="shared" si="82"/>
        <v>1.740000000000002</v>
      </c>
      <c r="K107" s="252">
        <f t="shared" si="82"/>
        <v>1252.3680623999971</v>
      </c>
      <c r="L107" s="253">
        <f t="shared" si="83"/>
        <v>3.8091068301225967E-2</v>
      </c>
      <c r="M107" s="249">
        <f t="shared" si="84"/>
        <v>400</v>
      </c>
      <c r="N107" s="208">
        <f t="shared" si="85"/>
        <v>143.95035200000001</v>
      </c>
      <c r="O107" s="255">
        <f t="shared" si="75"/>
        <v>15114.786960000001</v>
      </c>
      <c r="P107" s="210">
        <f t="shared" si="86"/>
        <v>0.44285111767186841</v>
      </c>
      <c r="Q107" s="212">
        <f t="shared" si="87"/>
        <v>21</v>
      </c>
      <c r="R107" s="212">
        <f t="shared" si="88"/>
        <v>26.42</v>
      </c>
      <c r="V107" s="234">
        <v>7</v>
      </c>
      <c r="X107" s="234">
        <f t="shared" si="76"/>
        <v>7</v>
      </c>
    </row>
    <row r="108" spans="1:24">
      <c r="A108" s="234" t="s">
        <v>277</v>
      </c>
      <c r="B108" s="235">
        <f t="shared" si="77"/>
        <v>14.83005</v>
      </c>
      <c r="C108" s="235">
        <f t="shared" si="77"/>
        <v>3.9546800000000002</v>
      </c>
      <c r="D108" s="235">
        <f t="shared" si="74"/>
        <v>18.78473</v>
      </c>
      <c r="E108" s="236">
        <v>3</v>
      </c>
      <c r="F108" s="237">
        <f t="shared" si="78"/>
        <v>45.68</v>
      </c>
      <c r="G108" s="248">
        <f t="shared" si="79"/>
        <v>133861.4887584</v>
      </c>
      <c r="H108" s="250">
        <f t="shared" si="80"/>
        <v>47.42</v>
      </c>
      <c r="I108" s="248">
        <f t="shared" si="81"/>
        <v>138960.41586959999</v>
      </c>
      <c r="J108" s="251">
        <f t="shared" si="82"/>
        <v>1.740000000000002</v>
      </c>
      <c r="K108" s="252">
        <f t="shared" si="82"/>
        <v>5098.9271111999988</v>
      </c>
      <c r="L108" s="253">
        <f t="shared" si="83"/>
        <v>3.8091068301225967E-2</v>
      </c>
      <c r="M108" s="249">
        <f t="shared" si="84"/>
        <v>400</v>
      </c>
      <c r="N108" s="208">
        <f t="shared" si="85"/>
        <v>586.08357599999999</v>
      </c>
      <c r="O108" s="255">
        <f t="shared" si="75"/>
        <v>61538.775479999997</v>
      </c>
      <c r="P108" s="210">
        <f t="shared" si="86"/>
        <v>0.44285111767186841</v>
      </c>
      <c r="Q108" s="212">
        <f t="shared" si="87"/>
        <v>21</v>
      </c>
      <c r="R108" s="212">
        <f t="shared" si="88"/>
        <v>26.42</v>
      </c>
      <c r="V108" s="234">
        <v>15</v>
      </c>
      <c r="W108" s="234">
        <v>4</v>
      </c>
      <c r="X108" s="234">
        <f t="shared" si="76"/>
        <v>19</v>
      </c>
    </row>
    <row r="109" spans="1:24">
      <c r="A109" s="234" t="s">
        <v>278</v>
      </c>
      <c r="B109" s="235">
        <f t="shared" si="77"/>
        <v>5.9320200000000005</v>
      </c>
      <c r="C109" s="235">
        <f t="shared" si="77"/>
        <v>1.9773400000000001</v>
      </c>
      <c r="D109" s="235">
        <f t="shared" si="74"/>
        <v>7.9093600000000004</v>
      </c>
      <c r="E109" s="236">
        <v>3</v>
      </c>
      <c r="F109" s="237">
        <f t="shared" si="78"/>
        <v>45.68</v>
      </c>
      <c r="G109" s="248">
        <f t="shared" si="79"/>
        <v>56362.732108800003</v>
      </c>
      <c r="H109" s="250">
        <f t="shared" si="80"/>
        <v>47.42</v>
      </c>
      <c r="I109" s="248">
        <f t="shared" si="81"/>
        <v>58509.6487872</v>
      </c>
      <c r="J109" s="251">
        <f t="shared" si="82"/>
        <v>1.740000000000002</v>
      </c>
      <c r="K109" s="252">
        <f t="shared" si="82"/>
        <v>2146.9166783999972</v>
      </c>
      <c r="L109" s="253">
        <f t="shared" si="83"/>
        <v>3.8091068301225967E-2</v>
      </c>
      <c r="M109" s="249">
        <f t="shared" si="84"/>
        <v>400</v>
      </c>
      <c r="N109" s="208">
        <f t="shared" si="85"/>
        <v>246.772032</v>
      </c>
      <c r="O109" s="255">
        <f t="shared" si="75"/>
        <v>25911.06336</v>
      </c>
      <c r="P109" s="210">
        <f t="shared" si="86"/>
        <v>0.44285111767186841</v>
      </c>
      <c r="Q109" s="212">
        <f t="shared" si="87"/>
        <v>21</v>
      </c>
      <c r="R109" s="212">
        <f t="shared" si="88"/>
        <v>26.42</v>
      </c>
      <c r="V109" s="234">
        <v>6</v>
      </c>
      <c r="W109" s="234">
        <v>2</v>
      </c>
      <c r="X109" s="234">
        <f t="shared" si="76"/>
        <v>8</v>
      </c>
    </row>
    <row r="110" spans="1:24">
      <c r="A110" s="234" t="s">
        <v>279</v>
      </c>
      <c r="B110" s="235">
        <f t="shared" si="77"/>
        <v>1.9773400000000001</v>
      </c>
      <c r="C110" s="235">
        <f t="shared" si="77"/>
        <v>0</v>
      </c>
      <c r="D110" s="235">
        <f t="shared" si="74"/>
        <v>1.9773400000000001</v>
      </c>
      <c r="E110" s="236">
        <v>4</v>
      </c>
      <c r="F110" s="237">
        <f t="shared" si="78"/>
        <v>45.68</v>
      </c>
      <c r="G110" s="248">
        <f t="shared" si="79"/>
        <v>18787.577369600003</v>
      </c>
      <c r="H110" s="250">
        <f t="shared" si="80"/>
        <v>47.42</v>
      </c>
      <c r="I110" s="248">
        <f t="shared" si="81"/>
        <v>19503.216262400001</v>
      </c>
      <c r="J110" s="251">
        <f t="shared" si="82"/>
        <v>1.740000000000002</v>
      </c>
      <c r="K110" s="252">
        <f t="shared" si="82"/>
        <v>715.63889279999785</v>
      </c>
      <c r="L110" s="253">
        <f t="shared" si="83"/>
        <v>3.8091068301225967E-2</v>
      </c>
      <c r="M110" s="249">
        <f t="shared" si="84"/>
        <v>400</v>
      </c>
      <c r="N110" s="208">
        <f t="shared" si="85"/>
        <v>82.257344000000003</v>
      </c>
      <c r="O110" s="255">
        <f t="shared" si="75"/>
        <v>8637.0211200000012</v>
      </c>
      <c r="P110" s="210">
        <f t="shared" si="86"/>
        <v>0.44285111767186847</v>
      </c>
      <c r="Q110" s="212">
        <f t="shared" si="87"/>
        <v>21.000000000000004</v>
      </c>
      <c r="R110" s="212">
        <f t="shared" si="88"/>
        <v>26.419999999999998</v>
      </c>
      <c r="V110" s="234">
        <v>2</v>
      </c>
      <c r="X110" s="234">
        <f t="shared" si="76"/>
        <v>2</v>
      </c>
    </row>
    <row r="111" spans="1:24" ht="16.5">
      <c r="A111" s="234" t="s">
        <v>280</v>
      </c>
      <c r="B111" s="256">
        <f t="shared" si="77"/>
        <v>2.9660100000000003</v>
      </c>
      <c r="C111" s="256">
        <f t="shared" si="77"/>
        <v>0</v>
      </c>
      <c r="D111" s="256">
        <f t="shared" si="74"/>
        <v>2.9660100000000003</v>
      </c>
      <c r="E111" s="236">
        <v>5</v>
      </c>
      <c r="F111" s="237">
        <f t="shared" si="78"/>
        <v>45.68</v>
      </c>
      <c r="G111" s="257">
        <f t="shared" si="79"/>
        <v>35226.707568000005</v>
      </c>
      <c r="H111" s="250">
        <f t="shared" si="80"/>
        <v>47.42</v>
      </c>
      <c r="I111" s="257">
        <f t="shared" si="81"/>
        <v>36568.530492000005</v>
      </c>
      <c r="J111" s="251">
        <f t="shared" si="82"/>
        <v>1.740000000000002</v>
      </c>
      <c r="K111" s="258">
        <f t="shared" si="82"/>
        <v>1341.8229240000001</v>
      </c>
      <c r="L111" s="253">
        <f t="shared" si="83"/>
        <v>3.8091068301225967E-2</v>
      </c>
      <c r="M111" s="249">
        <f t="shared" si="84"/>
        <v>400</v>
      </c>
      <c r="N111" s="259">
        <f t="shared" si="85"/>
        <v>154.23252000000002</v>
      </c>
      <c r="O111" s="260">
        <f t="shared" si="75"/>
        <v>16194.414600000002</v>
      </c>
      <c r="P111" s="210">
        <f t="shared" si="86"/>
        <v>0.44285111767186841</v>
      </c>
      <c r="Q111" s="212">
        <f t="shared" si="87"/>
        <v>21</v>
      </c>
      <c r="R111" s="212">
        <f t="shared" si="88"/>
        <v>26.42</v>
      </c>
      <c r="V111" s="261">
        <v>3</v>
      </c>
      <c r="W111" s="261"/>
      <c r="X111" s="261">
        <f t="shared" si="76"/>
        <v>3</v>
      </c>
    </row>
    <row r="112" spans="1:24" ht="16.5">
      <c r="B112" s="262">
        <f>SUM(B96:B111)</f>
        <v>465.66356999999999</v>
      </c>
      <c r="C112" s="262">
        <f>SUM(C96:C111)</f>
        <v>100.84434</v>
      </c>
      <c r="D112" s="262">
        <f>SUM(D96:D111)</f>
        <v>566.50791000000004</v>
      </c>
      <c r="E112" s="263"/>
      <c r="G112" s="238">
        <f>SUM(G96:G111)</f>
        <v>1747244.6953728006</v>
      </c>
      <c r="H112" s="238"/>
      <c r="I112" s="238">
        <f>SUM(I96:I111)</f>
        <v>1813799.1124032</v>
      </c>
      <c r="J112" s="238"/>
      <c r="K112" s="238">
        <f>SUM(K96:K111)</f>
        <v>66554.417030399985</v>
      </c>
      <c r="L112" s="238"/>
      <c r="M112" s="238"/>
      <c r="N112" s="244">
        <f>SUM(N96:N111)</f>
        <v>7649.932992</v>
      </c>
      <c r="O112" s="238">
        <f>SUM(O96:O111)</f>
        <v>803242.96416000032</v>
      </c>
      <c r="V112" s="264">
        <f>SUM(V96:V111)</f>
        <v>471</v>
      </c>
      <c r="W112" s="264">
        <f>SUM(W96:W111)</f>
        <v>102</v>
      </c>
      <c r="X112" s="264">
        <f>SUM(X96:X111)</f>
        <v>573</v>
      </c>
    </row>
    <row r="113" spans="1:24">
      <c r="B113" s="235"/>
      <c r="C113" s="235"/>
      <c r="D113" s="235"/>
    </row>
    <row r="114" spans="1:24">
      <c r="B114" s="235"/>
      <c r="C114" s="235"/>
      <c r="D114" s="235"/>
    </row>
    <row r="115" spans="1:24">
      <c r="A115" s="234" t="s">
        <v>281</v>
      </c>
      <c r="B115" s="235">
        <f>+V115*(1-$D$5)</f>
        <v>14.83005</v>
      </c>
      <c r="C115" s="235">
        <f>+W115*(1-$D$5)</f>
        <v>8.8980300000000003</v>
      </c>
      <c r="D115" s="235">
        <f t="shared" si="74"/>
        <v>23.728079999999999</v>
      </c>
      <c r="E115" s="236">
        <v>0.5</v>
      </c>
      <c r="F115" s="237">
        <v>62.92</v>
      </c>
      <c r="G115" s="248">
        <f>+F115*E115*D115*52</f>
        <v>38817.240633599999</v>
      </c>
      <c r="H115" s="250">
        <f>ROUND(F115*(1+$H$10),2)</f>
        <v>65.319999999999993</v>
      </c>
      <c r="I115" s="248">
        <f>+H115*D115*E115*52</f>
        <v>40297.872825599996</v>
      </c>
      <c r="J115" s="251">
        <f>+H115-F115</f>
        <v>2.3999999999999915</v>
      </c>
      <c r="K115" s="252">
        <f>+I115-G115</f>
        <v>1480.6321919999973</v>
      </c>
      <c r="L115" s="253">
        <f>J115/F115</f>
        <v>3.8143674507310737E-2</v>
      </c>
      <c r="M115" s="249">
        <f>+$M$55*6</f>
        <v>600</v>
      </c>
      <c r="N115" s="208">
        <f>+D115*E115*M115*52/2000</f>
        <v>185.079024</v>
      </c>
      <c r="O115" s="255">
        <f t="shared" ref="O115:O130" si="89">+$O$10*N115</f>
        <v>19433.29752</v>
      </c>
      <c r="P115" s="210">
        <f>+O115/I115</f>
        <v>0.48224127372933256</v>
      </c>
      <c r="Q115" s="212">
        <f>+P115*H115</f>
        <v>31.5</v>
      </c>
      <c r="R115" s="212">
        <f>+H115-Q115</f>
        <v>33.819999999999993</v>
      </c>
      <c r="V115" s="234">
        <v>15</v>
      </c>
      <c r="W115" s="234">
        <v>9</v>
      </c>
      <c r="X115" s="234">
        <f t="shared" ref="X115:X130" si="90">+W115+V115</f>
        <v>24</v>
      </c>
    </row>
    <row r="116" spans="1:24">
      <c r="A116" s="234" t="s">
        <v>282</v>
      </c>
      <c r="B116" s="235">
        <f t="shared" ref="B116:C130" si="91">+V116*(1-$D$5)</f>
        <v>184.88129000000001</v>
      </c>
      <c r="C116" s="235">
        <f t="shared" si="91"/>
        <v>33.614780000000003</v>
      </c>
      <c r="D116" s="235">
        <f t="shared" si="74"/>
        <v>218.49607</v>
      </c>
      <c r="E116" s="236">
        <v>1</v>
      </c>
      <c r="F116" s="237">
        <f>+F115</f>
        <v>62.92</v>
      </c>
      <c r="G116" s="248">
        <f>+F116*E116*D116*52</f>
        <v>714884.18166879995</v>
      </c>
      <c r="H116" s="250">
        <f>ROUND(F116*(1+$H$10),2)</f>
        <v>65.319999999999993</v>
      </c>
      <c r="I116" s="248">
        <f>+H116*D116*E116*52</f>
        <v>742152.49120479997</v>
      </c>
      <c r="J116" s="251">
        <f>+H116-F116</f>
        <v>2.3999999999999915</v>
      </c>
      <c r="K116" s="252">
        <f>+I116-G116</f>
        <v>27268.309536000015</v>
      </c>
      <c r="L116" s="253">
        <f>J116/F116</f>
        <v>3.8143674507310737E-2</v>
      </c>
      <c r="M116" s="249">
        <f>+M115</f>
        <v>600</v>
      </c>
      <c r="N116" s="208">
        <f>+D116*E116*M116*52/2000</f>
        <v>3408.5386919999996</v>
      </c>
      <c r="O116" s="255">
        <f t="shared" si="89"/>
        <v>357896.56265999994</v>
      </c>
      <c r="P116" s="210">
        <f>+O116/I116</f>
        <v>0.48224127372933245</v>
      </c>
      <c r="Q116" s="212">
        <f>+P116*H116</f>
        <v>31.499999999999993</v>
      </c>
      <c r="R116" s="212">
        <f>+H116-Q116</f>
        <v>33.82</v>
      </c>
      <c r="V116" s="234">
        <v>187</v>
      </c>
      <c r="W116" s="234">
        <v>34</v>
      </c>
      <c r="X116" s="234">
        <f t="shared" si="90"/>
        <v>221</v>
      </c>
    </row>
    <row r="117" spans="1:24">
      <c r="A117" s="234" t="s">
        <v>283</v>
      </c>
      <c r="B117" s="235">
        <f t="shared" si="91"/>
        <v>15.818720000000001</v>
      </c>
      <c r="C117" s="235">
        <f t="shared" si="91"/>
        <v>11.864040000000001</v>
      </c>
      <c r="D117" s="235">
        <f t="shared" si="74"/>
        <v>27.682760000000002</v>
      </c>
      <c r="E117" s="236">
        <v>1</v>
      </c>
      <c r="F117" s="237">
        <f t="shared" ref="F117:F130" si="92">+F116</f>
        <v>62.92</v>
      </c>
      <c r="G117" s="248">
        <f t="shared" ref="G117:G130" si="93">+F117*E117*D117*52</f>
        <v>90573.561478400006</v>
      </c>
      <c r="H117" s="250">
        <f t="shared" ref="H117:H130" si="94">ROUND(F117*(1+$H$10),2)</f>
        <v>65.319999999999993</v>
      </c>
      <c r="I117" s="248">
        <f t="shared" ref="I117:I130" si="95">+H117*D117*E117*52</f>
        <v>94028.369926400002</v>
      </c>
      <c r="J117" s="251">
        <f t="shared" ref="J117:K130" si="96">+H117-F117</f>
        <v>2.3999999999999915</v>
      </c>
      <c r="K117" s="252">
        <f t="shared" si="96"/>
        <v>3454.8084479999961</v>
      </c>
      <c r="L117" s="253">
        <f t="shared" ref="L117:L130" si="97">J117/F117</f>
        <v>3.8143674507310737E-2</v>
      </c>
      <c r="M117" s="249">
        <f t="shared" ref="M117:M130" si="98">+M116</f>
        <v>600</v>
      </c>
      <c r="N117" s="208">
        <f t="shared" ref="N117:N130" si="99">+D117*E117*M117*52/2000</f>
        <v>431.85105600000009</v>
      </c>
      <c r="O117" s="255">
        <f t="shared" si="89"/>
        <v>45344.360880000007</v>
      </c>
      <c r="P117" s="210">
        <f t="shared" ref="P117:P130" si="100">+O117/I117</f>
        <v>0.48224127372933256</v>
      </c>
      <c r="Q117" s="212">
        <f t="shared" ref="Q117:Q130" si="101">+P117*H117</f>
        <v>31.5</v>
      </c>
      <c r="R117" s="212">
        <f t="shared" ref="R117:R130" si="102">+H117-Q117</f>
        <v>33.819999999999993</v>
      </c>
      <c r="V117" s="234">
        <v>16</v>
      </c>
      <c r="W117" s="234">
        <v>12</v>
      </c>
      <c r="X117" s="234">
        <f t="shared" si="90"/>
        <v>28</v>
      </c>
    </row>
    <row r="118" spans="1:24">
      <c r="A118" s="234" t="s">
        <v>284</v>
      </c>
      <c r="B118" s="235">
        <f t="shared" si="91"/>
        <v>20.762070000000001</v>
      </c>
      <c r="C118" s="235">
        <f t="shared" si="91"/>
        <v>2.9660100000000003</v>
      </c>
      <c r="D118" s="235">
        <f t="shared" si="74"/>
        <v>23.728080000000002</v>
      </c>
      <c r="E118" s="236">
        <v>1</v>
      </c>
      <c r="F118" s="237">
        <f t="shared" si="92"/>
        <v>62.92</v>
      </c>
      <c r="G118" s="248">
        <f t="shared" si="93"/>
        <v>77634.481267200012</v>
      </c>
      <c r="H118" s="250">
        <f t="shared" si="94"/>
        <v>65.319999999999993</v>
      </c>
      <c r="I118" s="248">
        <f t="shared" si="95"/>
        <v>80595.745651200006</v>
      </c>
      <c r="J118" s="251">
        <f t="shared" si="96"/>
        <v>2.3999999999999915</v>
      </c>
      <c r="K118" s="252">
        <f t="shared" si="96"/>
        <v>2961.2643839999946</v>
      </c>
      <c r="L118" s="253">
        <f t="shared" si="97"/>
        <v>3.8143674507310737E-2</v>
      </c>
      <c r="M118" s="249">
        <f t="shared" si="98"/>
        <v>600</v>
      </c>
      <c r="N118" s="208">
        <f t="shared" si="99"/>
        <v>370.15804800000006</v>
      </c>
      <c r="O118" s="255">
        <f t="shared" si="89"/>
        <v>38866.595040000007</v>
      </c>
      <c r="P118" s="210">
        <f t="shared" si="100"/>
        <v>0.48224127372933256</v>
      </c>
      <c r="Q118" s="212">
        <f t="shared" si="101"/>
        <v>31.5</v>
      </c>
      <c r="R118" s="212">
        <f t="shared" si="102"/>
        <v>33.819999999999993</v>
      </c>
      <c r="V118" s="234">
        <v>21</v>
      </c>
      <c r="W118" s="234">
        <v>3</v>
      </c>
      <c r="X118" s="234">
        <f t="shared" si="90"/>
        <v>24</v>
      </c>
    </row>
    <row r="119" spans="1:24">
      <c r="A119" s="234" t="s">
        <v>285</v>
      </c>
      <c r="B119" s="235">
        <f t="shared" si="91"/>
        <v>19.773400000000002</v>
      </c>
      <c r="C119" s="235">
        <f t="shared" si="91"/>
        <v>0</v>
      </c>
      <c r="D119" s="235">
        <f t="shared" si="74"/>
        <v>19.773400000000002</v>
      </c>
      <c r="E119" s="236">
        <v>1</v>
      </c>
      <c r="F119" s="237">
        <f t="shared" si="92"/>
        <v>62.92</v>
      </c>
      <c r="G119" s="248">
        <f t="shared" si="93"/>
        <v>64695.40105600001</v>
      </c>
      <c r="H119" s="250">
        <f t="shared" si="94"/>
        <v>65.319999999999993</v>
      </c>
      <c r="I119" s="248">
        <f t="shared" si="95"/>
        <v>67163.12137600001</v>
      </c>
      <c r="J119" s="251">
        <f t="shared" si="96"/>
        <v>2.3999999999999915</v>
      </c>
      <c r="K119" s="252">
        <f t="shared" si="96"/>
        <v>2467.7203200000004</v>
      </c>
      <c r="L119" s="253">
        <f t="shared" si="97"/>
        <v>3.8143674507310737E-2</v>
      </c>
      <c r="M119" s="249">
        <f t="shared" si="98"/>
        <v>600</v>
      </c>
      <c r="N119" s="208">
        <f t="shared" si="99"/>
        <v>308.46504000000004</v>
      </c>
      <c r="O119" s="255">
        <f t="shared" si="89"/>
        <v>32388.829200000004</v>
      </c>
      <c r="P119" s="210">
        <f t="shared" si="100"/>
        <v>0.48224127372933251</v>
      </c>
      <c r="Q119" s="212">
        <f t="shared" si="101"/>
        <v>31.499999999999996</v>
      </c>
      <c r="R119" s="212">
        <f t="shared" si="102"/>
        <v>33.819999999999993</v>
      </c>
      <c r="V119" s="234">
        <v>20</v>
      </c>
      <c r="X119" s="234">
        <f t="shared" si="90"/>
        <v>20</v>
      </c>
    </row>
    <row r="120" spans="1:24">
      <c r="A120" s="234" t="s">
        <v>286</v>
      </c>
      <c r="B120" s="235">
        <f t="shared" si="91"/>
        <v>14.83005</v>
      </c>
      <c r="C120" s="235">
        <f t="shared" si="91"/>
        <v>0</v>
      </c>
      <c r="D120" s="235">
        <f t="shared" si="74"/>
        <v>14.83005</v>
      </c>
      <c r="E120" s="236">
        <v>1</v>
      </c>
      <c r="F120" s="237">
        <f t="shared" si="92"/>
        <v>62.92</v>
      </c>
      <c r="G120" s="248">
        <f t="shared" si="93"/>
        <v>48521.550792000002</v>
      </c>
      <c r="H120" s="250">
        <f t="shared" si="94"/>
        <v>65.319999999999993</v>
      </c>
      <c r="I120" s="248">
        <f t="shared" si="95"/>
        <v>50372.341031999997</v>
      </c>
      <c r="J120" s="251">
        <f t="shared" si="96"/>
        <v>2.3999999999999915</v>
      </c>
      <c r="K120" s="252">
        <f t="shared" si="96"/>
        <v>1850.7902399999948</v>
      </c>
      <c r="L120" s="253">
        <f t="shared" si="97"/>
        <v>3.8143674507310737E-2</v>
      </c>
      <c r="M120" s="249">
        <f t="shared" si="98"/>
        <v>600</v>
      </c>
      <c r="N120" s="208">
        <f t="shared" si="99"/>
        <v>231.34878000000003</v>
      </c>
      <c r="O120" s="255">
        <f t="shared" si="89"/>
        <v>24291.621900000002</v>
      </c>
      <c r="P120" s="210">
        <f t="shared" si="100"/>
        <v>0.48224127372933256</v>
      </c>
      <c r="Q120" s="212">
        <f t="shared" si="101"/>
        <v>31.5</v>
      </c>
      <c r="R120" s="212">
        <f t="shared" si="102"/>
        <v>33.819999999999993</v>
      </c>
      <c r="V120" s="234">
        <v>15</v>
      </c>
      <c r="X120" s="234">
        <f t="shared" si="90"/>
        <v>15</v>
      </c>
    </row>
    <row r="121" spans="1:24">
      <c r="A121" s="234" t="s">
        <v>287</v>
      </c>
      <c r="B121" s="235">
        <f t="shared" si="91"/>
        <v>5.9320200000000005</v>
      </c>
      <c r="C121" s="235">
        <f t="shared" si="91"/>
        <v>0</v>
      </c>
      <c r="D121" s="235">
        <f t="shared" si="74"/>
        <v>5.9320200000000005</v>
      </c>
      <c r="E121" s="236">
        <v>1</v>
      </c>
      <c r="F121" s="237">
        <f t="shared" si="92"/>
        <v>62.92</v>
      </c>
      <c r="G121" s="248">
        <f t="shared" si="93"/>
        <v>19408.620316800003</v>
      </c>
      <c r="H121" s="250">
        <f t="shared" si="94"/>
        <v>65.319999999999993</v>
      </c>
      <c r="I121" s="248">
        <f t="shared" si="95"/>
        <v>20148.936412800002</v>
      </c>
      <c r="J121" s="251">
        <f t="shared" si="96"/>
        <v>2.3999999999999915</v>
      </c>
      <c r="K121" s="252">
        <f t="shared" si="96"/>
        <v>740.31609599999865</v>
      </c>
      <c r="L121" s="253">
        <f t="shared" si="97"/>
        <v>3.8143674507310737E-2</v>
      </c>
      <c r="M121" s="249">
        <f t="shared" si="98"/>
        <v>600</v>
      </c>
      <c r="N121" s="208">
        <f t="shared" si="99"/>
        <v>92.539512000000016</v>
      </c>
      <c r="O121" s="255">
        <f t="shared" si="89"/>
        <v>9716.6487600000019</v>
      </c>
      <c r="P121" s="210">
        <f t="shared" si="100"/>
        <v>0.48224127372933256</v>
      </c>
      <c r="Q121" s="212">
        <f t="shared" si="101"/>
        <v>31.5</v>
      </c>
      <c r="R121" s="212">
        <f t="shared" si="102"/>
        <v>33.819999999999993</v>
      </c>
      <c r="V121" s="234">
        <v>6</v>
      </c>
      <c r="X121" s="234">
        <f t="shared" si="90"/>
        <v>6</v>
      </c>
    </row>
    <row r="122" spans="1:24">
      <c r="A122" s="234" t="s">
        <v>288</v>
      </c>
      <c r="B122" s="235">
        <f t="shared" si="91"/>
        <v>54.376850000000005</v>
      </c>
      <c r="C122" s="235">
        <f t="shared" si="91"/>
        <v>7.9093600000000004</v>
      </c>
      <c r="D122" s="235">
        <f t="shared" si="74"/>
        <v>62.286210000000004</v>
      </c>
      <c r="E122" s="236">
        <v>2</v>
      </c>
      <c r="F122" s="237">
        <f t="shared" si="92"/>
        <v>62.92</v>
      </c>
      <c r="G122" s="248">
        <f t="shared" si="93"/>
        <v>407581.02665280004</v>
      </c>
      <c r="H122" s="250">
        <f t="shared" si="94"/>
        <v>65.319999999999993</v>
      </c>
      <c r="I122" s="248">
        <f t="shared" si="95"/>
        <v>423127.66466879996</v>
      </c>
      <c r="J122" s="251">
        <f t="shared" si="96"/>
        <v>2.3999999999999915</v>
      </c>
      <c r="K122" s="252">
        <f t="shared" si="96"/>
        <v>15546.638015999924</v>
      </c>
      <c r="L122" s="253">
        <f t="shared" si="97"/>
        <v>3.8143674507310737E-2</v>
      </c>
      <c r="M122" s="249">
        <f t="shared" si="98"/>
        <v>600</v>
      </c>
      <c r="N122" s="208">
        <f t="shared" si="99"/>
        <v>1943.3297520000001</v>
      </c>
      <c r="O122" s="255">
        <f t="shared" si="89"/>
        <v>204049.62396</v>
      </c>
      <c r="P122" s="210">
        <f t="shared" si="100"/>
        <v>0.48224127372933256</v>
      </c>
      <c r="Q122" s="212">
        <f t="shared" si="101"/>
        <v>31.5</v>
      </c>
      <c r="R122" s="212">
        <f t="shared" si="102"/>
        <v>33.819999999999993</v>
      </c>
      <c r="V122" s="234">
        <v>55</v>
      </c>
      <c r="W122" s="234">
        <v>8</v>
      </c>
      <c r="X122" s="234">
        <f t="shared" si="90"/>
        <v>63</v>
      </c>
    </row>
    <row r="123" spans="1:24">
      <c r="A123" s="234" t="s">
        <v>289</v>
      </c>
      <c r="B123" s="235">
        <f t="shared" si="91"/>
        <v>21.75074</v>
      </c>
      <c r="C123" s="235">
        <f t="shared" si="91"/>
        <v>0</v>
      </c>
      <c r="D123" s="235">
        <f t="shared" si="74"/>
        <v>21.75074</v>
      </c>
      <c r="E123" s="236">
        <v>2</v>
      </c>
      <c r="F123" s="237">
        <f t="shared" si="92"/>
        <v>62.92</v>
      </c>
      <c r="G123" s="248">
        <f t="shared" si="93"/>
        <v>142329.88232320003</v>
      </c>
      <c r="H123" s="250">
        <f t="shared" si="94"/>
        <v>65.319999999999993</v>
      </c>
      <c r="I123" s="248">
        <f t="shared" si="95"/>
        <v>147758.86702719997</v>
      </c>
      <c r="J123" s="251">
        <f t="shared" si="96"/>
        <v>2.3999999999999915</v>
      </c>
      <c r="K123" s="252">
        <f t="shared" si="96"/>
        <v>5428.984703999944</v>
      </c>
      <c r="L123" s="253">
        <f t="shared" si="97"/>
        <v>3.8143674507310737E-2</v>
      </c>
      <c r="M123" s="249">
        <f t="shared" si="98"/>
        <v>600</v>
      </c>
      <c r="N123" s="208">
        <f t="shared" si="99"/>
        <v>678.62308799999994</v>
      </c>
      <c r="O123" s="255">
        <f t="shared" si="89"/>
        <v>71255.424239999993</v>
      </c>
      <c r="P123" s="210">
        <f t="shared" si="100"/>
        <v>0.48224127372933256</v>
      </c>
      <c r="Q123" s="212">
        <f t="shared" si="101"/>
        <v>31.5</v>
      </c>
      <c r="R123" s="212">
        <f t="shared" si="102"/>
        <v>33.819999999999993</v>
      </c>
      <c r="V123" s="234">
        <v>22</v>
      </c>
      <c r="X123" s="234">
        <f t="shared" si="90"/>
        <v>22</v>
      </c>
    </row>
    <row r="124" spans="1:24">
      <c r="A124" s="234" t="s">
        <v>290</v>
      </c>
      <c r="B124" s="235">
        <f t="shared" si="91"/>
        <v>11.864040000000001</v>
      </c>
      <c r="C124" s="235">
        <f t="shared" si="91"/>
        <v>0</v>
      </c>
      <c r="D124" s="235">
        <f t="shared" si="74"/>
        <v>11.864040000000001</v>
      </c>
      <c r="E124" s="236">
        <v>2</v>
      </c>
      <c r="F124" s="237">
        <f t="shared" si="92"/>
        <v>62.92</v>
      </c>
      <c r="G124" s="248">
        <f t="shared" si="93"/>
        <v>77634.481267200012</v>
      </c>
      <c r="H124" s="250">
        <f t="shared" si="94"/>
        <v>65.319999999999993</v>
      </c>
      <c r="I124" s="248">
        <f t="shared" si="95"/>
        <v>80595.745651200006</v>
      </c>
      <c r="J124" s="251">
        <f t="shared" si="96"/>
        <v>2.3999999999999915</v>
      </c>
      <c r="K124" s="252">
        <f t="shared" si="96"/>
        <v>2961.2643839999946</v>
      </c>
      <c r="L124" s="253">
        <f t="shared" si="97"/>
        <v>3.8143674507310737E-2</v>
      </c>
      <c r="M124" s="249">
        <f t="shared" si="98"/>
        <v>600</v>
      </c>
      <c r="N124" s="208">
        <f t="shared" si="99"/>
        <v>370.15804800000006</v>
      </c>
      <c r="O124" s="255">
        <f t="shared" si="89"/>
        <v>38866.595040000007</v>
      </c>
      <c r="P124" s="210">
        <f t="shared" si="100"/>
        <v>0.48224127372933256</v>
      </c>
      <c r="Q124" s="212">
        <f t="shared" si="101"/>
        <v>31.5</v>
      </c>
      <c r="R124" s="212">
        <f t="shared" si="102"/>
        <v>33.819999999999993</v>
      </c>
      <c r="V124" s="234">
        <v>12</v>
      </c>
      <c r="X124" s="234">
        <f t="shared" si="90"/>
        <v>12</v>
      </c>
    </row>
    <row r="125" spans="1:24">
      <c r="A125" s="234" t="s">
        <v>291</v>
      </c>
      <c r="B125" s="235">
        <f t="shared" si="91"/>
        <v>7.9093600000000004</v>
      </c>
      <c r="C125" s="235">
        <f t="shared" si="91"/>
        <v>0</v>
      </c>
      <c r="D125" s="235">
        <f t="shared" si="74"/>
        <v>7.9093600000000004</v>
      </c>
      <c r="E125" s="236">
        <v>2</v>
      </c>
      <c r="F125" s="237">
        <f t="shared" si="92"/>
        <v>62.92</v>
      </c>
      <c r="G125" s="248">
        <f t="shared" si="93"/>
        <v>51756.3208448</v>
      </c>
      <c r="H125" s="250">
        <f t="shared" si="94"/>
        <v>65.319999999999993</v>
      </c>
      <c r="I125" s="248">
        <f t="shared" si="95"/>
        <v>53730.497100799999</v>
      </c>
      <c r="J125" s="251">
        <f t="shared" si="96"/>
        <v>2.3999999999999915</v>
      </c>
      <c r="K125" s="252">
        <f t="shared" si="96"/>
        <v>1974.1762559999988</v>
      </c>
      <c r="L125" s="253">
        <f t="shared" si="97"/>
        <v>3.8143674507310737E-2</v>
      </c>
      <c r="M125" s="249">
        <f t="shared" si="98"/>
        <v>600</v>
      </c>
      <c r="N125" s="208">
        <f t="shared" si="99"/>
        <v>246.772032</v>
      </c>
      <c r="O125" s="255">
        <f t="shared" si="89"/>
        <v>25911.06336</v>
      </c>
      <c r="P125" s="210">
        <f t="shared" si="100"/>
        <v>0.48224127372933251</v>
      </c>
      <c r="Q125" s="212">
        <f t="shared" si="101"/>
        <v>31.499999999999996</v>
      </c>
      <c r="R125" s="212">
        <f t="shared" si="102"/>
        <v>33.819999999999993</v>
      </c>
      <c r="V125" s="234">
        <v>8</v>
      </c>
      <c r="X125" s="234">
        <f t="shared" si="90"/>
        <v>8</v>
      </c>
    </row>
    <row r="126" spans="1:24">
      <c r="A126" s="234" t="s">
        <v>292</v>
      </c>
      <c r="B126" s="235">
        <f t="shared" si="91"/>
        <v>12.85271</v>
      </c>
      <c r="C126" s="235">
        <f t="shared" si="91"/>
        <v>2.9660100000000003</v>
      </c>
      <c r="D126" s="235">
        <f t="shared" si="74"/>
        <v>15.818720000000001</v>
      </c>
      <c r="E126" s="236">
        <v>3</v>
      </c>
      <c r="F126" s="237">
        <f>+F125</f>
        <v>62.92</v>
      </c>
      <c r="G126" s="248">
        <f t="shared" si="93"/>
        <v>155268.96253439999</v>
      </c>
      <c r="H126" s="250">
        <f t="shared" si="94"/>
        <v>65.319999999999993</v>
      </c>
      <c r="I126" s="248">
        <f t="shared" si="95"/>
        <v>161191.49130240001</v>
      </c>
      <c r="J126" s="251">
        <f t="shared" si="96"/>
        <v>2.3999999999999915</v>
      </c>
      <c r="K126" s="252">
        <f t="shared" si="96"/>
        <v>5922.5287680000183</v>
      </c>
      <c r="L126" s="253">
        <f t="shared" si="97"/>
        <v>3.8143674507310737E-2</v>
      </c>
      <c r="M126" s="249">
        <f t="shared" si="98"/>
        <v>600</v>
      </c>
      <c r="N126" s="208">
        <f t="shared" si="99"/>
        <v>740.31609600000013</v>
      </c>
      <c r="O126" s="255">
        <f t="shared" si="89"/>
        <v>77733.190080000015</v>
      </c>
      <c r="P126" s="210">
        <f t="shared" si="100"/>
        <v>0.48224127372933256</v>
      </c>
      <c r="Q126" s="212">
        <f t="shared" si="101"/>
        <v>31.5</v>
      </c>
      <c r="R126" s="212">
        <f t="shared" si="102"/>
        <v>33.819999999999993</v>
      </c>
      <c r="V126" s="234">
        <v>13</v>
      </c>
      <c r="W126" s="234">
        <v>3</v>
      </c>
      <c r="X126" s="234">
        <f t="shared" si="90"/>
        <v>16</v>
      </c>
    </row>
    <row r="127" spans="1:24">
      <c r="A127" s="234" t="s">
        <v>293</v>
      </c>
      <c r="B127" s="235">
        <f t="shared" si="91"/>
        <v>5.9320200000000005</v>
      </c>
      <c r="C127" s="235">
        <f t="shared" si="91"/>
        <v>0</v>
      </c>
      <c r="D127" s="235">
        <f t="shared" si="74"/>
        <v>5.9320200000000005</v>
      </c>
      <c r="E127" s="236">
        <v>3</v>
      </c>
      <c r="F127" s="237">
        <f t="shared" si="92"/>
        <v>62.92</v>
      </c>
      <c r="G127" s="248">
        <f t="shared" si="93"/>
        <v>58225.860950400005</v>
      </c>
      <c r="H127" s="250">
        <f t="shared" si="94"/>
        <v>65.319999999999993</v>
      </c>
      <c r="I127" s="248">
        <f t="shared" si="95"/>
        <v>60446.809238400005</v>
      </c>
      <c r="J127" s="251">
        <f t="shared" si="96"/>
        <v>2.3999999999999915</v>
      </c>
      <c r="K127" s="252">
        <f t="shared" si="96"/>
        <v>2220.9482879999996</v>
      </c>
      <c r="L127" s="253">
        <f t="shared" si="97"/>
        <v>3.8143674507310737E-2</v>
      </c>
      <c r="M127" s="249">
        <f t="shared" si="98"/>
        <v>600</v>
      </c>
      <c r="N127" s="208">
        <f t="shared" si="99"/>
        <v>277.61853600000001</v>
      </c>
      <c r="O127" s="255">
        <f t="shared" si="89"/>
        <v>29149.94628</v>
      </c>
      <c r="P127" s="210">
        <f t="shared" si="100"/>
        <v>0.48224127372933245</v>
      </c>
      <c r="Q127" s="212">
        <f t="shared" si="101"/>
        <v>31.499999999999993</v>
      </c>
      <c r="R127" s="212">
        <f t="shared" si="102"/>
        <v>33.82</v>
      </c>
      <c r="V127" s="234">
        <v>6</v>
      </c>
      <c r="X127" s="234">
        <f t="shared" si="90"/>
        <v>6</v>
      </c>
    </row>
    <row r="128" spans="1:24">
      <c r="A128" s="234" t="s">
        <v>294</v>
      </c>
      <c r="B128" s="235">
        <f t="shared" si="91"/>
        <v>0.98867000000000005</v>
      </c>
      <c r="C128" s="235">
        <f t="shared" si="91"/>
        <v>0</v>
      </c>
      <c r="D128" s="235">
        <f t="shared" si="74"/>
        <v>0.98867000000000005</v>
      </c>
      <c r="E128" s="236">
        <v>4</v>
      </c>
      <c r="F128" s="237">
        <f t="shared" si="92"/>
        <v>62.92</v>
      </c>
      <c r="G128" s="248">
        <f t="shared" si="93"/>
        <v>12939.0802112</v>
      </c>
      <c r="H128" s="250">
        <f t="shared" si="94"/>
        <v>65.319999999999993</v>
      </c>
      <c r="I128" s="248">
        <f t="shared" si="95"/>
        <v>13432.6242752</v>
      </c>
      <c r="J128" s="251">
        <f t="shared" si="96"/>
        <v>2.3999999999999915</v>
      </c>
      <c r="K128" s="252">
        <f t="shared" si="96"/>
        <v>493.54406399999971</v>
      </c>
      <c r="L128" s="253">
        <f t="shared" si="97"/>
        <v>3.8143674507310737E-2</v>
      </c>
      <c r="M128" s="249">
        <f t="shared" si="98"/>
        <v>600</v>
      </c>
      <c r="N128" s="208">
        <f t="shared" si="99"/>
        <v>61.693007999999999</v>
      </c>
      <c r="O128" s="255">
        <f t="shared" si="89"/>
        <v>6477.76584</v>
      </c>
      <c r="P128" s="210">
        <f t="shared" si="100"/>
        <v>0.48224127372933251</v>
      </c>
      <c r="Q128" s="212">
        <f t="shared" si="101"/>
        <v>31.499999999999996</v>
      </c>
      <c r="R128" s="212">
        <f t="shared" si="102"/>
        <v>33.819999999999993</v>
      </c>
      <c r="V128" s="234">
        <v>1</v>
      </c>
      <c r="X128" s="234">
        <f t="shared" si="90"/>
        <v>1</v>
      </c>
    </row>
    <row r="129" spans="1:24">
      <c r="A129" s="234" t="s">
        <v>295</v>
      </c>
      <c r="B129" s="235">
        <f t="shared" si="91"/>
        <v>1.9773400000000001</v>
      </c>
      <c r="C129" s="235">
        <f t="shared" si="91"/>
        <v>0</v>
      </c>
      <c r="D129" s="235">
        <f t="shared" si="74"/>
        <v>1.9773400000000001</v>
      </c>
      <c r="E129" s="236">
        <v>4</v>
      </c>
      <c r="F129" s="237">
        <f t="shared" si="92"/>
        <v>62.92</v>
      </c>
      <c r="G129" s="248">
        <f t="shared" si="93"/>
        <v>25878.1604224</v>
      </c>
      <c r="H129" s="250">
        <f t="shared" si="94"/>
        <v>65.319999999999993</v>
      </c>
      <c r="I129" s="248">
        <f t="shared" si="95"/>
        <v>26865.2485504</v>
      </c>
      <c r="J129" s="251">
        <f t="shared" si="96"/>
        <v>2.3999999999999915</v>
      </c>
      <c r="K129" s="252">
        <f t="shared" si="96"/>
        <v>987.08812799999941</v>
      </c>
      <c r="L129" s="253">
        <f t="shared" si="97"/>
        <v>3.8143674507310737E-2</v>
      </c>
      <c r="M129" s="249">
        <f t="shared" si="98"/>
        <v>600</v>
      </c>
      <c r="N129" s="208">
        <f t="shared" si="99"/>
        <v>123.386016</v>
      </c>
      <c r="O129" s="255">
        <f t="shared" si="89"/>
        <v>12955.53168</v>
      </c>
      <c r="P129" s="210">
        <f t="shared" si="100"/>
        <v>0.48224127372933251</v>
      </c>
      <c r="Q129" s="212">
        <f t="shared" si="101"/>
        <v>31.499999999999996</v>
      </c>
      <c r="R129" s="212">
        <f t="shared" si="102"/>
        <v>33.819999999999993</v>
      </c>
      <c r="V129" s="234">
        <v>2</v>
      </c>
      <c r="X129" s="234">
        <f t="shared" si="90"/>
        <v>2</v>
      </c>
    </row>
    <row r="130" spans="1:24" ht="16.5">
      <c r="A130" s="234" t="s">
        <v>296</v>
      </c>
      <c r="B130" s="256">
        <f t="shared" si="91"/>
        <v>0.98867000000000005</v>
      </c>
      <c r="C130" s="256">
        <f t="shared" si="91"/>
        <v>0</v>
      </c>
      <c r="D130" s="256">
        <f t="shared" si="74"/>
        <v>0.98867000000000005</v>
      </c>
      <c r="E130" s="236">
        <v>5</v>
      </c>
      <c r="F130" s="237">
        <f t="shared" si="92"/>
        <v>62.92</v>
      </c>
      <c r="G130" s="257">
        <f t="shared" si="93"/>
        <v>16173.850264000002</v>
      </c>
      <c r="H130" s="250">
        <f t="shared" si="94"/>
        <v>65.319999999999993</v>
      </c>
      <c r="I130" s="257">
        <f t="shared" si="95"/>
        <v>16790.780343999999</v>
      </c>
      <c r="J130" s="251">
        <f t="shared" si="96"/>
        <v>2.3999999999999915</v>
      </c>
      <c r="K130" s="258">
        <f t="shared" si="96"/>
        <v>616.93007999999645</v>
      </c>
      <c r="L130" s="253">
        <f t="shared" si="97"/>
        <v>3.8143674507310737E-2</v>
      </c>
      <c r="M130" s="249">
        <f t="shared" si="98"/>
        <v>600</v>
      </c>
      <c r="N130" s="259">
        <f t="shared" si="99"/>
        <v>77.116260000000011</v>
      </c>
      <c r="O130" s="260">
        <f t="shared" si="89"/>
        <v>8097.2073000000009</v>
      </c>
      <c r="P130" s="210">
        <f t="shared" si="100"/>
        <v>0.48224127372933262</v>
      </c>
      <c r="Q130" s="212">
        <f t="shared" si="101"/>
        <v>31.500000000000004</v>
      </c>
      <c r="R130" s="212">
        <f t="shared" si="102"/>
        <v>33.819999999999993</v>
      </c>
      <c r="V130" s="261">
        <v>1</v>
      </c>
      <c r="W130" s="261"/>
      <c r="X130" s="261">
        <f t="shared" si="90"/>
        <v>1</v>
      </c>
    </row>
    <row r="131" spans="1:24" ht="16.5">
      <c r="B131" s="262">
        <f>SUM(B115:B130)</f>
        <v>395.46800000000007</v>
      </c>
      <c r="C131" s="262">
        <f>SUM(C115:C130)</f>
        <v>68.218230000000005</v>
      </c>
      <c r="D131" s="262">
        <f>SUM(D115:D130)</f>
        <v>463.68623000000002</v>
      </c>
      <c r="E131" s="263"/>
      <c r="G131" s="238">
        <f>SUM(G115:G130)</f>
        <v>2002322.6626832006</v>
      </c>
      <c r="H131" s="238"/>
      <c r="I131" s="238">
        <f>SUM(I115:I130)</f>
        <v>2078698.6065872</v>
      </c>
      <c r="J131" s="238"/>
      <c r="K131" s="238">
        <f>SUM(K115:K130)</f>
        <v>76375.943903999869</v>
      </c>
      <c r="L131" s="238"/>
      <c r="M131" s="238"/>
      <c r="N131" s="244">
        <f>SUM(N115:N130)</f>
        <v>9546.9929880000018</v>
      </c>
      <c r="O131" s="238">
        <f>SUM(O115:O130)</f>
        <v>1002434.26374</v>
      </c>
      <c r="V131" s="264">
        <f>SUM(V115:V130)</f>
        <v>400</v>
      </c>
      <c r="W131" s="264">
        <f>SUM(W115:W130)</f>
        <v>69</v>
      </c>
      <c r="X131" s="264">
        <f>SUM(X115:X130)</f>
        <v>469</v>
      </c>
    </row>
    <row r="132" spans="1:24">
      <c r="B132" s="235"/>
      <c r="C132" s="235"/>
      <c r="D132" s="235"/>
    </row>
    <row r="133" spans="1:24">
      <c r="B133" s="235"/>
      <c r="C133" s="235"/>
      <c r="D133" s="235"/>
    </row>
    <row r="134" spans="1:24" ht="12" customHeight="1">
      <c r="A134" s="234" t="s">
        <v>297</v>
      </c>
      <c r="B134" s="235">
        <f>+V134*(1-$D$5)</f>
        <v>2.9660100000000003</v>
      </c>
      <c r="C134" s="235">
        <f>+W134*(1-$D$5)</f>
        <v>1.9773400000000001</v>
      </c>
      <c r="D134" s="235">
        <f t="shared" si="74"/>
        <v>4.9433500000000006</v>
      </c>
      <c r="E134" s="236">
        <v>0.5</v>
      </c>
      <c r="F134" s="237">
        <v>79.06</v>
      </c>
      <c r="G134" s="248">
        <f>+F134*E134*D134*52</f>
        <v>10161.352526000002</v>
      </c>
      <c r="H134" s="250">
        <f>ROUND(F134*(1+$H$10),2)</f>
        <v>82.08</v>
      </c>
      <c r="I134" s="248">
        <f>+H134*D134*E134*52</f>
        <v>10549.504368000002</v>
      </c>
      <c r="J134" s="251">
        <f>+H134-F134</f>
        <v>3.019999999999996</v>
      </c>
      <c r="K134" s="252">
        <f>+I134-G134</f>
        <v>388.15184199999931</v>
      </c>
      <c r="L134" s="253">
        <f>J134/F134</f>
        <v>3.8198836326840326E-2</v>
      </c>
      <c r="M134" s="249">
        <f>+$M$55*8</f>
        <v>800</v>
      </c>
      <c r="N134" s="208">
        <f>+D134*E134*M134*52/2000</f>
        <v>51.41084</v>
      </c>
      <c r="O134" s="255">
        <f t="shared" ref="O134:O152" si="103">+$O$10*N134</f>
        <v>5398.1382000000003</v>
      </c>
      <c r="P134" s="210">
        <f>+O134/I134</f>
        <v>0.51169590643274854</v>
      </c>
      <c r="Q134" s="212">
        <f>+P134*H134</f>
        <v>42</v>
      </c>
      <c r="R134" s="212">
        <f>+H134-Q134</f>
        <v>40.08</v>
      </c>
      <c r="V134" s="234">
        <v>3</v>
      </c>
      <c r="W134" s="234">
        <v>2</v>
      </c>
      <c r="X134" s="234">
        <f t="shared" ref="X134:X152" si="104">+W134+V134</f>
        <v>5</v>
      </c>
    </row>
    <row r="135" spans="1:24">
      <c r="A135" s="234" t="s">
        <v>298</v>
      </c>
      <c r="B135" s="235">
        <f t="shared" ref="B135:C152" si="105">+V135*(1-$D$5)</f>
        <v>146.32316</v>
      </c>
      <c r="C135" s="235">
        <f t="shared" si="105"/>
        <v>33.614780000000003</v>
      </c>
      <c r="D135" s="235">
        <f t="shared" si="74"/>
        <v>179.93794</v>
      </c>
      <c r="E135" s="236">
        <v>1</v>
      </c>
      <c r="F135" s="237">
        <f>+F134</f>
        <v>79.06</v>
      </c>
      <c r="G135" s="248">
        <f>+F135*E135*D135*52</f>
        <v>739746.46389280003</v>
      </c>
      <c r="H135" s="250">
        <f>ROUND(F135*(1+$H$10),2)</f>
        <v>82.08</v>
      </c>
      <c r="I135" s="248">
        <f>+H135*D135*E135*52</f>
        <v>768003.91799039999</v>
      </c>
      <c r="J135" s="251">
        <f>+H135-F135</f>
        <v>3.019999999999996</v>
      </c>
      <c r="K135" s="252">
        <f>+I135-G135</f>
        <v>28257.454097599955</v>
      </c>
      <c r="L135" s="253">
        <f>J135/F135</f>
        <v>3.8198836326840326E-2</v>
      </c>
      <c r="M135" s="249">
        <f>+M134</f>
        <v>800</v>
      </c>
      <c r="N135" s="208">
        <f>+D135*E135*M135*52/2000</f>
        <v>3742.7091519999999</v>
      </c>
      <c r="O135" s="255">
        <f t="shared" si="103"/>
        <v>392984.46096</v>
      </c>
      <c r="P135" s="210">
        <f>+O135/I135</f>
        <v>0.51169590643274854</v>
      </c>
      <c r="Q135" s="212">
        <f>+P135*H135</f>
        <v>42</v>
      </c>
      <c r="R135" s="212">
        <f>+H135-Q135</f>
        <v>40.08</v>
      </c>
      <c r="V135" s="234">
        <v>148</v>
      </c>
      <c r="W135" s="234">
        <v>34</v>
      </c>
      <c r="X135" s="234">
        <f t="shared" si="104"/>
        <v>182</v>
      </c>
    </row>
    <row r="136" spans="1:24">
      <c r="A136" s="234" t="s">
        <v>299</v>
      </c>
      <c r="B136" s="235">
        <f t="shared" si="105"/>
        <v>25.70542</v>
      </c>
      <c r="C136" s="235">
        <f t="shared" si="105"/>
        <v>5.9320200000000005</v>
      </c>
      <c r="D136" s="235">
        <f t="shared" si="74"/>
        <v>31.637440000000002</v>
      </c>
      <c r="E136" s="236">
        <v>1</v>
      </c>
      <c r="F136" s="237">
        <f t="shared" ref="F136:F152" si="106">+F135</f>
        <v>79.06</v>
      </c>
      <c r="G136" s="248">
        <f t="shared" ref="G136:G152" si="107">+F136*E136*D136*52</f>
        <v>130065.31233280002</v>
      </c>
      <c r="H136" s="250">
        <f t="shared" ref="H136:H152" si="108">ROUND(F136*(1+$H$10),2)</f>
        <v>82.08</v>
      </c>
      <c r="I136" s="248">
        <f t="shared" ref="I136:I152" si="109">+H136*D136*E136*52</f>
        <v>135033.6559104</v>
      </c>
      <c r="J136" s="251">
        <f t="shared" ref="J136:K152" si="110">+H136-F136</f>
        <v>3.019999999999996</v>
      </c>
      <c r="K136" s="252">
        <f t="shared" si="110"/>
        <v>4968.3435775999824</v>
      </c>
      <c r="L136" s="253">
        <f t="shared" ref="L136:L152" si="111">J136/F136</f>
        <v>3.8198836326840326E-2</v>
      </c>
      <c r="M136" s="249">
        <f t="shared" ref="M136:M152" si="112">+M135</f>
        <v>800</v>
      </c>
      <c r="N136" s="208">
        <f t="shared" ref="N136:N152" si="113">+D136*E136*M136*52/2000</f>
        <v>658.05875200000003</v>
      </c>
      <c r="O136" s="255">
        <f t="shared" si="103"/>
        <v>69096.16896000001</v>
      </c>
      <c r="P136" s="210">
        <f t="shared" ref="P136:P152" si="114">+O136/I136</f>
        <v>0.51169590643274865</v>
      </c>
      <c r="Q136" s="212">
        <f t="shared" ref="Q136:Q152" si="115">+P136*H136</f>
        <v>42.000000000000007</v>
      </c>
      <c r="R136" s="212">
        <f t="shared" ref="R136:R152" si="116">+H136-Q136</f>
        <v>40.079999999999991</v>
      </c>
      <c r="V136" s="234">
        <v>26</v>
      </c>
      <c r="W136" s="234">
        <v>6</v>
      </c>
      <c r="X136" s="234">
        <f t="shared" si="104"/>
        <v>32</v>
      </c>
    </row>
    <row r="137" spans="1:24">
      <c r="A137" s="234" t="s">
        <v>300</v>
      </c>
      <c r="B137" s="235">
        <f t="shared" si="105"/>
        <v>11.864040000000001</v>
      </c>
      <c r="C137" s="235">
        <f t="shared" si="105"/>
        <v>2.9660100000000003</v>
      </c>
      <c r="D137" s="235">
        <f t="shared" si="74"/>
        <v>14.830050000000002</v>
      </c>
      <c r="E137" s="236">
        <v>1</v>
      </c>
      <c r="F137" s="237">
        <f t="shared" si="106"/>
        <v>79.06</v>
      </c>
      <c r="G137" s="248">
        <f t="shared" si="107"/>
        <v>60968.115156000014</v>
      </c>
      <c r="H137" s="250">
        <f t="shared" si="108"/>
        <v>82.08</v>
      </c>
      <c r="I137" s="248">
        <f t="shared" si="109"/>
        <v>63297.026208000003</v>
      </c>
      <c r="J137" s="251">
        <f t="shared" si="110"/>
        <v>3.019999999999996</v>
      </c>
      <c r="K137" s="252">
        <f t="shared" si="110"/>
        <v>2328.9110519999886</v>
      </c>
      <c r="L137" s="253">
        <f t="shared" si="111"/>
        <v>3.8198836326840326E-2</v>
      </c>
      <c r="M137" s="249">
        <f t="shared" si="112"/>
        <v>800</v>
      </c>
      <c r="N137" s="208">
        <f t="shared" si="113"/>
        <v>308.46504000000004</v>
      </c>
      <c r="O137" s="255">
        <f t="shared" si="103"/>
        <v>32388.829200000004</v>
      </c>
      <c r="P137" s="210">
        <f t="shared" si="114"/>
        <v>0.51169590643274854</v>
      </c>
      <c r="Q137" s="212">
        <f t="shared" si="115"/>
        <v>42</v>
      </c>
      <c r="R137" s="212">
        <f t="shared" si="116"/>
        <v>40.08</v>
      </c>
      <c r="V137" s="234">
        <v>12</v>
      </c>
      <c r="W137" s="234">
        <v>3</v>
      </c>
      <c r="X137" s="234">
        <f t="shared" si="104"/>
        <v>15</v>
      </c>
    </row>
    <row r="138" spans="1:24">
      <c r="A138" s="234" t="s">
        <v>301</v>
      </c>
      <c r="B138" s="235">
        <f t="shared" si="105"/>
        <v>15.818720000000001</v>
      </c>
      <c r="C138" s="235">
        <f t="shared" si="105"/>
        <v>0</v>
      </c>
      <c r="D138" s="235">
        <f t="shared" si="74"/>
        <v>15.818720000000001</v>
      </c>
      <c r="E138" s="236">
        <v>1</v>
      </c>
      <c r="F138" s="237">
        <f t="shared" si="106"/>
        <v>79.06</v>
      </c>
      <c r="G138" s="248">
        <f t="shared" si="107"/>
        <v>65032.656166400011</v>
      </c>
      <c r="H138" s="250">
        <f t="shared" si="108"/>
        <v>82.08</v>
      </c>
      <c r="I138" s="248">
        <f t="shared" si="109"/>
        <v>67516.827955200002</v>
      </c>
      <c r="J138" s="251">
        <f t="shared" si="110"/>
        <v>3.019999999999996</v>
      </c>
      <c r="K138" s="252">
        <f t="shared" si="110"/>
        <v>2484.1717887999912</v>
      </c>
      <c r="L138" s="253">
        <f t="shared" si="111"/>
        <v>3.8198836326840326E-2</v>
      </c>
      <c r="M138" s="249">
        <f t="shared" si="112"/>
        <v>800</v>
      </c>
      <c r="N138" s="208">
        <f t="shared" si="113"/>
        <v>329.02937600000001</v>
      </c>
      <c r="O138" s="255">
        <f t="shared" si="103"/>
        <v>34548.084480000005</v>
      </c>
      <c r="P138" s="210">
        <f t="shared" si="114"/>
        <v>0.51169590643274865</v>
      </c>
      <c r="Q138" s="212">
        <f t="shared" si="115"/>
        <v>42.000000000000007</v>
      </c>
      <c r="R138" s="212">
        <f t="shared" si="116"/>
        <v>40.079999999999991</v>
      </c>
      <c r="V138" s="234">
        <v>16</v>
      </c>
      <c r="X138" s="234">
        <f t="shared" si="104"/>
        <v>16</v>
      </c>
    </row>
    <row r="139" spans="1:24">
      <c r="A139" s="234" t="s">
        <v>302</v>
      </c>
      <c r="B139" s="235">
        <f t="shared" si="105"/>
        <v>4.9433500000000006</v>
      </c>
      <c r="C139" s="235">
        <f t="shared" si="105"/>
        <v>0</v>
      </c>
      <c r="D139" s="235">
        <f t="shared" si="74"/>
        <v>4.9433500000000006</v>
      </c>
      <c r="E139" s="236">
        <v>1</v>
      </c>
      <c r="F139" s="237">
        <f t="shared" si="106"/>
        <v>79.06</v>
      </c>
      <c r="G139" s="248">
        <f t="shared" si="107"/>
        <v>20322.705052000005</v>
      </c>
      <c r="H139" s="250">
        <f t="shared" si="108"/>
        <v>82.08</v>
      </c>
      <c r="I139" s="248">
        <f t="shared" si="109"/>
        <v>21099.008736000003</v>
      </c>
      <c r="J139" s="251">
        <f t="shared" si="110"/>
        <v>3.019999999999996</v>
      </c>
      <c r="K139" s="252">
        <f t="shared" si="110"/>
        <v>776.30368399999861</v>
      </c>
      <c r="L139" s="253">
        <f t="shared" si="111"/>
        <v>3.8198836326840326E-2</v>
      </c>
      <c r="M139" s="249">
        <f t="shared" si="112"/>
        <v>800</v>
      </c>
      <c r="N139" s="208">
        <f t="shared" si="113"/>
        <v>102.82168</v>
      </c>
      <c r="O139" s="255">
        <f t="shared" si="103"/>
        <v>10796.276400000001</v>
      </c>
      <c r="P139" s="210">
        <f t="shared" si="114"/>
        <v>0.51169590643274854</v>
      </c>
      <c r="Q139" s="212">
        <f t="shared" si="115"/>
        <v>42</v>
      </c>
      <c r="R139" s="212">
        <f t="shared" si="116"/>
        <v>40.08</v>
      </c>
      <c r="V139" s="234">
        <v>5</v>
      </c>
      <c r="X139" s="234">
        <f t="shared" si="104"/>
        <v>5</v>
      </c>
    </row>
    <row r="140" spans="1:24">
      <c r="A140" s="234" t="s">
        <v>303</v>
      </c>
      <c r="B140" s="235">
        <f t="shared" si="105"/>
        <v>7.9093600000000004</v>
      </c>
      <c r="C140" s="235">
        <f t="shared" si="105"/>
        <v>0</v>
      </c>
      <c r="D140" s="235">
        <f t="shared" si="74"/>
        <v>7.9093600000000004</v>
      </c>
      <c r="E140" s="236">
        <v>1</v>
      </c>
      <c r="F140" s="237">
        <f t="shared" si="106"/>
        <v>79.06</v>
      </c>
      <c r="G140" s="248">
        <f t="shared" si="107"/>
        <v>32516.328083200005</v>
      </c>
      <c r="H140" s="250">
        <f t="shared" si="108"/>
        <v>82.08</v>
      </c>
      <c r="I140" s="248">
        <f t="shared" si="109"/>
        <v>33758.413977600001</v>
      </c>
      <c r="J140" s="251">
        <f t="shared" si="110"/>
        <v>3.019999999999996</v>
      </c>
      <c r="K140" s="252">
        <f t="shared" si="110"/>
        <v>1242.0858943999956</v>
      </c>
      <c r="L140" s="253">
        <f t="shared" si="111"/>
        <v>3.8198836326840326E-2</v>
      </c>
      <c r="M140" s="249">
        <f t="shared" si="112"/>
        <v>800</v>
      </c>
      <c r="N140" s="208">
        <f t="shared" si="113"/>
        <v>164.51468800000001</v>
      </c>
      <c r="O140" s="255">
        <f t="shared" si="103"/>
        <v>17274.042240000002</v>
      </c>
      <c r="P140" s="210">
        <f t="shared" si="114"/>
        <v>0.51169590643274865</v>
      </c>
      <c r="Q140" s="212">
        <f t="shared" si="115"/>
        <v>42.000000000000007</v>
      </c>
      <c r="R140" s="212">
        <f t="shared" si="116"/>
        <v>40.079999999999991</v>
      </c>
      <c r="V140" s="234">
        <v>8</v>
      </c>
      <c r="X140" s="234">
        <f t="shared" si="104"/>
        <v>8</v>
      </c>
    </row>
    <row r="141" spans="1:24">
      <c r="A141" s="234" t="s">
        <v>304</v>
      </c>
      <c r="B141" s="235">
        <f t="shared" si="105"/>
        <v>76.127589999999998</v>
      </c>
      <c r="C141" s="235">
        <f t="shared" si="105"/>
        <v>7.9093600000000004</v>
      </c>
      <c r="D141" s="235">
        <f t="shared" si="74"/>
        <v>84.036950000000004</v>
      </c>
      <c r="E141" s="236">
        <v>2</v>
      </c>
      <c r="F141" s="237">
        <f t="shared" si="106"/>
        <v>79.06</v>
      </c>
      <c r="G141" s="248">
        <f t="shared" si="107"/>
        <v>690971.97176800005</v>
      </c>
      <c r="H141" s="250">
        <f t="shared" si="108"/>
        <v>82.08</v>
      </c>
      <c r="I141" s="248">
        <f t="shared" si="109"/>
        <v>717366.29702399997</v>
      </c>
      <c r="J141" s="251">
        <f t="shared" si="110"/>
        <v>3.019999999999996</v>
      </c>
      <c r="K141" s="252">
        <f t="shared" si="110"/>
        <v>26394.325255999924</v>
      </c>
      <c r="L141" s="253">
        <f t="shared" si="111"/>
        <v>3.8198836326840326E-2</v>
      </c>
      <c r="M141" s="249">
        <f t="shared" si="112"/>
        <v>800</v>
      </c>
      <c r="N141" s="208">
        <f t="shared" si="113"/>
        <v>3495.93712</v>
      </c>
      <c r="O141" s="255">
        <f t="shared" si="103"/>
        <v>367073.39760000003</v>
      </c>
      <c r="P141" s="210">
        <f t="shared" si="114"/>
        <v>0.51169590643274865</v>
      </c>
      <c r="Q141" s="212">
        <f t="shared" si="115"/>
        <v>42.000000000000007</v>
      </c>
      <c r="R141" s="212">
        <f t="shared" si="116"/>
        <v>40.079999999999991</v>
      </c>
      <c r="V141" s="234">
        <v>77</v>
      </c>
      <c r="W141" s="234">
        <v>8</v>
      </c>
      <c r="X141" s="234">
        <f t="shared" si="104"/>
        <v>85</v>
      </c>
    </row>
    <row r="142" spans="1:24">
      <c r="A142" s="234" t="s">
        <v>305</v>
      </c>
      <c r="B142" s="235">
        <f t="shared" si="105"/>
        <v>13.841380000000001</v>
      </c>
      <c r="C142" s="235">
        <f t="shared" si="105"/>
        <v>1.9773400000000001</v>
      </c>
      <c r="D142" s="235">
        <f t="shared" si="74"/>
        <v>15.818720000000001</v>
      </c>
      <c r="E142" s="236">
        <v>2</v>
      </c>
      <c r="F142" s="237">
        <f t="shared" si="106"/>
        <v>79.06</v>
      </c>
      <c r="G142" s="248">
        <f t="shared" si="107"/>
        <v>130065.31233280002</v>
      </c>
      <c r="H142" s="250">
        <f t="shared" si="108"/>
        <v>82.08</v>
      </c>
      <c r="I142" s="248">
        <f t="shared" si="109"/>
        <v>135033.6559104</v>
      </c>
      <c r="J142" s="251">
        <f t="shared" si="110"/>
        <v>3.019999999999996</v>
      </c>
      <c r="K142" s="252">
        <f t="shared" si="110"/>
        <v>4968.3435775999824</v>
      </c>
      <c r="L142" s="253">
        <f t="shared" si="111"/>
        <v>3.8198836326840326E-2</v>
      </c>
      <c r="M142" s="249">
        <f t="shared" si="112"/>
        <v>800</v>
      </c>
      <c r="N142" s="208">
        <f t="shared" si="113"/>
        <v>658.05875200000003</v>
      </c>
      <c r="O142" s="255">
        <f t="shared" si="103"/>
        <v>69096.16896000001</v>
      </c>
      <c r="P142" s="210">
        <f t="shared" si="114"/>
        <v>0.51169590643274865</v>
      </c>
      <c r="Q142" s="212">
        <f t="shared" si="115"/>
        <v>42.000000000000007</v>
      </c>
      <c r="R142" s="212">
        <f t="shared" si="116"/>
        <v>40.079999999999991</v>
      </c>
      <c r="V142" s="234">
        <v>14</v>
      </c>
      <c r="W142" s="234">
        <v>2</v>
      </c>
      <c r="X142" s="234">
        <f t="shared" si="104"/>
        <v>16</v>
      </c>
    </row>
    <row r="143" spans="1:24">
      <c r="A143" s="234" t="s">
        <v>306</v>
      </c>
      <c r="B143" s="235">
        <f t="shared" si="105"/>
        <v>20.762070000000001</v>
      </c>
      <c r="C143" s="235">
        <f t="shared" si="105"/>
        <v>0</v>
      </c>
      <c r="D143" s="235">
        <f t="shared" si="74"/>
        <v>20.762070000000001</v>
      </c>
      <c r="E143" s="236">
        <v>2</v>
      </c>
      <c r="F143" s="237">
        <f t="shared" si="106"/>
        <v>79.06</v>
      </c>
      <c r="G143" s="248">
        <f t="shared" si="107"/>
        <v>170710.72243680002</v>
      </c>
      <c r="H143" s="250">
        <f t="shared" si="108"/>
        <v>82.08</v>
      </c>
      <c r="I143" s="248">
        <f t="shared" si="109"/>
        <v>177231.67338240001</v>
      </c>
      <c r="J143" s="251">
        <f t="shared" si="110"/>
        <v>3.019999999999996</v>
      </c>
      <c r="K143" s="252">
        <f t="shared" si="110"/>
        <v>6520.9509455999942</v>
      </c>
      <c r="L143" s="253">
        <f t="shared" si="111"/>
        <v>3.8198836326840326E-2</v>
      </c>
      <c r="M143" s="249">
        <f t="shared" si="112"/>
        <v>800</v>
      </c>
      <c r="N143" s="208">
        <f t="shared" si="113"/>
        <v>863.70211200000017</v>
      </c>
      <c r="O143" s="255">
        <f t="shared" si="103"/>
        <v>90688.721760000015</v>
      </c>
      <c r="P143" s="210">
        <f t="shared" si="114"/>
        <v>0.51169590643274854</v>
      </c>
      <c r="Q143" s="212">
        <f t="shared" si="115"/>
        <v>42</v>
      </c>
      <c r="R143" s="212">
        <f t="shared" si="116"/>
        <v>40.08</v>
      </c>
      <c r="V143" s="234">
        <v>21</v>
      </c>
      <c r="X143" s="234">
        <f t="shared" si="104"/>
        <v>21</v>
      </c>
    </row>
    <row r="144" spans="1:24">
      <c r="A144" s="234" t="s">
        <v>307</v>
      </c>
      <c r="B144" s="235">
        <f t="shared" si="105"/>
        <v>15.818720000000001</v>
      </c>
      <c r="C144" s="235">
        <f t="shared" si="105"/>
        <v>0</v>
      </c>
      <c r="D144" s="235">
        <f t="shared" si="74"/>
        <v>15.818720000000001</v>
      </c>
      <c r="E144" s="236">
        <v>2</v>
      </c>
      <c r="F144" s="237">
        <f t="shared" si="106"/>
        <v>79.06</v>
      </c>
      <c r="G144" s="248">
        <f t="shared" si="107"/>
        <v>130065.31233280002</v>
      </c>
      <c r="H144" s="250">
        <f t="shared" si="108"/>
        <v>82.08</v>
      </c>
      <c r="I144" s="248">
        <f t="shared" si="109"/>
        <v>135033.6559104</v>
      </c>
      <c r="J144" s="251">
        <f t="shared" si="110"/>
        <v>3.019999999999996</v>
      </c>
      <c r="K144" s="252">
        <f t="shared" si="110"/>
        <v>4968.3435775999824</v>
      </c>
      <c r="L144" s="253">
        <f t="shared" si="111"/>
        <v>3.8198836326840326E-2</v>
      </c>
      <c r="M144" s="249">
        <f t="shared" si="112"/>
        <v>800</v>
      </c>
      <c r="N144" s="208">
        <f t="shared" si="113"/>
        <v>658.05875200000003</v>
      </c>
      <c r="O144" s="255">
        <f t="shared" si="103"/>
        <v>69096.16896000001</v>
      </c>
      <c r="P144" s="210">
        <f t="shared" si="114"/>
        <v>0.51169590643274865</v>
      </c>
      <c r="Q144" s="212">
        <f t="shared" si="115"/>
        <v>42.000000000000007</v>
      </c>
      <c r="R144" s="212">
        <f t="shared" si="116"/>
        <v>40.079999999999991</v>
      </c>
      <c r="V144" s="234">
        <v>16</v>
      </c>
      <c r="X144" s="234">
        <f t="shared" si="104"/>
        <v>16</v>
      </c>
    </row>
    <row r="145" spans="1:24">
      <c r="A145" s="234" t="s">
        <v>308</v>
      </c>
      <c r="B145" s="235">
        <f t="shared" si="105"/>
        <v>19.773400000000002</v>
      </c>
      <c r="C145" s="235">
        <f t="shared" si="105"/>
        <v>0</v>
      </c>
      <c r="D145" s="235">
        <f t="shared" si="74"/>
        <v>19.773400000000002</v>
      </c>
      <c r="E145" s="236">
        <v>2</v>
      </c>
      <c r="F145" s="237">
        <f t="shared" si="106"/>
        <v>79.06</v>
      </c>
      <c r="G145" s="248">
        <f t="shared" si="107"/>
        <v>162581.64041600004</v>
      </c>
      <c r="H145" s="250">
        <f t="shared" si="108"/>
        <v>82.08</v>
      </c>
      <c r="I145" s="248">
        <f t="shared" si="109"/>
        <v>168792.06988800003</v>
      </c>
      <c r="J145" s="251">
        <f t="shared" si="110"/>
        <v>3.019999999999996</v>
      </c>
      <c r="K145" s="252">
        <f t="shared" si="110"/>
        <v>6210.4294719999889</v>
      </c>
      <c r="L145" s="253">
        <f t="shared" si="111"/>
        <v>3.8198836326840326E-2</v>
      </c>
      <c r="M145" s="249">
        <f t="shared" si="112"/>
        <v>800</v>
      </c>
      <c r="N145" s="208">
        <f t="shared" si="113"/>
        <v>822.57344000000001</v>
      </c>
      <c r="O145" s="255">
        <f t="shared" si="103"/>
        <v>86370.211200000005</v>
      </c>
      <c r="P145" s="210">
        <f t="shared" si="114"/>
        <v>0.51169590643274854</v>
      </c>
      <c r="Q145" s="212">
        <f t="shared" si="115"/>
        <v>42</v>
      </c>
      <c r="R145" s="212">
        <f t="shared" si="116"/>
        <v>40.08</v>
      </c>
      <c r="V145" s="234">
        <v>20</v>
      </c>
      <c r="X145" s="234">
        <f t="shared" si="104"/>
        <v>20</v>
      </c>
    </row>
    <row r="146" spans="1:24">
      <c r="A146" s="234" t="s">
        <v>309</v>
      </c>
      <c r="B146" s="235">
        <f t="shared" si="105"/>
        <v>13.841380000000001</v>
      </c>
      <c r="C146" s="235">
        <f t="shared" si="105"/>
        <v>0</v>
      </c>
      <c r="D146" s="235">
        <f t="shared" si="74"/>
        <v>13.841380000000001</v>
      </c>
      <c r="E146" s="236">
        <v>2</v>
      </c>
      <c r="F146" s="237">
        <f t="shared" si="106"/>
        <v>79.06</v>
      </c>
      <c r="G146" s="248">
        <f t="shared" si="107"/>
        <v>113807.14829120001</v>
      </c>
      <c r="H146" s="250">
        <f t="shared" si="108"/>
        <v>82.08</v>
      </c>
      <c r="I146" s="248">
        <f t="shared" si="109"/>
        <v>118154.44892159999</v>
      </c>
      <c r="J146" s="251">
        <f t="shared" si="110"/>
        <v>3.019999999999996</v>
      </c>
      <c r="K146" s="252">
        <f t="shared" si="110"/>
        <v>4347.3006303999864</v>
      </c>
      <c r="L146" s="253">
        <f t="shared" si="111"/>
        <v>3.8198836326840326E-2</v>
      </c>
      <c r="M146" s="249">
        <f t="shared" si="112"/>
        <v>800</v>
      </c>
      <c r="N146" s="208">
        <f t="shared" si="113"/>
        <v>575.80140800000004</v>
      </c>
      <c r="O146" s="255">
        <f t="shared" si="103"/>
        <v>60459.147840000005</v>
      </c>
      <c r="P146" s="210">
        <f t="shared" si="114"/>
        <v>0.51169590643274865</v>
      </c>
      <c r="Q146" s="212">
        <f t="shared" si="115"/>
        <v>42.000000000000007</v>
      </c>
      <c r="R146" s="212">
        <f t="shared" si="116"/>
        <v>40.079999999999991</v>
      </c>
      <c r="V146" s="234">
        <v>14</v>
      </c>
      <c r="X146" s="234">
        <f t="shared" si="104"/>
        <v>14</v>
      </c>
    </row>
    <row r="147" spans="1:24">
      <c r="A147" s="234" t="s">
        <v>310</v>
      </c>
      <c r="B147" s="235">
        <f t="shared" si="105"/>
        <v>7.9093600000000004</v>
      </c>
      <c r="C147" s="235">
        <f t="shared" si="105"/>
        <v>0</v>
      </c>
      <c r="D147" s="235">
        <f t="shared" si="74"/>
        <v>7.9093600000000004</v>
      </c>
      <c r="E147" s="236">
        <v>2</v>
      </c>
      <c r="F147" s="237">
        <f t="shared" si="106"/>
        <v>79.06</v>
      </c>
      <c r="G147" s="248">
        <f t="shared" si="107"/>
        <v>65032.656166400011</v>
      </c>
      <c r="H147" s="250">
        <f t="shared" si="108"/>
        <v>82.08</v>
      </c>
      <c r="I147" s="248">
        <f t="shared" si="109"/>
        <v>67516.827955200002</v>
      </c>
      <c r="J147" s="251">
        <f t="shared" si="110"/>
        <v>3.019999999999996</v>
      </c>
      <c r="K147" s="252">
        <f t="shared" si="110"/>
        <v>2484.1717887999912</v>
      </c>
      <c r="L147" s="253">
        <f t="shared" si="111"/>
        <v>3.8198836326840326E-2</v>
      </c>
      <c r="M147" s="249">
        <f t="shared" si="112"/>
        <v>800</v>
      </c>
      <c r="N147" s="208">
        <f t="shared" si="113"/>
        <v>329.02937600000001</v>
      </c>
      <c r="O147" s="255">
        <f t="shared" si="103"/>
        <v>34548.084480000005</v>
      </c>
      <c r="P147" s="210">
        <f t="shared" si="114"/>
        <v>0.51169590643274865</v>
      </c>
      <c r="Q147" s="212">
        <f t="shared" si="115"/>
        <v>42.000000000000007</v>
      </c>
      <c r="R147" s="212">
        <f t="shared" si="116"/>
        <v>40.079999999999991</v>
      </c>
      <c r="V147" s="234">
        <v>8</v>
      </c>
      <c r="X147" s="234">
        <f t="shared" si="104"/>
        <v>8</v>
      </c>
    </row>
    <row r="148" spans="1:24">
      <c r="A148" s="234" t="s">
        <v>311</v>
      </c>
      <c r="B148" s="235">
        <f t="shared" si="105"/>
        <v>20.762070000000001</v>
      </c>
      <c r="C148" s="235">
        <f t="shared" si="105"/>
        <v>4.9433500000000006</v>
      </c>
      <c r="D148" s="235">
        <f t="shared" si="74"/>
        <v>25.705420000000004</v>
      </c>
      <c r="E148" s="236">
        <v>3</v>
      </c>
      <c r="F148" s="237">
        <f t="shared" si="106"/>
        <v>79.06</v>
      </c>
      <c r="G148" s="248">
        <f t="shared" si="107"/>
        <v>317034.19881120004</v>
      </c>
      <c r="H148" s="250">
        <f t="shared" si="108"/>
        <v>82.08</v>
      </c>
      <c r="I148" s="248">
        <f t="shared" si="109"/>
        <v>329144.53628160001</v>
      </c>
      <c r="J148" s="251">
        <f t="shared" si="110"/>
        <v>3.019999999999996</v>
      </c>
      <c r="K148" s="252">
        <f t="shared" si="110"/>
        <v>12110.337470399973</v>
      </c>
      <c r="L148" s="253">
        <f t="shared" si="111"/>
        <v>3.8198836326840326E-2</v>
      </c>
      <c r="M148" s="249">
        <f t="shared" si="112"/>
        <v>800</v>
      </c>
      <c r="N148" s="208">
        <f t="shared" si="113"/>
        <v>1604.0182080000004</v>
      </c>
      <c r="O148" s="255">
        <f t="shared" si="103"/>
        <v>168421.91184000004</v>
      </c>
      <c r="P148" s="210">
        <f t="shared" si="114"/>
        <v>0.51169590643274865</v>
      </c>
      <c r="Q148" s="212">
        <f t="shared" si="115"/>
        <v>42.000000000000007</v>
      </c>
      <c r="R148" s="212">
        <f t="shared" si="116"/>
        <v>40.079999999999991</v>
      </c>
      <c r="V148" s="234">
        <v>21</v>
      </c>
      <c r="W148" s="234">
        <v>5</v>
      </c>
      <c r="X148" s="234">
        <f t="shared" si="104"/>
        <v>26</v>
      </c>
    </row>
    <row r="149" spans="1:24">
      <c r="A149" s="234" t="s">
        <v>312</v>
      </c>
      <c r="B149" s="235">
        <f t="shared" si="105"/>
        <v>4.9433500000000006</v>
      </c>
      <c r="C149" s="235">
        <f t="shared" si="105"/>
        <v>1.9773400000000001</v>
      </c>
      <c r="D149" s="235">
        <f t="shared" si="74"/>
        <v>6.9206900000000005</v>
      </c>
      <c r="E149" s="236">
        <v>3</v>
      </c>
      <c r="F149" s="237">
        <f t="shared" si="106"/>
        <v>79.06</v>
      </c>
      <c r="G149" s="248">
        <f t="shared" si="107"/>
        <v>85355.361218400009</v>
      </c>
      <c r="H149" s="250">
        <f t="shared" si="108"/>
        <v>82.08</v>
      </c>
      <c r="I149" s="248">
        <f t="shared" si="109"/>
        <v>88615.836691200006</v>
      </c>
      <c r="J149" s="251">
        <f t="shared" si="110"/>
        <v>3.019999999999996</v>
      </c>
      <c r="K149" s="252">
        <f t="shared" si="110"/>
        <v>3260.4754727999971</v>
      </c>
      <c r="L149" s="253">
        <f t="shared" si="111"/>
        <v>3.8198836326840326E-2</v>
      </c>
      <c r="M149" s="249">
        <f t="shared" si="112"/>
        <v>800</v>
      </c>
      <c r="N149" s="208">
        <f t="shared" si="113"/>
        <v>431.85105600000009</v>
      </c>
      <c r="O149" s="255">
        <f t="shared" si="103"/>
        <v>45344.360880000007</v>
      </c>
      <c r="P149" s="210">
        <f t="shared" si="114"/>
        <v>0.51169590643274854</v>
      </c>
      <c r="Q149" s="212">
        <f t="shared" si="115"/>
        <v>42</v>
      </c>
      <c r="R149" s="212">
        <f t="shared" si="116"/>
        <v>40.08</v>
      </c>
      <c r="V149" s="234">
        <v>5</v>
      </c>
      <c r="W149" s="234">
        <v>2</v>
      </c>
      <c r="X149" s="234">
        <f t="shared" si="104"/>
        <v>7</v>
      </c>
    </row>
    <row r="150" spans="1:24">
      <c r="A150" s="234" t="s">
        <v>313</v>
      </c>
      <c r="B150" s="235">
        <f t="shared" si="105"/>
        <v>4.9433500000000006</v>
      </c>
      <c r="C150" s="235">
        <f t="shared" si="105"/>
        <v>0</v>
      </c>
      <c r="D150" s="235">
        <f t="shared" si="74"/>
        <v>4.9433500000000006</v>
      </c>
      <c r="E150" s="236">
        <v>3</v>
      </c>
      <c r="F150" s="237">
        <f t="shared" si="106"/>
        <v>79.06</v>
      </c>
      <c r="G150" s="248">
        <f t="shared" si="107"/>
        <v>60968.115156000014</v>
      </c>
      <c r="H150" s="250">
        <f t="shared" si="108"/>
        <v>82.08</v>
      </c>
      <c r="I150" s="248">
        <f t="shared" si="109"/>
        <v>63297.026208000003</v>
      </c>
      <c r="J150" s="251">
        <f t="shared" si="110"/>
        <v>3.019999999999996</v>
      </c>
      <c r="K150" s="252">
        <f t="shared" si="110"/>
        <v>2328.9110519999886</v>
      </c>
      <c r="L150" s="253">
        <f t="shared" si="111"/>
        <v>3.8198836326840326E-2</v>
      </c>
      <c r="M150" s="249">
        <f t="shared" si="112"/>
        <v>800</v>
      </c>
      <c r="N150" s="208">
        <f t="shared" si="113"/>
        <v>308.46504000000004</v>
      </c>
      <c r="O150" s="255">
        <f t="shared" si="103"/>
        <v>32388.829200000004</v>
      </c>
      <c r="P150" s="210">
        <f t="shared" si="114"/>
        <v>0.51169590643274854</v>
      </c>
      <c r="Q150" s="212">
        <f t="shared" si="115"/>
        <v>42</v>
      </c>
      <c r="R150" s="212">
        <f t="shared" si="116"/>
        <v>40.08</v>
      </c>
      <c r="V150" s="234">
        <v>5</v>
      </c>
      <c r="X150" s="234">
        <f t="shared" si="104"/>
        <v>5</v>
      </c>
    </row>
    <row r="151" spans="1:24">
      <c r="A151" s="234" t="s">
        <v>314</v>
      </c>
      <c r="B151" s="235">
        <f t="shared" si="105"/>
        <v>3.9546800000000002</v>
      </c>
      <c r="C151" s="235">
        <f t="shared" si="105"/>
        <v>0</v>
      </c>
      <c r="D151" s="235">
        <f t="shared" si="74"/>
        <v>3.9546800000000002</v>
      </c>
      <c r="E151" s="236">
        <v>4</v>
      </c>
      <c r="F151" s="237">
        <f t="shared" si="106"/>
        <v>79.06</v>
      </c>
      <c r="G151" s="248">
        <f t="shared" si="107"/>
        <v>65032.656166400011</v>
      </c>
      <c r="H151" s="250">
        <f t="shared" si="108"/>
        <v>82.08</v>
      </c>
      <c r="I151" s="248">
        <f t="shared" si="109"/>
        <v>67516.827955200002</v>
      </c>
      <c r="J151" s="251">
        <f t="shared" si="110"/>
        <v>3.019999999999996</v>
      </c>
      <c r="K151" s="252">
        <f t="shared" si="110"/>
        <v>2484.1717887999912</v>
      </c>
      <c r="L151" s="253">
        <f t="shared" si="111"/>
        <v>3.8198836326840326E-2</v>
      </c>
      <c r="M151" s="249">
        <f t="shared" si="112"/>
        <v>800</v>
      </c>
      <c r="N151" s="208">
        <f t="shared" si="113"/>
        <v>329.02937600000001</v>
      </c>
      <c r="O151" s="255">
        <f t="shared" si="103"/>
        <v>34548.084480000005</v>
      </c>
      <c r="P151" s="210">
        <f t="shared" si="114"/>
        <v>0.51169590643274865</v>
      </c>
      <c r="Q151" s="212">
        <f t="shared" si="115"/>
        <v>42.000000000000007</v>
      </c>
      <c r="R151" s="212">
        <f t="shared" si="116"/>
        <v>40.079999999999991</v>
      </c>
      <c r="V151" s="234">
        <v>4</v>
      </c>
      <c r="X151" s="234">
        <f t="shared" si="104"/>
        <v>4</v>
      </c>
    </row>
    <row r="152" spans="1:24" ht="16.5">
      <c r="A152" s="234" t="s">
        <v>315</v>
      </c>
      <c r="B152" s="256">
        <f t="shared" si="105"/>
        <v>0.98867000000000005</v>
      </c>
      <c r="C152" s="256">
        <f t="shared" si="105"/>
        <v>0.98867000000000005</v>
      </c>
      <c r="D152" s="256">
        <f t="shared" si="74"/>
        <v>1.9773400000000001</v>
      </c>
      <c r="E152" s="236">
        <v>5</v>
      </c>
      <c r="F152" s="237">
        <f t="shared" si="106"/>
        <v>79.06</v>
      </c>
      <c r="G152" s="257">
        <f t="shared" si="107"/>
        <v>40645.410104000002</v>
      </c>
      <c r="H152" s="250">
        <f t="shared" si="108"/>
        <v>82.08</v>
      </c>
      <c r="I152" s="257">
        <f t="shared" si="109"/>
        <v>42198.017472000007</v>
      </c>
      <c r="J152" s="251">
        <f t="shared" si="110"/>
        <v>3.019999999999996</v>
      </c>
      <c r="K152" s="258">
        <f t="shared" si="110"/>
        <v>1552.6073680000045</v>
      </c>
      <c r="L152" s="253">
        <f t="shared" si="111"/>
        <v>3.8198836326840326E-2</v>
      </c>
      <c r="M152" s="249">
        <f t="shared" si="112"/>
        <v>800</v>
      </c>
      <c r="N152" s="259">
        <f t="shared" si="113"/>
        <v>205.64336</v>
      </c>
      <c r="O152" s="260">
        <f t="shared" si="103"/>
        <v>21592.552800000001</v>
      </c>
      <c r="P152" s="210">
        <f t="shared" si="114"/>
        <v>0.51169590643274854</v>
      </c>
      <c r="Q152" s="212">
        <f t="shared" si="115"/>
        <v>42</v>
      </c>
      <c r="R152" s="212">
        <f t="shared" si="116"/>
        <v>40.08</v>
      </c>
      <c r="V152" s="261">
        <v>1</v>
      </c>
      <c r="W152" s="261">
        <v>1</v>
      </c>
      <c r="X152" s="261">
        <f t="shared" si="104"/>
        <v>2</v>
      </c>
    </row>
    <row r="153" spans="1:24" ht="16.5">
      <c r="B153" s="262">
        <f>SUM(B134:B152)</f>
        <v>419.19607999999999</v>
      </c>
      <c r="C153" s="262">
        <f>SUM(C134:C152)</f>
        <v>62.286209999999997</v>
      </c>
      <c r="D153" s="262">
        <f>SUM(D134:D152)</f>
        <v>481.48228999999998</v>
      </c>
      <c r="E153" s="263"/>
      <c r="G153" s="238">
        <f>SUM(G134:G152)</f>
        <v>3091083.4384091999</v>
      </c>
      <c r="H153" s="238"/>
      <c r="I153" s="238">
        <f>SUM(I134:I152)</f>
        <v>3209159.2287455993</v>
      </c>
      <c r="J153" s="238"/>
      <c r="K153" s="238">
        <f>SUM(K134:K152)</f>
        <v>118075.79033639969</v>
      </c>
      <c r="L153" s="238"/>
      <c r="M153" s="238"/>
      <c r="N153" s="244">
        <f>SUM(N134:N152)</f>
        <v>15639.177528000004</v>
      </c>
      <c r="O153" s="238">
        <f>SUM(O134:O152)</f>
        <v>1642113.64044</v>
      </c>
      <c r="V153" s="264">
        <f>SUM(V134:V152)</f>
        <v>424</v>
      </c>
      <c r="W153" s="264">
        <f>SUM(W134:W152)</f>
        <v>63</v>
      </c>
      <c r="X153" s="264">
        <f>SUM(X134:X152)</f>
        <v>487</v>
      </c>
    </row>
    <row r="154" spans="1:24">
      <c r="B154" s="235"/>
      <c r="C154" s="235"/>
      <c r="D154" s="235"/>
    </row>
    <row r="155" spans="1:24">
      <c r="B155" s="235"/>
      <c r="C155" s="235"/>
      <c r="D155" s="235"/>
    </row>
    <row r="156" spans="1:24">
      <c r="A156" s="234" t="s">
        <v>316</v>
      </c>
      <c r="B156" s="235">
        <f>+V156*(1-$D$5)</f>
        <v>1.9773400000000001</v>
      </c>
      <c r="C156" s="235">
        <f>+W156*(1-$D$5)</f>
        <v>0</v>
      </c>
      <c r="D156" s="235">
        <f t="shared" si="74"/>
        <v>1.9773400000000001</v>
      </c>
      <c r="E156" s="236">
        <v>1</v>
      </c>
      <c r="F156" s="237">
        <v>62.92</v>
      </c>
      <c r="G156" s="248">
        <f t="shared" ref="G156:G163" si="117">+F156*E156*D156*52</f>
        <v>6469.5401056000001</v>
      </c>
      <c r="H156" s="250">
        <f>ROUND(F156*(1+$H$10),2)</f>
        <v>65.319999999999993</v>
      </c>
      <c r="I156" s="248">
        <f>+H156*D156*E156*52</f>
        <v>6716.3121375999999</v>
      </c>
      <c r="J156" s="251">
        <f>+H156-F156</f>
        <v>2.3999999999999915</v>
      </c>
      <c r="K156" s="252">
        <f>+I156-G156</f>
        <v>246.77203199999985</v>
      </c>
      <c r="L156" s="253">
        <f>J156/F156</f>
        <v>3.8143674507310737E-2</v>
      </c>
      <c r="M156" s="249">
        <f>+$M$55*2*3</f>
        <v>600</v>
      </c>
      <c r="N156" s="208">
        <f>+D156*E156*M156*52/2000</f>
        <v>30.846503999999999</v>
      </c>
      <c r="O156" s="255">
        <f t="shared" ref="O156:O163" si="118">+$O$10*N156</f>
        <v>3238.88292</v>
      </c>
      <c r="P156" s="210">
        <f>+O156/I156</f>
        <v>0.48224127372933251</v>
      </c>
      <c r="Q156" s="212">
        <f>+P156*H156</f>
        <v>31.499999999999996</v>
      </c>
      <c r="R156" s="212">
        <f>+H156-Q156</f>
        <v>33.819999999999993</v>
      </c>
      <c r="V156" s="234">
        <v>2</v>
      </c>
      <c r="X156" s="234">
        <f t="shared" ref="X156:X163" si="119">+W156+V156</f>
        <v>2</v>
      </c>
    </row>
    <row r="157" spans="1:24">
      <c r="A157" s="234" t="s">
        <v>317</v>
      </c>
      <c r="B157" s="235">
        <f t="shared" ref="B157:C163" si="120">+V157*(1-$D$5)</f>
        <v>3.9546800000000002</v>
      </c>
      <c r="C157" s="235">
        <f t="shared" si="120"/>
        <v>0</v>
      </c>
      <c r="D157" s="235">
        <f t="shared" si="74"/>
        <v>3.9546800000000002</v>
      </c>
      <c r="E157" s="236">
        <v>2</v>
      </c>
      <c r="F157" s="237">
        <f>+F156</f>
        <v>62.92</v>
      </c>
      <c r="G157" s="248">
        <f t="shared" si="117"/>
        <v>25878.1604224</v>
      </c>
      <c r="H157" s="250">
        <f t="shared" ref="H157:H163" si="121">ROUND(F157*(1+$H$10),2)</f>
        <v>65.319999999999993</v>
      </c>
      <c r="I157" s="248">
        <f t="shared" ref="I157:I163" si="122">+H157*D157*E157*52</f>
        <v>26865.2485504</v>
      </c>
      <c r="J157" s="251">
        <f t="shared" ref="J157:K163" si="123">+H157-F157</f>
        <v>2.3999999999999915</v>
      </c>
      <c r="K157" s="252">
        <f t="shared" si="123"/>
        <v>987.08812799999941</v>
      </c>
      <c r="L157" s="253">
        <f t="shared" ref="L157:L163" si="124">J157/F157</f>
        <v>3.8143674507310737E-2</v>
      </c>
      <c r="M157" s="249">
        <f>+$M$55*2*3</f>
        <v>600</v>
      </c>
      <c r="N157" s="208">
        <f t="shared" ref="N157:N163" si="125">+D157*E157*M157*52/2000</f>
        <v>123.386016</v>
      </c>
      <c r="O157" s="255">
        <f t="shared" si="118"/>
        <v>12955.53168</v>
      </c>
      <c r="P157" s="210">
        <f t="shared" ref="P157:P163" si="126">+O157/I157</f>
        <v>0.48224127372933251</v>
      </c>
      <c r="Q157" s="212">
        <f t="shared" ref="Q157:Q163" si="127">+P157*H157</f>
        <v>31.499999999999996</v>
      </c>
      <c r="R157" s="212">
        <f t="shared" ref="R157:R163" si="128">+H157-Q157</f>
        <v>33.819999999999993</v>
      </c>
      <c r="V157" s="234">
        <v>4</v>
      </c>
      <c r="X157" s="234">
        <f t="shared" si="119"/>
        <v>4</v>
      </c>
    </row>
    <row r="158" spans="1:24">
      <c r="A158" s="234" t="s">
        <v>318</v>
      </c>
      <c r="B158" s="235">
        <f t="shared" si="120"/>
        <v>0.98867000000000005</v>
      </c>
      <c r="C158" s="235">
        <f t="shared" si="120"/>
        <v>0</v>
      </c>
      <c r="D158" s="235">
        <f t="shared" si="74"/>
        <v>0.98867000000000005</v>
      </c>
      <c r="E158" s="236">
        <v>1</v>
      </c>
      <c r="F158" s="237">
        <v>83.7</v>
      </c>
      <c r="G158" s="248">
        <f t="shared" si="117"/>
        <v>4303.0873080000001</v>
      </c>
      <c r="H158" s="250">
        <f t="shared" si="121"/>
        <v>86.9</v>
      </c>
      <c r="I158" s="248">
        <f t="shared" si="122"/>
        <v>4467.6019960000003</v>
      </c>
      <c r="J158" s="251">
        <f t="shared" si="123"/>
        <v>3.2000000000000028</v>
      </c>
      <c r="K158" s="252">
        <f t="shared" si="123"/>
        <v>164.51468800000021</v>
      </c>
      <c r="L158" s="253">
        <f t="shared" si="124"/>
        <v>3.8231780167264071E-2</v>
      </c>
      <c r="M158" s="249">
        <f>+$M$55*3*3</f>
        <v>900</v>
      </c>
      <c r="N158" s="208">
        <f t="shared" si="125"/>
        <v>23.134878</v>
      </c>
      <c r="O158" s="255">
        <f t="shared" si="118"/>
        <v>2429.16219</v>
      </c>
      <c r="P158" s="210">
        <f t="shared" si="126"/>
        <v>0.54372842347525885</v>
      </c>
      <c r="Q158" s="212">
        <f t="shared" si="127"/>
        <v>47.25</v>
      </c>
      <c r="R158" s="212">
        <f t="shared" si="128"/>
        <v>39.650000000000006</v>
      </c>
      <c r="V158" s="234">
        <v>1</v>
      </c>
      <c r="X158" s="234">
        <f t="shared" si="119"/>
        <v>1</v>
      </c>
    </row>
    <row r="159" spans="1:24">
      <c r="A159" s="234" t="s">
        <v>319</v>
      </c>
      <c r="B159" s="235">
        <f t="shared" si="120"/>
        <v>1.9773400000000001</v>
      </c>
      <c r="C159" s="235">
        <f t="shared" si="120"/>
        <v>1.9773400000000001</v>
      </c>
      <c r="D159" s="235">
        <f t="shared" si="74"/>
        <v>3.9546800000000002</v>
      </c>
      <c r="E159" s="236">
        <v>1</v>
      </c>
      <c r="F159" s="237">
        <v>105.28</v>
      </c>
      <c r="G159" s="248">
        <f t="shared" si="117"/>
        <v>21650.132940800002</v>
      </c>
      <c r="H159" s="250">
        <f t="shared" si="121"/>
        <v>109.3</v>
      </c>
      <c r="I159" s="248">
        <f t="shared" si="122"/>
        <v>22476.819248</v>
      </c>
      <c r="J159" s="251">
        <f t="shared" si="123"/>
        <v>4.019999999999996</v>
      </c>
      <c r="K159" s="252">
        <f t="shared" si="123"/>
        <v>826.68630719999783</v>
      </c>
      <c r="L159" s="253">
        <f t="shared" si="124"/>
        <v>3.8183890577507561E-2</v>
      </c>
      <c r="M159" s="249">
        <f>+$M$55*4*3</f>
        <v>1200</v>
      </c>
      <c r="N159" s="208">
        <f t="shared" si="125"/>
        <v>123.386016</v>
      </c>
      <c r="O159" s="255">
        <f t="shared" si="118"/>
        <v>12955.53168</v>
      </c>
      <c r="P159" s="210">
        <f t="shared" si="126"/>
        <v>0.57639524245196705</v>
      </c>
      <c r="Q159" s="212">
        <f t="shared" si="127"/>
        <v>63</v>
      </c>
      <c r="R159" s="212">
        <f t="shared" si="128"/>
        <v>46.3</v>
      </c>
      <c r="V159" s="234">
        <v>2</v>
      </c>
      <c r="W159" s="234">
        <v>2</v>
      </c>
      <c r="X159" s="234">
        <f t="shared" si="119"/>
        <v>4</v>
      </c>
    </row>
    <row r="160" spans="1:24">
      <c r="A160" s="234" t="s">
        <v>320</v>
      </c>
      <c r="B160" s="235">
        <f t="shared" si="120"/>
        <v>2.9660100000000003</v>
      </c>
      <c r="C160" s="235">
        <f t="shared" si="120"/>
        <v>0</v>
      </c>
      <c r="D160" s="235">
        <f t="shared" ref="D160:D189" si="129">+C160+B160</f>
        <v>2.9660100000000003</v>
      </c>
      <c r="E160" s="236">
        <v>2</v>
      </c>
      <c r="F160" s="237">
        <f>+F159</f>
        <v>105.28</v>
      </c>
      <c r="G160" s="248">
        <f t="shared" si="117"/>
        <v>32475.199411200007</v>
      </c>
      <c r="H160" s="250">
        <f t="shared" si="121"/>
        <v>109.3</v>
      </c>
      <c r="I160" s="248">
        <f t="shared" si="122"/>
        <v>33715.228872000007</v>
      </c>
      <c r="J160" s="251">
        <f t="shared" si="123"/>
        <v>4.019999999999996</v>
      </c>
      <c r="K160" s="252">
        <f t="shared" si="123"/>
        <v>1240.0294608000004</v>
      </c>
      <c r="L160" s="253">
        <f t="shared" si="124"/>
        <v>3.8183890577507561E-2</v>
      </c>
      <c r="M160" s="249">
        <f>+M159</f>
        <v>1200</v>
      </c>
      <c r="N160" s="208">
        <f t="shared" si="125"/>
        <v>185.07902400000003</v>
      </c>
      <c r="O160" s="255">
        <f t="shared" si="118"/>
        <v>19433.297520000004</v>
      </c>
      <c r="P160" s="210">
        <f t="shared" si="126"/>
        <v>0.57639524245196705</v>
      </c>
      <c r="Q160" s="212">
        <f t="shared" si="127"/>
        <v>63</v>
      </c>
      <c r="R160" s="212">
        <f t="shared" si="128"/>
        <v>46.3</v>
      </c>
      <c r="V160" s="234">
        <v>3</v>
      </c>
      <c r="X160" s="234">
        <f t="shared" si="119"/>
        <v>3</v>
      </c>
    </row>
    <row r="161" spans="1:24">
      <c r="A161" s="234" t="s">
        <v>321</v>
      </c>
      <c r="B161" s="235">
        <f t="shared" si="120"/>
        <v>0.98867000000000005</v>
      </c>
      <c r="C161" s="235">
        <f t="shared" si="120"/>
        <v>0</v>
      </c>
      <c r="D161" s="235">
        <f t="shared" si="129"/>
        <v>0.98867000000000005</v>
      </c>
      <c r="E161" s="236">
        <v>3</v>
      </c>
      <c r="F161" s="237">
        <f>+F160</f>
        <v>105.28</v>
      </c>
      <c r="G161" s="248">
        <f t="shared" si="117"/>
        <v>16237.599705600003</v>
      </c>
      <c r="H161" s="250">
        <f t="shared" si="121"/>
        <v>109.3</v>
      </c>
      <c r="I161" s="248">
        <f t="shared" si="122"/>
        <v>16857.614436</v>
      </c>
      <c r="J161" s="251">
        <f t="shared" si="123"/>
        <v>4.019999999999996</v>
      </c>
      <c r="K161" s="252">
        <f t="shared" si="123"/>
        <v>620.01473039999655</v>
      </c>
      <c r="L161" s="253">
        <f t="shared" si="124"/>
        <v>3.8183890577507561E-2</v>
      </c>
      <c r="M161" s="249">
        <f>+M160</f>
        <v>1200</v>
      </c>
      <c r="N161" s="208">
        <f t="shared" si="125"/>
        <v>92.539512000000016</v>
      </c>
      <c r="O161" s="255">
        <f t="shared" si="118"/>
        <v>9716.6487600000019</v>
      </c>
      <c r="P161" s="210">
        <f t="shared" si="126"/>
        <v>0.57639524245196716</v>
      </c>
      <c r="Q161" s="212">
        <f t="shared" si="127"/>
        <v>63.000000000000007</v>
      </c>
      <c r="R161" s="212">
        <f t="shared" si="128"/>
        <v>46.29999999999999</v>
      </c>
      <c r="V161" s="234">
        <v>1</v>
      </c>
      <c r="X161" s="234">
        <f t="shared" si="119"/>
        <v>1</v>
      </c>
    </row>
    <row r="162" spans="1:24">
      <c r="A162" s="234" t="s">
        <v>322</v>
      </c>
      <c r="B162" s="235">
        <f t="shared" si="120"/>
        <v>0.98867000000000005</v>
      </c>
      <c r="C162" s="235">
        <f t="shared" si="120"/>
        <v>0</v>
      </c>
      <c r="D162" s="235">
        <f t="shared" si="129"/>
        <v>0.98867000000000005</v>
      </c>
      <c r="E162" s="236">
        <v>1</v>
      </c>
      <c r="F162" s="237">
        <v>146.32</v>
      </c>
      <c r="G162" s="248">
        <f t="shared" si="117"/>
        <v>7522.4341088000001</v>
      </c>
      <c r="H162" s="250">
        <f t="shared" si="121"/>
        <v>151.91</v>
      </c>
      <c r="I162" s="248">
        <f t="shared" si="122"/>
        <v>7809.8207044000001</v>
      </c>
      <c r="J162" s="251">
        <f t="shared" si="123"/>
        <v>5.5900000000000034</v>
      </c>
      <c r="K162" s="252">
        <f t="shared" si="123"/>
        <v>287.38659559999996</v>
      </c>
      <c r="L162" s="253">
        <f t="shared" si="124"/>
        <v>3.8203936577364705E-2</v>
      </c>
      <c r="M162" s="249">
        <f>+$M$55*6*3</f>
        <v>1800</v>
      </c>
      <c r="N162" s="208">
        <f t="shared" si="125"/>
        <v>46.269756000000001</v>
      </c>
      <c r="O162" s="255">
        <f t="shared" si="118"/>
        <v>4858.32438</v>
      </c>
      <c r="P162" s="210">
        <f t="shared" si="126"/>
        <v>0.62207886248436572</v>
      </c>
      <c r="Q162" s="212">
        <f t="shared" si="127"/>
        <v>94.5</v>
      </c>
      <c r="R162" s="212">
        <f t="shared" si="128"/>
        <v>57.41</v>
      </c>
      <c r="V162" s="234">
        <v>1</v>
      </c>
      <c r="X162" s="234">
        <f t="shared" si="119"/>
        <v>1</v>
      </c>
    </row>
    <row r="163" spans="1:24" ht="16.5">
      <c r="A163" s="234" t="s">
        <v>323</v>
      </c>
      <c r="B163" s="256">
        <f t="shared" si="120"/>
        <v>0.98867000000000005</v>
      </c>
      <c r="C163" s="256">
        <f t="shared" si="120"/>
        <v>0</v>
      </c>
      <c r="D163" s="256">
        <f t="shared" si="129"/>
        <v>0.98867000000000005</v>
      </c>
      <c r="E163" s="236">
        <v>2</v>
      </c>
      <c r="F163" s="237">
        <v>187.46</v>
      </c>
      <c r="G163" s="257">
        <f t="shared" si="117"/>
        <v>19274.952132800001</v>
      </c>
      <c r="H163" s="250">
        <f t="shared" si="121"/>
        <v>194.62</v>
      </c>
      <c r="I163" s="257">
        <f t="shared" si="122"/>
        <v>20011.155361600002</v>
      </c>
      <c r="J163" s="251">
        <f t="shared" si="123"/>
        <v>7.1599999999999966</v>
      </c>
      <c r="K163" s="258">
        <f t="shared" si="123"/>
        <v>736.20322880000094</v>
      </c>
      <c r="L163" s="253">
        <f t="shared" si="124"/>
        <v>3.8194814893843999E-2</v>
      </c>
      <c r="M163" s="249">
        <f>+$M$55*8*3</f>
        <v>2400</v>
      </c>
      <c r="N163" s="259">
        <f t="shared" si="125"/>
        <v>123.386016</v>
      </c>
      <c r="O163" s="260">
        <f t="shared" si="118"/>
        <v>12955.53168</v>
      </c>
      <c r="P163" s="210">
        <f t="shared" si="126"/>
        <v>0.64741547631281471</v>
      </c>
      <c r="Q163" s="212">
        <f t="shared" si="127"/>
        <v>126</v>
      </c>
      <c r="R163" s="212">
        <f t="shared" si="128"/>
        <v>68.62</v>
      </c>
      <c r="V163" s="261">
        <v>1</v>
      </c>
      <c r="W163" s="261"/>
      <c r="X163" s="261">
        <f t="shared" si="119"/>
        <v>1</v>
      </c>
    </row>
    <row r="164" spans="1:24" ht="16.5">
      <c r="B164" s="262">
        <f>SUM(B156:B163)</f>
        <v>14.830050000000004</v>
      </c>
      <c r="C164" s="262">
        <f>SUM(C156:C163)</f>
        <v>1.9773400000000001</v>
      </c>
      <c r="D164" s="262">
        <f>SUM(D156:D163)</f>
        <v>16.807390000000002</v>
      </c>
      <c r="E164" s="263"/>
      <c r="G164" s="238">
        <f>SUM(G156:G163)</f>
        <v>133811.10613520004</v>
      </c>
      <c r="H164" s="238"/>
      <c r="I164" s="238">
        <f>SUM(I156:I163)</f>
        <v>138919.80130600001</v>
      </c>
      <c r="J164" s="238"/>
      <c r="K164" s="238">
        <f>SUM(K156:K163)</f>
        <v>5108.6951707999951</v>
      </c>
      <c r="L164" s="238"/>
      <c r="M164" s="238"/>
      <c r="N164" s="244">
        <f>SUM(N156:N163)</f>
        <v>748.02772200000015</v>
      </c>
      <c r="O164" s="238">
        <f>SUM(O156:O163)</f>
        <v>78542.910810000001</v>
      </c>
      <c r="V164" s="264">
        <f>SUM(V156:V163)</f>
        <v>15</v>
      </c>
      <c r="W164" s="264">
        <f>SUM(W156:W163)</f>
        <v>2</v>
      </c>
      <c r="X164" s="264">
        <f>SUM(X156:X163)</f>
        <v>17</v>
      </c>
    </row>
    <row r="165" spans="1:24">
      <c r="B165" s="235"/>
      <c r="C165" s="235"/>
      <c r="D165" s="235"/>
    </row>
    <row r="166" spans="1:24">
      <c r="B166" s="235"/>
      <c r="C166" s="235"/>
      <c r="D166" s="235"/>
    </row>
    <row r="167" spans="1:24" ht="12" customHeight="1">
      <c r="A167" s="234" t="s">
        <v>324</v>
      </c>
      <c r="B167" s="235">
        <f>+V167*(1-$D$5)</f>
        <v>26.694090000000003</v>
      </c>
      <c r="C167" s="235">
        <f>+W167*(1-$D$5)</f>
        <v>2.9660100000000003</v>
      </c>
      <c r="D167" s="235">
        <f t="shared" si="129"/>
        <v>29.660100000000003</v>
      </c>
      <c r="E167" s="236">
        <v>1</v>
      </c>
      <c r="F167" s="237">
        <v>0.2</v>
      </c>
      <c r="G167" s="248">
        <f>+F167*E167*D167*52</f>
        <v>308.46504000000004</v>
      </c>
      <c r="H167" s="250">
        <f>ROUND(F167*(1+$H$10),2)</f>
        <v>0.21</v>
      </c>
      <c r="I167" s="248">
        <f>+H167*D167*E167*52</f>
        <v>323.88829200000004</v>
      </c>
      <c r="J167" s="251">
        <f>+H167-F167</f>
        <v>9.9999999999999811E-3</v>
      </c>
      <c r="K167" s="252">
        <f>+I167-G167</f>
        <v>15.423251999999991</v>
      </c>
      <c r="L167" s="253">
        <f>J167/F167</f>
        <v>4.9999999999999906E-2</v>
      </c>
      <c r="V167" s="234">
        <v>27</v>
      </c>
      <c r="W167" s="234">
        <v>3</v>
      </c>
      <c r="X167" s="234">
        <f>+W167+V167</f>
        <v>30</v>
      </c>
    </row>
    <row r="168" spans="1:24" ht="16.5">
      <c r="A168" s="234" t="s">
        <v>325</v>
      </c>
      <c r="B168" s="256">
        <f>+V168*(1-$D$5)</f>
        <v>0</v>
      </c>
      <c r="C168" s="256">
        <f>+W168*(1-$D$5)</f>
        <v>0.98867000000000005</v>
      </c>
      <c r="D168" s="256">
        <f t="shared" si="129"/>
        <v>0.98867000000000005</v>
      </c>
      <c r="E168" s="269">
        <v>1</v>
      </c>
      <c r="F168" s="237">
        <v>0.8</v>
      </c>
      <c r="G168" s="257">
        <f>+F168*E168*D168*52</f>
        <v>41.128672000000002</v>
      </c>
      <c r="H168" s="250">
        <f>ROUND(F168*(1+$H$10),2)</f>
        <v>0.83</v>
      </c>
      <c r="I168" s="257">
        <f>+H168*D168*E168*52</f>
        <v>42.670997200000002</v>
      </c>
      <c r="J168" s="251">
        <f>+H168-F168</f>
        <v>2.9999999999999916E-2</v>
      </c>
      <c r="K168" s="258">
        <f>+I168-G168</f>
        <v>1.5423252000000005</v>
      </c>
      <c r="L168" s="270">
        <f>J168/F168</f>
        <v>3.7499999999999895E-2</v>
      </c>
      <c r="V168" s="261">
        <v>0</v>
      </c>
      <c r="W168" s="261">
        <v>1</v>
      </c>
      <c r="X168" s="261">
        <f>+W168+V168</f>
        <v>1</v>
      </c>
    </row>
    <row r="169" spans="1:24" ht="16.5">
      <c r="B169" s="262">
        <f>SUM(B167:B168)</f>
        <v>26.694090000000003</v>
      </c>
      <c r="C169" s="262">
        <f>SUM(C167:C168)</f>
        <v>3.9546800000000002</v>
      </c>
      <c r="D169" s="262">
        <f>SUM(D167:D168)</f>
        <v>30.648770000000003</v>
      </c>
      <c r="E169" s="263"/>
      <c r="G169" s="238">
        <f>SUM(G167:G168)</f>
        <v>349.59371200000004</v>
      </c>
      <c r="I169" s="238">
        <f>SUM(I167:I168)</f>
        <v>366.55928920000002</v>
      </c>
      <c r="K169" s="238">
        <f>SUM(K167:K168)</f>
        <v>16.965577199999991</v>
      </c>
      <c r="V169" s="264">
        <f>SUM(V167:V168)</f>
        <v>27</v>
      </c>
      <c r="W169" s="264">
        <f>SUM(W167:W168)</f>
        <v>4</v>
      </c>
      <c r="X169" s="264">
        <f>SUM(X167:X168)</f>
        <v>31</v>
      </c>
    </row>
    <row r="170" spans="1:24">
      <c r="B170" s="235"/>
      <c r="C170" s="235"/>
      <c r="D170" s="235"/>
    </row>
    <row r="171" spans="1:24">
      <c r="B171" s="235"/>
      <c r="C171" s="235"/>
      <c r="D171" s="235"/>
    </row>
    <row r="172" spans="1:24">
      <c r="A172" s="234" t="s">
        <v>326</v>
      </c>
      <c r="B172" s="235">
        <f>+V172*(1-$D$5)</f>
        <v>247.16750000000002</v>
      </c>
      <c r="C172" s="235">
        <f>+W172*(1-$D$5)</f>
        <v>58.331530000000001</v>
      </c>
      <c r="D172" s="235">
        <f t="shared" si="129"/>
        <v>305.49903</v>
      </c>
      <c r="E172" s="236">
        <v>1</v>
      </c>
      <c r="F172" s="237">
        <v>2.52</v>
      </c>
      <c r="G172" s="248">
        <f t="shared" ref="G172:G178" si="130">+F172*E172*D172*52</f>
        <v>40032.592891200002</v>
      </c>
      <c r="H172" s="250">
        <f>ROUND(F172*(1+$H$10),2)</f>
        <v>2.62</v>
      </c>
      <c r="I172" s="248">
        <f>+H172*D172*E172*52</f>
        <v>41621.187847200003</v>
      </c>
      <c r="J172" s="251">
        <f>+H172-F172</f>
        <v>0.10000000000000009</v>
      </c>
      <c r="K172" s="252">
        <f>+I172-G172</f>
        <v>1588.5949560000008</v>
      </c>
      <c r="L172" s="253">
        <f>J172/F172</f>
        <v>3.9682539682539715E-2</v>
      </c>
      <c r="V172" s="234">
        <v>250</v>
      </c>
      <c r="W172" s="234">
        <v>59</v>
      </c>
      <c r="X172" s="234">
        <f t="shared" ref="X172:X178" si="131">+W172+V172</f>
        <v>309</v>
      </c>
    </row>
    <row r="173" spans="1:24">
      <c r="A173" s="234" t="s">
        <v>327</v>
      </c>
      <c r="B173" s="235">
        <f t="shared" ref="B173:C178" si="132">+V173*(1-$D$5)</f>
        <v>147.31183000000001</v>
      </c>
      <c r="C173" s="235">
        <f t="shared" si="132"/>
        <v>11.864040000000001</v>
      </c>
      <c r="D173" s="235">
        <f t="shared" si="129"/>
        <v>159.17587</v>
      </c>
      <c r="E173" s="236">
        <v>2</v>
      </c>
      <c r="F173" s="237">
        <f t="shared" ref="F173:F178" si="133">+F172</f>
        <v>2.52</v>
      </c>
      <c r="G173" s="248">
        <f t="shared" si="130"/>
        <v>41716.812009599998</v>
      </c>
      <c r="H173" s="250">
        <f t="shared" ref="H173:H178" si="134">ROUND(F173*(1+$H$10),2)</f>
        <v>2.62</v>
      </c>
      <c r="I173" s="248">
        <f t="shared" ref="I173:I178" si="135">+H173*D173*E173*52</f>
        <v>43372.241057600004</v>
      </c>
      <c r="J173" s="251">
        <f t="shared" ref="J173:K178" si="136">+H173-F173</f>
        <v>0.10000000000000009</v>
      </c>
      <c r="K173" s="252">
        <f t="shared" si="136"/>
        <v>1655.4290480000054</v>
      </c>
      <c r="L173" s="253">
        <f t="shared" ref="L173:L178" si="137">J173/F173</f>
        <v>3.9682539682539715E-2</v>
      </c>
      <c r="V173" s="234">
        <v>149</v>
      </c>
      <c r="W173" s="234">
        <v>12</v>
      </c>
      <c r="X173" s="234">
        <f t="shared" si="131"/>
        <v>161</v>
      </c>
    </row>
    <row r="174" spans="1:24">
      <c r="A174" s="234" t="s">
        <v>328</v>
      </c>
      <c r="B174" s="235">
        <f t="shared" si="132"/>
        <v>25.70542</v>
      </c>
      <c r="C174" s="235">
        <f t="shared" si="132"/>
        <v>8.8980300000000003</v>
      </c>
      <c r="D174" s="235">
        <f t="shared" si="129"/>
        <v>34.603450000000002</v>
      </c>
      <c r="E174" s="236">
        <v>3</v>
      </c>
      <c r="F174" s="237">
        <f t="shared" si="133"/>
        <v>2.52</v>
      </c>
      <c r="G174" s="248">
        <f t="shared" si="130"/>
        <v>13603.308264000003</v>
      </c>
      <c r="H174" s="250">
        <f t="shared" si="134"/>
        <v>2.62</v>
      </c>
      <c r="I174" s="248">
        <f t="shared" si="135"/>
        <v>14143.122084000002</v>
      </c>
      <c r="J174" s="251">
        <f t="shared" si="136"/>
        <v>0.10000000000000009</v>
      </c>
      <c r="K174" s="252">
        <f t="shared" si="136"/>
        <v>539.8138199999994</v>
      </c>
      <c r="L174" s="253">
        <f t="shared" si="137"/>
        <v>3.9682539682539715E-2</v>
      </c>
      <c r="V174" s="234">
        <v>26</v>
      </c>
      <c r="W174" s="234">
        <v>9</v>
      </c>
      <c r="X174" s="234">
        <f t="shared" si="131"/>
        <v>35</v>
      </c>
    </row>
    <row r="175" spans="1:24">
      <c r="A175" s="234" t="s">
        <v>329</v>
      </c>
      <c r="B175" s="235">
        <f t="shared" si="132"/>
        <v>4.9433500000000006</v>
      </c>
      <c r="C175" s="235">
        <f t="shared" si="132"/>
        <v>0</v>
      </c>
      <c r="D175" s="235">
        <f t="shared" si="129"/>
        <v>4.9433500000000006</v>
      </c>
      <c r="E175" s="236">
        <v>4</v>
      </c>
      <c r="F175" s="237">
        <f t="shared" si="133"/>
        <v>2.52</v>
      </c>
      <c r="G175" s="248">
        <f t="shared" si="130"/>
        <v>2591.1063360000003</v>
      </c>
      <c r="H175" s="250">
        <f t="shared" si="134"/>
        <v>2.62</v>
      </c>
      <c r="I175" s="248">
        <f t="shared" si="135"/>
        <v>2693.9280160000003</v>
      </c>
      <c r="J175" s="251">
        <f t="shared" si="136"/>
        <v>0.10000000000000009</v>
      </c>
      <c r="K175" s="252">
        <f t="shared" si="136"/>
        <v>102.82168000000001</v>
      </c>
      <c r="L175" s="253">
        <f t="shared" si="137"/>
        <v>3.9682539682539715E-2</v>
      </c>
      <c r="V175" s="234">
        <v>5</v>
      </c>
      <c r="X175" s="234">
        <f t="shared" si="131"/>
        <v>5</v>
      </c>
    </row>
    <row r="176" spans="1:24">
      <c r="A176" s="234" t="s">
        <v>330</v>
      </c>
      <c r="B176" s="235">
        <f t="shared" si="132"/>
        <v>2.9660100000000003</v>
      </c>
      <c r="C176" s="235">
        <f t="shared" si="132"/>
        <v>0</v>
      </c>
      <c r="D176" s="235">
        <f t="shared" si="129"/>
        <v>2.9660100000000003</v>
      </c>
      <c r="E176" s="236">
        <v>5</v>
      </c>
      <c r="F176" s="237">
        <f t="shared" si="133"/>
        <v>2.52</v>
      </c>
      <c r="G176" s="248">
        <f t="shared" si="130"/>
        <v>1943.3297520000001</v>
      </c>
      <c r="H176" s="250">
        <f t="shared" si="134"/>
        <v>2.62</v>
      </c>
      <c r="I176" s="248">
        <f t="shared" si="135"/>
        <v>2020.4460120000001</v>
      </c>
      <c r="J176" s="251">
        <f t="shared" si="136"/>
        <v>0.10000000000000009</v>
      </c>
      <c r="K176" s="252">
        <f t="shared" si="136"/>
        <v>77.116260000000011</v>
      </c>
      <c r="L176" s="253">
        <f t="shared" si="137"/>
        <v>3.9682539682539715E-2</v>
      </c>
      <c r="V176" s="234">
        <v>3</v>
      </c>
      <c r="X176" s="234">
        <f t="shared" si="131"/>
        <v>3</v>
      </c>
    </row>
    <row r="177" spans="1:24">
      <c r="A177" s="234" t="s">
        <v>331</v>
      </c>
      <c r="B177" s="235">
        <f t="shared" si="132"/>
        <v>2.9660100000000003</v>
      </c>
      <c r="C177" s="235">
        <f t="shared" si="132"/>
        <v>1.9773400000000001</v>
      </c>
      <c r="D177" s="235">
        <f t="shared" si="129"/>
        <v>4.9433500000000006</v>
      </c>
      <c r="E177" s="236">
        <v>0.5</v>
      </c>
      <c r="F177" s="237">
        <f t="shared" si="133"/>
        <v>2.52</v>
      </c>
      <c r="G177" s="248">
        <f t="shared" si="130"/>
        <v>323.88829200000004</v>
      </c>
      <c r="H177" s="250">
        <f t="shared" si="134"/>
        <v>2.62</v>
      </c>
      <c r="I177" s="248">
        <f t="shared" si="135"/>
        <v>336.74100200000004</v>
      </c>
      <c r="J177" s="251">
        <f t="shared" si="136"/>
        <v>0.10000000000000009</v>
      </c>
      <c r="K177" s="252">
        <f t="shared" si="136"/>
        <v>12.852710000000002</v>
      </c>
      <c r="L177" s="253">
        <f t="shared" si="137"/>
        <v>3.9682539682539715E-2</v>
      </c>
      <c r="V177" s="234">
        <v>3</v>
      </c>
      <c r="W177" s="234">
        <v>2</v>
      </c>
      <c r="X177" s="234">
        <f t="shared" si="131"/>
        <v>5</v>
      </c>
    </row>
    <row r="178" spans="1:24" ht="16.5">
      <c r="A178" s="234" t="s">
        <v>332</v>
      </c>
      <c r="B178" s="256">
        <f t="shared" si="132"/>
        <v>0.98867000000000005</v>
      </c>
      <c r="C178" s="256">
        <f t="shared" si="132"/>
        <v>0</v>
      </c>
      <c r="D178" s="256">
        <f t="shared" si="129"/>
        <v>0.98867000000000005</v>
      </c>
      <c r="E178" s="269">
        <f>1/4.333</f>
        <v>0.23078698361412414</v>
      </c>
      <c r="F178" s="237">
        <f t="shared" si="133"/>
        <v>2.52</v>
      </c>
      <c r="G178" s="257">
        <f t="shared" si="130"/>
        <v>29.89968077544426</v>
      </c>
      <c r="H178" s="250">
        <f t="shared" si="134"/>
        <v>2.62</v>
      </c>
      <c r="I178" s="257">
        <f t="shared" si="135"/>
        <v>31.086176044311102</v>
      </c>
      <c r="J178" s="251">
        <f t="shared" si="136"/>
        <v>0.10000000000000009</v>
      </c>
      <c r="K178" s="258">
        <f t="shared" si="136"/>
        <v>1.1864952688668424</v>
      </c>
      <c r="L178" s="253">
        <f t="shared" si="137"/>
        <v>3.9682539682539715E-2</v>
      </c>
      <c r="V178" s="261">
        <v>1</v>
      </c>
      <c r="W178" s="261"/>
      <c r="X178" s="261">
        <f t="shared" si="131"/>
        <v>1</v>
      </c>
    </row>
    <row r="179" spans="1:24" ht="16.5">
      <c r="B179" s="262">
        <f>SUM(B172:B178)</f>
        <v>432.04879</v>
      </c>
      <c r="C179" s="262">
        <f>SUM(C172:C178)</f>
        <v>81.070940000000007</v>
      </c>
      <c r="D179" s="262">
        <f>SUM(D172:D178)</f>
        <v>513.11972999999989</v>
      </c>
      <c r="E179" s="263"/>
      <c r="G179" s="238">
        <f>SUM(G172:G178)</f>
        <v>100240.93722557546</v>
      </c>
      <c r="I179" s="238">
        <f>SUM(I172:I178)</f>
        <v>104218.75219484432</v>
      </c>
      <c r="K179" s="238">
        <f>SUM(K172:K178)</f>
        <v>3977.8149692688726</v>
      </c>
      <c r="V179" s="264">
        <f>SUM(V172:V178)</f>
        <v>437</v>
      </c>
      <c r="W179" s="264">
        <f>SUM(W172:W178)</f>
        <v>82</v>
      </c>
      <c r="X179" s="264">
        <f>SUM(X172:X178)</f>
        <v>519</v>
      </c>
    </row>
    <row r="180" spans="1:24">
      <c r="B180" s="235"/>
      <c r="C180" s="235"/>
      <c r="D180" s="235"/>
    </row>
    <row r="181" spans="1:24">
      <c r="B181" s="235"/>
      <c r="C181" s="235"/>
      <c r="D181" s="235"/>
    </row>
    <row r="182" spans="1:24">
      <c r="A182" s="234" t="s">
        <v>333</v>
      </c>
      <c r="B182" s="235">
        <f t="shared" ref="B182:C185" si="138">+V182*(1-$D$5)</f>
        <v>310.44238000000001</v>
      </c>
      <c r="C182" s="235">
        <f t="shared" si="138"/>
        <v>53.388180000000006</v>
      </c>
      <c r="D182" s="235">
        <f t="shared" si="129"/>
        <v>363.83055999999999</v>
      </c>
      <c r="E182" s="236">
        <v>1</v>
      </c>
      <c r="F182" s="237">
        <v>1.84</v>
      </c>
      <c r="G182" s="248">
        <f>+F182*E182*D182*52</f>
        <v>34811.307980800004</v>
      </c>
      <c r="H182" s="250">
        <f>ROUND(F182*(1+$H$10),2)</f>
        <v>1.91</v>
      </c>
      <c r="I182" s="248">
        <f>+H182*D182*E182*52</f>
        <v>36135.651219199994</v>
      </c>
      <c r="J182" s="251">
        <f t="shared" ref="J182:K185" si="139">+H182-F182</f>
        <v>6.999999999999984E-2</v>
      </c>
      <c r="K182" s="252">
        <f t="shared" si="139"/>
        <v>1324.3432383999898</v>
      </c>
      <c r="L182" s="253">
        <f>J182/F182</f>
        <v>3.8043478260869477E-2</v>
      </c>
      <c r="V182" s="234">
        <v>314</v>
      </c>
      <c r="W182" s="234">
        <v>54</v>
      </c>
      <c r="X182" s="234">
        <f>+W182+V182</f>
        <v>368</v>
      </c>
    </row>
    <row r="183" spans="1:24">
      <c r="A183" s="234" t="s">
        <v>334</v>
      </c>
      <c r="B183" s="235">
        <f t="shared" si="138"/>
        <v>104.79902</v>
      </c>
      <c r="C183" s="235">
        <f t="shared" si="138"/>
        <v>5.9320200000000005</v>
      </c>
      <c r="D183" s="235">
        <f t="shared" si="129"/>
        <v>110.73103999999999</v>
      </c>
      <c r="E183" s="236">
        <v>2</v>
      </c>
      <c r="F183" s="237">
        <f>+F182</f>
        <v>1.84</v>
      </c>
      <c r="G183" s="248">
        <f>+F183*E183*D183*52</f>
        <v>21189.4918144</v>
      </c>
      <c r="H183" s="250">
        <f>ROUND(F183*(1+$H$10),2)</f>
        <v>1.91</v>
      </c>
      <c r="I183" s="248">
        <f>+H183*D183*E183*52</f>
        <v>21995.613785599999</v>
      </c>
      <c r="J183" s="251">
        <f t="shared" si="139"/>
        <v>6.999999999999984E-2</v>
      </c>
      <c r="K183" s="252">
        <f t="shared" si="139"/>
        <v>806.12197119999837</v>
      </c>
      <c r="L183" s="253">
        <f>J183/F183</f>
        <v>3.8043478260869477E-2</v>
      </c>
      <c r="V183" s="234">
        <v>106</v>
      </c>
      <c r="W183" s="234">
        <v>6</v>
      </c>
      <c r="X183" s="234">
        <f>+W183+V183</f>
        <v>112</v>
      </c>
    </row>
    <row r="184" spans="1:24">
      <c r="A184" s="234" t="s">
        <v>335</v>
      </c>
      <c r="B184" s="235">
        <f t="shared" si="138"/>
        <v>14.83005</v>
      </c>
      <c r="C184" s="235">
        <f t="shared" si="138"/>
        <v>0.98867000000000005</v>
      </c>
      <c r="D184" s="235">
        <f t="shared" si="129"/>
        <v>15.818720000000001</v>
      </c>
      <c r="E184" s="236">
        <v>3</v>
      </c>
      <c r="F184" s="237">
        <f>+F183</f>
        <v>1.84</v>
      </c>
      <c r="G184" s="248">
        <f>+F184*E184*D184*52</f>
        <v>4540.6053888000006</v>
      </c>
      <c r="H184" s="250">
        <f>ROUND(F184*(1+$H$10),2)</f>
        <v>1.91</v>
      </c>
      <c r="I184" s="248">
        <f>+H184*D184*E184*52</f>
        <v>4713.3458111999998</v>
      </c>
      <c r="J184" s="251">
        <f t="shared" si="139"/>
        <v>6.999999999999984E-2</v>
      </c>
      <c r="K184" s="252">
        <f t="shared" si="139"/>
        <v>172.74042239999926</v>
      </c>
      <c r="L184" s="253">
        <f>J184/F184</f>
        <v>3.8043478260869477E-2</v>
      </c>
      <c r="V184" s="234">
        <v>15</v>
      </c>
      <c r="W184" s="234">
        <v>1</v>
      </c>
      <c r="X184" s="234">
        <f>+W184+V184</f>
        <v>16</v>
      </c>
    </row>
    <row r="185" spans="1:24" ht="16.5">
      <c r="A185" s="234" t="s">
        <v>336</v>
      </c>
      <c r="B185" s="256">
        <f t="shared" si="138"/>
        <v>3.9546800000000002</v>
      </c>
      <c r="C185" s="256">
        <f t="shared" si="138"/>
        <v>0</v>
      </c>
      <c r="D185" s="256">
        <f t="shared" si="129"/>
        <v>3.9546800000000002</v>
      </c>
      <c r="E185" s="236">
        <v>5</v>
      </c>
      <c r="F185" s="237">
        <f>+F184</f>
        <v>1.84</v>
      </c>
      <c r="G185" s="257">
        <f>+F185*E185*D185*52</f>
        <v>1891.9189120000001</v>
      </c>
      <c r="H185" s="250">
        <f>ROUND(F185*(1+$H$10),2)</f>
        <v>1.91</v>
      </c>
      <c r="I185" s="257">
        <f>+H185*D185*E185*52</f>
        <v>1963.8940880000002</v>
      </c>
      <c r="J185" s="251">
        <f t="shared" si="139"/>
        <v>6.999999999999984E-2</v>
      </c>
      <c r="K185" s="258">
        <f t="shared" si="139"/>
        <v>71.975176000000147</v>
      </c>
      <c r="L185" s="253">
        <f>J185/F185</f>
        <v>3.8043478260869477E-2</v>
      </c>
      <c r="V185" s="261">
        <v>4</v>
      </c>
      <c r="W185" s="261"/>
      <c r="X185" s="261">
        <f>+W185+V185</f>
        <v>4</v>
      </c>
    </row>
    <row r="186" spans="1:24" ht="16.5">
      <c r="B186" s="262">
        <f>SUM(B182:B185)</f>
        <v>434.02613000000002</v>
      </c>
      <c r="C186" s="262">
        <f>SUM(C182:C185)</f>
        <v>60.308870000000006</v>
      </c>
      <c r="D186" s="262">
        <f>SUM(D182:D185)</f>
        <v>494.33499999999998</v>
      </c>
      <c r="E186" s="263"/>
      <c r="G186" s="238">
        <f>SUM(G182:G185)</f>
        <v>62433.324096000004</v>
      </c>
      <c r="H186" s="238"/>
      <c r="I186" s="238">
        <f>SUM(I182:I185)</f>
        <v>64808.504903999994</v>
      </c>
      <c r="J186" s="238"/>
      <c r="K186" s="238">
        <f>SUM(K182:K185)</f>
        <v>2375.1808079999873</v>
      </c>
      <c r="V186" s="264">
        <f>SUM(V182:V185)</f>
        <v>439</v>
      </c>
      <c r="W186" s="264">
        <f>SUM(W182:W185)</f>
        <v>61</v>
      </c>
      <c r="X186" s="264">
        <f>SUM(X182:X185)</f>
        <v>500</v>
      </c>
    </row>
    <row r="187" spans="1:24">
      <c r="B187" s="235"/>
      <c r="C187" s="235"/>
      <c r="D187" s="235"/>
    </row>
    <row r="188" spans="1:24">
      <c r="B188" s="235"/>
      <c r="C188" s="235"/>
      <c r="D188" s="235"/>
    </row>
    <row r="189" spans="1:24">
      <c r="A189" s="234" t="s">
        <v>337</v>
      </c>
      <c r="B189" s="235">
        <f>+V189*(1-$D$5)</f>
        <v>60.308870000000006</v>
      </c>
      <c r="C189" s="235">
        <f>+W189*(1-$D$5)</f>
        <v>8.8980300000000003</v>
      </c>
      <c r="D189" s="235">
        <f t="shared" si="129"/>
        <v>69.206900000000005</v>
      </c>
      <c r="E189" s="236">
        <v>1</v>
      </c>
      <c r="F189" s="237">
        <v>2.52</v>
      </c>
      <c r="G189" s="248">
        <f>+F189*E189*D189*52</f>
        <v>9068.8721760000008</v>
      </c>
      <c r="H189" s="250">
        <f>ROUND(F189*(1+$H$10),2)</f>
        <v>2.62</v>
      </c>
      <c r="I189" s="248">
        <f>+H189*D189*E189*52</f>
        <v>9428.7480560000022</v>
      </c>
      <c r="J189" s="251">
        <f>+H189-F189</f>
        <v>0.10000000000000009</v>
      </c>
      <c r="K189" s="252">
        <f>+I189-G189</f>
        <v>359.87588000000142</v>
      </c>
      <c r="L189" s="253">
        <f>J189/F189</f>
        <v>3.9682539682539715E-2</v>
      </c>
      <c r="V189" s="234">
        <v>61</v>
      </c>
      <c r="W189" s="234">
        <v>9</v>
      </c>
      <c r="X189" s="234">
        <f>+W189+V189</f>
        <v>70</v>
      </c>
    </row>
    <row r="190" spans="1:24" ht="16.5">
      <c r="A190" s="234" t="s">
        <v>338</v>
      </c>
      <c r="B190" s="235">
        <f>+V190*(1-$D$5)</f>
        <v>68.218230000000005</v>
      </c>
      <c r="C190" s="235">
        <f>+W190*(1-$D$5)</f>
        <v>0</v>
      </c>
      <c r="D190" s="235">
        <f>+C190+B190</f>
        <v>68.218230000000005</v>
      </c>
      <c r="E190" s="236">
        <v>1</v>
      </c>
      <c r="F190" s="237">
        <v>69</v>
      </c>
      <c r="G190" s="257">
        <f>+F190*E190*D190*12</f>
        <v>56484.694440000007</v>
      </c>
      <c r="H190" s="250">
        <f>ROUND(F190*(1+$H$10),2)</f>
        <v>71.64</v>
      </c>
      <c r="I190" s="257">
        <f>+H190*D190*E190*12</f>
        <v>58645.847966400004</v>
      </c>
      <c r="J190" s="251">
        <f>+H190-F190</f>
        <v>2.6400000000000006</v>
      </c>
      <c r="K190" s="258">
        <f>+I190-G190</f>
        <v>2161.1535263999976</v>
      </c>
      <c r="L190" s="270">
        <f>J190/F190</f>
        <v>3.8260869565217397E-2</v>
      </c>
      <c r="V190" s="234">
        <v>69</v>
      </c>
      <c r="X190" s="234">
        <f>+W190+V190</f>
        <v>69</v>
      </c>
    </row>
    <row r="191" spans="1:24" ht="16.5">
      <c r="B191" s="235"/>
      <c r="C191" s="235"/>
      <c r="D191" s="235"/>
      <c r="G191" s="238">
        <f>SUM(G189:G190)</f>
        <v>65553.566616000011</v>
      </c>
      <c r="I191" s="238">
        <f>SUM(I189:I190)</f>
        <v>68074.596022400001</v>
      </c>
      <c r="K191" s="238">
        <f>SUM(K189:K190)</f>
        <v>2521.0294063999991</v>
      </c>
    </row>
    <row r="192" spans="1:24">
      <c r="B192" s="235"/>
      <c r="C192" s="235"/>
      <c r="D192" s="235"/>
    </row>
    <row r="193" spans="1:24" ht="16.5">
      <c r="B193" s="271">
        <f>+B164+B153+B131+B112+B93+B80+B68+B59+B52+B44+B35+B28+B11</f>
        <v>4190.972130000001</v>
      </c>
      <c r="C193" s="271">
        <f>+C164+C153+C131+C112+C93+C80+C68+C59+C52+C44+C35+C28+C11</f>
        <v>1200.2453800000003</v>
      </c>
      <c r="D193" s="271">
        <f>+D164+D153+D131+D112+D93+D80+D68+D59+D52+D44+D35+D28+D11</f>
        <v>5391.2175100000004</v>
      </c>
      <c r="G193" s="272">
        <f>+G191+G186+G179+G169+G164+G153+G131+G112+G93+G80+G68+G59+G52+G44+G35+G28+G11</f>
        <v>10023204.087327974</v>
      </c>
      <c r="H193" s="272"/>
      <c r="I193" s="272">
        <f>+I191+I186+I179+I169+I164+I153+I131+I112+I93+I80+I68+I59+I52+I44+I35+I28+I11</f>
        <v>10405985.553072844</v>
      </c>
      <c r="J193" s="272"/>
      <c r="K193" s="272">
        <f>+K191+K186+K179+K169+K164+K153+K131+K112+K93+K80+K68+K59+K52+K44+K35+K28+K11</f>
        <v>382781.46574486839</v>
      </c>
      <c r="L193" s="272"/>
      <c r="M193" s="272"/>
      <c r="N193" s="273">
        <f>+N164+N153+N131+N112+N93+N80+N68+N59+N52+N44+N35+N28+N11</f>
        <v>43170.388610777227</v>
      </c>
      <c r="O193" s="272">
        <f>+O164+O153+O131+O112+O93+O80+O68+O59+O52+O44+O35+O28+O11</f>
        <v>4532890.8041316094</v>
      </c>
      <c r="V193" s="274">
        <f>+V164+V153+V131+V112+V93+V80+V68+V59+V52+V44+V35+V28+V11</f>
        <v>4239</v>
      </c>
      <c r="W193" s="274">
        <f>+W164+W153+W131+W112+W93+W80+W68+W59+W52+W44+W35+W28+W11</f>
        <v>1214</v>
      </c>
      <c r="X193" s="274">
        <f>+X164+X153+X131+X112+X93+X80+X68+X59+X52+X44+X35+X28+X11</f>
        <v>5453</v>
      </c>
    </row>
    <row r="194" spans="1:24" ht="17.25" thickBot="1">
      <c r="G194" s="272"/>
      <c r="H194" s="272"/>
      <c r="I194" s="272"/>
      <c r="J194" s="272"/>
      <c r="K194" s="272"/>
      <c r="L194" s="272"/>
      <c r="M194" s="272"/>
      <c r="N194" s="273"/>
      <c r="O194" s="272"/>
    </row>
    <row r="195" spans="1:24" ht="15.75" thickBot="1">
      <c r="D195" s="213"/>
      <c r="O195" s="233">
        <v>120.17</v>
      </c>
    </row>
    <row r="196" spans="1:24" ht="17.25">
      <c r="A196" s="192" t="s">
        <v>339</v>
      </c>
      <c r="D196" s="223"/>
      <c r="T196" s="234" t="s">
        <v>409</v>
      </c>
    </row>
    <row r="197" spans="1:24" ht="16.5">
      <c r="A197" s="234" t="s">
        <v>206</v>
      </c>
      <c r="D197" s="256">
        <f>+X197*(1-$D$5)</f>
        <v>9.8867000000000012</v>
      </c>
      <c r="E197" s="236">
        <v>1</v>
      </c>
      <c r="F197" s="237">
        <v>4.5</v>
      </c>
      <c r="G197" s="257">
        <f>+F197*E197*D197*52</f>
        <v>2313.4878000000003</v>
      </c>
      <c r="H197" s="239">
        <f>ROUND(F197*(1+$H$10),2)</f>
        <v>4.67</v>
      </c>
      <c r="I197" s="238">
        <f>+H197*D197*E197*52</f>
        <v>2400.8862280000003</v>
      </c>
      <c r="J197" s="240">
        <f>+H197-F197</f>
        <v>0.16999999999999993</v>
      </c>
      <c r="K197" s="241">
        <f>+I197-G197</f>
        <v>87.398427999999967</v>
      </c>
      <c r="L197" s="242">
        <f>J197/F197</f>
        <v>3.7777777777777764E-2</v>
      </c>
      <c r="M197" s="243">
        <f>32/202*$M$55</f>
        <v>15.841584158415841</v>
      </c>
      <c r="N197" s="244">
        <f>+D197*E197*M197*52/2000</f>
        <v>4.072145742574258</v>
      </c>
      <c r="O197" s="245">
        <f>+$O$195*N197</f>
        <v>489.34975388514857</v>
      </c>
      <c r="P197" s="246">
        <f>+O197/I197</f>
        <v>0.20382046769987491</v>
      </c>
      <c r="Q197" s="247">
        <f>+P197*H197</f>
        <v>0.9518415841584158</v>
      </c>
      <c r="R197" s="247">
        <f>+H197-Q197</f>
        <v>3.7181584158415841</v>
      </c>
      <c r="T197" s="234">
        <f>D197*E197*52</f>
        <v>514.10840000000007</v>
      </c>
      <c r="X197" s="261">
        <v>10</v>
      </c>
    </row>
    <row r="198" spans="1:24">
      <c r="D198" s="235"/>
    </row>
    <row r="199" spans="1:24">
      <c r="D199" s="235"/>
    </row>
    <row r="200" spans="1:24">
      <c r="A200" s="234" t="s">
        <v>220</v>
      </c>
      <c r="D200" s="275">
        <f>+X200*(1-$D$5)</f>
        <v>1.9773400000000001</v>
      </c>
      <c r="E200" s="236">
        <v>1</v>
      </c>
      <c r="F200" s="237">
        <v>4.8</v>
      </c>
      <c r="G200" s="248">
        <f>+F200*E200*D200*52</f>
        <v>493.54406399999999</v>
      </c>
      <c r="H200" s="250">
        <f>ROUND(F200*(1+$H$10),2)</f>
        <v>4.9800000000000004</v>
      </c>
      <c r="I200" s="276">
        <f>+H200*D200*E200*52</f>
        <v>512.05196640000008</v>
      </c>
      <c r="J200" s="251">
        <f t="shared" ref="J200:K202" si="140">+H200-F200</f>
        <v>0.1800000000000006</v>
      </c>
      <c r="K200" s="252">
        <f t="shared" si="140"/>
        <v>18.507902400000091</v>
      </c>
      <c r="L200" s="253">
        <f>J200/F200</f>
        <v>3.750000000000013E-2</v>
      </c>
      <c r="M200" s="254">
        <f>35/202*$M$55</f>
        <v>17.326732673267326</v>
      </c>
      <c r="N200" s="208">
        <f>+D200*E200*M200*52/2000</f>
        <v>0.89078188118811874</v>
      </c>
      <c r="O200" s="255">
        <f>+$O$195*N200</f>
        <v>107.04525866237623</v>
      </c>
      <c r="P200" s="210">
        <f>+O200/I200</f>
        <v>0.20905155274563594</v>
      </c>
      <c r="Q200" s="212">
        <f>+P200*H200</f>
        <v>1.0410767326732671</v>
      </c>
      <c r="R200" s="212">
        <f>+H200-Q200</f>
        <v>3.9389232673267331</v>
      </c>
      <c r="T200" s="234">
        <f t="shared" ref="T200:T202" si="141">D200*E200*52</f>
        <v>102.82168</v>
      </c>
      <c r="X200" s="234">
        <v>2</v>
      </c>
    </row>
    <row r="201" spans="1:24">
      <c r="A201" s="234" t="s">
        <v>340</v>
      </c>
      <c r="D201" s="275">
        <f>+X201*(1-$D$5)</f>
        <v>14.83005</v>
      </c>
      <c r="E201" s="236">
        <v>1</v>
      </c>
      <c r="F201" s="237">
        <f>+F200</f>
        <v>4.8</v>
      </c>
      <c r="G201" s="248">
        <f>+F201*E201*D201*52</f>
        <v>3701.5804800000001</v>
      </c>
      <c r="H201" s="250">
        <f>ROUND(F201*(1+$H$10),2)</f>
        <v>4.9800000000000004</v>
      </c>
      <c r="I201" s="276">
        <f>+H201*D201*E201*52</f>
        <v>3840.3897480000001</v>
      </c>
      <c r="J201" s="251">
        <f t="shared" si="140"/>
        <v>0.1800000000000006</v>
      </c>
      <c r="K201" s="252">
        <f t="shared" si="140"/>
        <v>138.80926799999997</v>
      </c>
      <c r="L201" s="253">
        <f>J201/F201</f>
        <v>3.750000000000013E-2</v>
      </c>
      <c r="M201" s="254">
        <f>35/202*$M$55</f>
        <v>17.326732673267326</v>
      </c>
      <c r="N201" s="208">
        <f>+D201*E201*M201*52/2000</f>
        <v>6.6808641089108916</v>
      </c>
      <c r="O201" s="255">
        <f>+$O$195*N201</f>
        <v>802.83943996782182</v>
      </c>
      <c r="P201" s="210">
        <f>+O201/I201</f>
        <v>0.20905155274563603</v>
      </c>
      <c r="Q201" s="212">
        <f>+P201*H201</f>
        <v>1.0410767326732675</v>
      </c>
      <c r="R201" s="212">
        <f>+H201-Q201</f>
        <v>3.9389232673267331</v>
      </c>
      <c r="T201" s="234">
        <f t="shared" si="141"/>
        <v>771.1626</v>
      </c>
      <c r="X201" s="234">
        <v>15</v>
      </c>
    </row>
    <row r="202" spans="1:24" ht="16.5">
      <c r="A202" s="234" t="s">
        <v>341</v>
      </c>
      <c r="D202" s="256">
        <f>+X202*(1-$D$5)</f>
        <v>15.818720000000001</v>
      </c>
      <c r="E202" s="236">
        <v>1</v>
      </c>
      <c r="F202" s="237">
        <f>+F201</f>
        <v>4.8</v>
      </c>
      <c r="G202" s="257">
        <f>+F202*E202*D202*52</f>
        <v>3948.3525119999999</v>
      </c>
      <c r="H202" s="250">
        <f>ROUND(F202*(1+$H$10),2)</f>
        <v>4.9800000000000004</v>
      </c>
      <c r="I202" s="257">
        <f>+H202*D202*E202*52</f>
        <v>4096.4157312000007</v>
      </c>
      <c r="J202" s="251">
        <f t="shared" si="140"/>
        <v>0.1800000000000006</v>
      </c>
      <c r="K202" s="258">
        <f t="shared" si="140"/>
        <v>148.06321920000073</v>
      </c>
      <c r="L202" s="253">
        <f>J202/F202</f>
        <v>3.750000000000013E-2</v>
      </c>
      <c r="M202" s="254">
        <f>35/202*$M$55</f>
        <v>17.326732673267326</v>
      </c>
      <c r="N202" s="259">
        <f>+D202*E202*M202*52/2000</f>
        <v>7.1262550495049499</v>
      </c>
      <c r="O202" s="260">
        <f>+$O$195*N202</f>
        <v>856.36206929900982</v>
      </c>
      <c r="P202" s="210">
        <f>+O202/I202</f>
        <v>0.20905155274563594</v>
      </c>
      <c r="Q202" s="212">
        <f>+P202*H202</f>
        <v>1.0410767326732671</v>
      </c>
      <c r="R202" s="212">
        <f>+H202-Q202</f>
        <v>3.9389232673267331</v>
      </c>
      <c r="T202" s="234">
        <f t="shared" si="141"/>
        <v>822.57344000000001</v>
      </c>
      <c r="X202" s="261">
        <v>16</v>
      </c>
    </row>
    <row r="203" spans="1:24" ht="16.5">
      <c r="D203" s="262">
        <f>SUM(D200:D202)</f>
        <v>32.626110000000004</v>
      </c>
      <c r="G203" s="238">
        <f>SUM(G200:G202)</f>
        <v>8143.4770559999997</v>
      </c>
      <c r="H203" s="238"/>
      <c r="I203" s="238">
        <f>SUM(I200:I202)</f>
        <v>8448.8574456000006</v>
      </c>
      <c r="J203" s="238"/>
      <c r="K203" s="238">
        <f>SUM(K200:K202)</f>
        <v>305.3803896000008</v>
      </c>
      <c r="L203" s="238"/>
      <c r="M203" s="238"/>
      <c r="N203" s="244">
        <f>SUM(N200:N202)</f>
        <v>14.697901039603959</v>
      </c>
      <c r="O203" s="238">
        <f>SUM(O200:O202)</f>
        <v>1766.2467679292079</v>
      </c>
      <c r="T203" s="234">
        <f>SUM(T200:T202)</f>
        <v>1696.55772</v>
      </c>
      <c r="X203" s="264">
        <f>SUM(X200:X202)</f>
        <v>33</v>
      </c>
    </row>
    <row r="204" spans="1:24" ht="16.5">
      <c r="D204" s="262"/>
      <c r="X204" s="264"/>
    </row>
    <row r="205" spans="1:24">
      <c r="A205" s="223"/>
      <c r="D205" s="265"/>
      <c r="X205" s="223"/>
    </row>
    <row r="206" spans="1:24" ht="16.5">
      <c r="A206" s="234" t="s">
        <v>224</v>
      </c>
      <c r="D206" s="256">
        <f>+X206*(1-$D$5)</f>
        <v>45.478819999999999</v>
      </c>
      <c r="E206" s="236">
        <v>1</v>
      </c>
      <c r="F206" s="237">
        <v>8.1</v>
      </c>
      <c r="G206" s="238">
        <f>+F206*E206*D206*52</f>
        <v>19155.678983999998</v>
      </c>
      <c r="H206" s="239">
        <f>ROUND(F206*(1+$H$10),2)</f>
        <v>8.41</v>
      </c>
      <c r="I206" s="238">
        <f>+H206*D206*E206*52</f>
        <v>19888.797562399999</v>
      </c>
      <c r="J206" s="240">
        <f>+H206-F206</f>
        <v>0.3100000000000005</v>
      </c>
      <c r="K206" s="241">
        <f>+I206-G206</f>
        <v>733.11857840000084</v>
      </c>
      <c r="L206" s="242">
        <f>J206/F206</f>
        <v>3.8271604938271669E-2</v>
      </c>
      <c r="M206" s="243">
        <f>64/202*$M$55</f>
        <v>31.683168316831683</v>
      </c>
      <c r="N206" s="244">
        <f>+D206*E206*M206*52/2000</f>
        <v>37.463740831683161</v>
      </c>
      <c r="O206" s="245">
        <f>+$O$195*N206</f>
        <v>4502.0177357433658</v>
      </c>
      <c r="P206" s="246">
        <f>+O206/I206</f>
        <v>0.22635947304599663</v>
      </c>
      <c r="Q206" s="247">
        <f>+P206*H206</f>
        <v>1.9036831683168316</v>
      </c>
      <c r="R206" s="247">
        <f>+H206-Q206</f>
        <v>6.5063168316831685</v>
      </c>
      <c r="T206" s="234">
        <f t="shared" ref="T206" si="142">D206*E206*52</f>
        <v>2364.8986399999999</v>
      </c>
      <c r="X206" s="261">
        <v>46</v>
      </c>
    </row>
    <row r="207" spans="1:24">
      <c r="D207" s="235"/>
    </row>
    <row r="208" spans="1:24">
      <c r="D208" s="235"/>
    </row>
    <row r="209" spans="1:24">
      <c r="A209" s="234" t="s">
        <v>230</v>
      </c>
      <c r="D209" s="275">
        <f>+X209*(1-$D$5)</f>
        <v>5.9320200000000005</v>
      </c>
      <c r="E209" s="236">
        <v>0.5</v>
      </c>
      <c r="F209" s="237">
        <v>10.5</v>
      </c>
      <c r="G209" s="248">
        <f>+F209*E209*D209*52</f>
        <v>1619.44146</v>
      </c>
      <c r="H209" s="250">
        <f>ROUND(F209*(1+$H$10),2)</f>
        <v>10.9</v>
      </c>
      <c r="I209" s="276">
        <f>+H209*D209*E209*52</f>
        <v>1681.1344680000002</v>
      </c>
      <c r="J209" s="251">
        <f t="shared" ref="J209:K213" si="143">+H209-F209</f>
        <v>0.40000000000000036</v>
      </c>
      <c r="K209" s="252">
        <f t="shared" si="143"/>
        <v>61.693008000000191</v>
      </c>
      <c r="L209" s="253">
        <f>J209/F209</f>
        <v>3.8095238095238126E-2</v>
      </c>
      <c r="M209" s="254">
        <f>96/202*$M$55</f>
        <v>47.524752475247524</v>
      </c>
      <c r="N209" s="208">
        <f>+D209*E209*M209*52/2000</f>
        <v>3.6649311683168322</v>
      </c>
      <c r="O209" s="255">
        <f>+$O$195*N209</f>
        <v>440.41477849663374</v>
      </c>
      <c r="P209" s="210">
        <f>+O209/I209</f>
        <v>0.26197474793350894</v>
      </c>
      <c r="Q209" s="212">
        <f>+P209*H209</f>
        <v>2.8555247524752474</v>
      </c>
      <c r="R209" s="212">
        <f>+H209-Q209</f>
        <v>8.044475247524753</v>
      </c>
      <c r="T209" s="234">
        <f t="shared" ref="T209:T213" si="144">D209*E209*52</f>
        <v>154.23252000000002</v>
      </c>
      <c r="X209" s="234">
        <v>6</v>
      </c>
    </row>
    <row r="210" spans="1:24">
      <c r="A210" s="234" t="s">
        <v>231</v>
      </c>
      <c r="D210" s="275">
        <f>+X210*(1-$D$5)</f>
        <v>48.444830000000003</v>
      </c>
      <c r="E210" s="236">
        <v>1</v>
      </c>
      <c r="F210" s="237">
        <f>+F209</f>
        <v>10.5</v>
      </c>
      <c r="G210" s="248">
        <f>+F210*E210*D210*52</f>
        <v>26450.877180000003</v>
      </c>
      <c r="H210" s="250">
        <f>ROUND(F210*(1+$H$10),2)</f>
        <v>10.9</v>
      </c>
      <c r="I210" s="276">
        <f>+H210*D210*E210*52</f>
        <v>27458.529644000002</v>
      </c>
      <c r="J210" s="251">
        <f t="shared" si="143"/>
        <v>0.40000000000000036</v>
      </c>
      <c r="K210" s="252">
        <f t="shared" si="143"/>
        <v>1007.6524639999989</v>
      </c>
      <c r="L210" s="253">
        <f>J210/F210</f>
        <v>3.8095238095238126E-2</v>
      </c>
      <c r="M210" s="254">
        <f>96/202*$M$55</f>
        <v>47.524752475247524</v>
      </c>
      <c r="N210" s="208">
        <f>+D210*E210*M210*52/2000</f>
        <v>59.860542415841586</v>
      </c>
      <c r="O210" s="255">
        <f>+$O$195*N210</f>
        <v>7193.4413821116832</v>
      </c>
      <c r="P210" s="210">
        <f>+O210/I210</f>
        <v>0.26197474793350894</v>
      </c>
      <c r="Q210" s="212">
        <f>+P210*H210</f>
        <v>2.8555247524752474</v>
      </c>
      <c r="R210" s="212">
        <f>+H210-Q210</f>
        <v>8.044475247524753</v>
      </c>
      <c r="T210" s="234">
        <f t="shared" si="144"/>
        <v>2519.1311600000004</v>
      </c>
      <c r="X210" s="234">
        <v>49</v>
      </c>
    </row>
    <row r="211" spans="1:24">
      <c r="A211" s="234" t="s">
        <v>232</v>
      </c>
      <c r="D211" s="275">
        <f>+X211*(1-$D$5)</f>
        <v>20.762070000000001</v>
      </c>
      <c r="E211" s="236">
        <v>1</v>
      </c>
      <c r="F211" s="237">
        <f>+F210</f>
        <v>10.5</v>
      </c>
      <c r="G211" s="248">
        <f>+F211*E211*D211*52</f>
        <v>11336.090220000002</v>
      </c>
      <c r="H211" s="250">
        <f>ROUND(F211*(1+$H$10),2)</f>
        <v>10.9</v>
      </c>
      <c r="I211" s="276">
        <f>+H211*D211*E211*52</f>
        <v>11767.941276000001</v>
      </c>
      <c r="J211" s="251">
        <f t="shared" si="143"/>
        <v>0.40000000000000036</v>
      </c>
      <c r="K211" s="252">
        <f t="shared" si="143"/>
        <v>431.85105599999952</v>
      </c>
      <c r="L211" s="253">
        <f>J211/F211</f>
        <v>3.8095238095238126E-2</v>
      </c>
      <c r="M211" s="254">
        <f>96/202*$M$55</f>
        <v>47.524752475247524</v>
      </c>
      <c r="N211" s="208">
        <f>+D211*E211*M211*52/2000</f>
        <v>25.654518178217824</v>
      </c>
      <c r="O211" s="255">
        <f>+$O$195*N211</f>
        <v>3082.903449476436</v>
      </c>
      <c r="P211" s="210">
        <f>+O211/I211</f>
        <v>0.26197474793350894</v>
      </c>
      <c r="Q211" s="212">
        <f>+P211*H211</f>
        <v>2.8555247524752474</v>
      </c>
      <c r="R211" s="212">
        <f>+H211-Q211</f>
        <v>8.044475247524753</v>
      </c>
      <c r="T211" s="234">
        <f t="shared" si="144"/>
        <v>1079.6276400000002</v>
      </c>
      <c r="X211" s="234">
        <v>21</v>
      </c>
    </row>
    <row r="212" spans="1:24">
      <c r="A212" s="234" t="s">
        <v>233</v>
      </c>
      <c r="D212" s="275">
        <f>+X212*(1-$D$5)</f>
        <v>2.9660100000000003</v>
      </c>
      <c r="E212" s="236">
        <v>1</v>
      </c>
      <c r="F212" s="237">
        <f>+F211</f>
        <v>10.5</v>
      </c>
      <c r="G212" s="248">
        <f>+F212*E212*D212*52</f>
        <v>1619.44146</v>
      </c>
      <c r="H212" s="250">
        <f>ROUND(F212*(1+$H$10),2)</f>
        <v>10.9</v>
      </c>
      <c r="I212" s="276">
        <f>+H212*D212*E212*52</f>
        <v>1681.1344680000002</v>
      </c>
      <c r="J212" s="251">
        <f t="shared" si="143"/>
        <v>0.40000000000000036</v>
      </c>
      <c r="K212" s="252">
        <f t="shared" si="143"/>
        <v>61.693008000000191</v>
      </c>
      <c r="L212" s="253">
        <f>J212/F212</f>
        <v>3.8095238095238126E-2</v>
      </c>
      <c r="M212" s="254">
        <f>96/202*$M$55</f>
        <v>47.524752475247524</v>
      </c>
      <c r="N212" s="208">
        <f>+D212*E212*M212*52/2000</f>
        <v>3.6649311683168322</v>
      </c>
      <c r="O212" s="255">
        <f>+$O$195*N212</f>
        <v>440.41477849663374</v>
      </c>
      <c r="P212" s="210">
        <f>+O212/I212</f>
        <v>0.26197474793350894</v>
      </c>
      <c r="Q212" s="212">
        <f>+P212*H212</f>
        <v>2.8555247524752474</v>
      </c>
      <c r="R212" s="212">
        <f>+H212-Q212</f>
        <v>8.044475247524753</v>
      </c>
      <c r="T212" s="234">
        <f t="shared" si="144"/>
        <v>154.23252000000002</v>
      </c>
      <c r="X212" s="234">
        <v>3</v>
      </c>
    </row>
    <row r="213" spans="1:24" ht="16.5">
      <c r="A213" s="234" t="s">
        <v>234</v>
      </c>
      <c r="D213" s="256">
        <f>+X213*(1-$D$5)</f>
        <v>3.9546800000000002</v>
      </c>
      <c r="E213" s="236">
        <v>1</v>
      </c>
      <c r="F213" s="237">
        <f>+F212</f>
        <v>10.5</v>
      </c>
      <c r="G213" s="257">
        <f>+F213*E213*D213*52</f>
        <v>2159.2552800000003</v>
      </c>
      <c r="H213" s="250">
        <f>ROUND(F213*(1+$H$10),2)</f>
        <v>10.9</v>
      </c>
      <c r="I213" s="257">
        <f>+H213*D213*E213*52</f>
        <v>2241.5126240000004</v>
      </c>
      <c r="J213" s="251">
        <f t="shared" si="143"/>
        <v>0.40000000000000036</v>
      </c>
      <c r="K213" s="258">
        <f t="shared" si="143"/>
        <v>82.257344000000103</v>
      </c>
      <c r="L213" s="253">
        <f>J213/F213</f>
        <v>3.8095238095238126E-2</v>
      </c>
      <c r="M213" s="254">
        <f>96/202*$M$55</f>
        <v>47.524752475247524</v>
      </c>
      <c r="N213" s="259">
        <f>+D213*E213*M213*52/2000</f>
        <v>4.8865748910891096</v>
      </c>
      <c r="O213" s="260">
        <f>+$O$195*N213</f>
        <v>587.21970466217829</v>
      </c>
      <c r="P213" s="210">
        <f>+O213/I213</f>
        <v>0.26197474793350894</v>
      </c>
      <c r="Q213" s="212">
        <f>+P213*H213</f>
        <v>2.8555247524752474</v>
      </c>
      <c r="R213" s="212">
        <f>+H213-Q213</f>
        <v>8.044475247524753</v>
      </c>
      <c r="T213" s="234">
        <f t="shared" si="144"/>
        <v>205.64336</v>
      </c>
      <c r="X213" s="261">
        <v>4</v>
      </c>
    </row>
    <row r="214" spans="1:24" ht="16.5">
      <c r="A214" s="223"/>
      <c r="D214" s="262">
        <f>SUM(D210:D213)</f>
        <v>76.127589999999998</v>
      </c>
      <c r="G214" s="238">
        <f>SUM(G209:G213)</f>
        <v>43185.10560000001</v>
      </c>
      <c r="H214" s="238"/>
      <c r="I214" s="238">
        <f>SUM(I209:I213)</f>
        <v>44830.252480000003</v>
      </c>
      <c r="J214" s="238"/>
      <c r="K214" s="238">
        <f>SUM(K209:K213)</f>
        <v>1645.1468799999989</v>
      </c>
      <c r="L214" s="238"/>
      <c r="M214" s="238"/>
      <c r="N214" s="244">
        <f>SUM(N209:N213)</f>
        <v>97.731497821782185</v>
      </c>
      <c r="O214" s="238">
        <f>SUM(O209:O213)</f>
        <v>11744.394093243565</v>
      </c>
      <c r="T214" s="234">
        <f>SUM(T209:T213)</f>
        <v>4112.8672000000006</v>
      </c>
      <c r="X214" s="264">
        <f>SUM(X210:X213)</f>
        <v>77</v>
      </c>
    </row>
    <row r="215" spans="1:24">
      <c r="A215" s="223"/>
      <c r="D215" s="265"/>
      <c r="X215" s="223"/>
    </row>
    <row r="216" spans="1:24">
      <c r="A216" s="223"/>
      <c r="D216" s="265"/>
      <c r="X216" s="223"/>
    </row>
    <row r="217" spans="1:24">
      <c r="A217" s="234" t="s">
        <v>237</v>
      </c>
      <c r="D217" s="275">
        <f>+X217*(1-$D$5)</f>
        <v>77.116259999999997</v>
      </c>
      <c r="E217" s="236">
        <v>1</v>
      </c>
      <c r="F217" s="237">
        <v>22.1</v>
      </c>
      <c r="G217" s="248">
        <f>+F217*E217*D217*52</f>
        <v>88622.005992000006</v>
      </c>
      <c r="H217" s="250">
        <f>ROUND(F217*(1+$H$10),2)</f>
        <v>22.94</v>
      </c>
      <c r="I217" s="276">
        <f>+H217*D217*E217*52</f>
        <v>91990.444228799999</v>
      </c>
      <c r="J217" s="251">
        <f t="shared" ref="J217:K219" si="145">+H217-F217</f>
        <v>0.83999999999999986</v>
      </c>
      <c r="K217" s="252">
        <f t="shared" si="145"/>
        <v>3368.4382367999933</v>
      </c>
      <c r="L217" s="253">
        <f>J217/F217</f>
        <v>3.8009049773755646E-2</v>
      </c>
      <c r="M217" s="254">
        <f>1*$M$55</f>
        <v>100</v>
      </c>
      <c r="N217" s="208">
        <f>+D217*E217*M217*52/2000</f>
        <v>200.50227599999999</v>
      </c>
      <c r="O217" s="255">
        <f>+$O$195*N217</f>
        <v>24094.358506919998</v>
      </c>
      <c r="P217" s="210">
        <f>+O217/I217</f>
        <v>0.26192240627724495</v>
      </c>
      <c r="Q217" s="212">
        <f>+P217*H217</f>
        <v>6.0084999999999997</v>
      </c>
      <c r="R217" s="212">
        <f>+H217-Q217</f>
        <v>16.9315</v>
      </c>
      <c r="T217" s="234">
        <f t="shared" ref="T217:T219" si="146">D217*E217*52</f>
        <v>4010.0455199999997</v>
      </c>
      <c r="X217" s="234">
        <v>78</v>
      </c>
    </row>
    <row r="218" spans="1:24">
      <c r="A218" s="234" t="s">
        <v>238</v>
      </c>
      <c r="D218" s="275">
        <f>+X218*(1-$D$5)</f>
        <v>1.9773400000000001</v>
      </c>
      <c r="E218" s="236">
        <v>1</v>
      </c>
      <c r="F218" s="237">
        <f>+F217</f>
        <v>22.1</v>
      </c>
      <c r="G218" s="248">
        <f>+F218*E218*D218*52</f>
        <v>2272.3591280000001</v>
      </c>
      <c r="H218" s="250">
        <f>ROUND(F218*(1+$H$10),2)</f>
        <v>22.94</v>
      </c>
      <c r="I218" s="276">
        <f>+H218*D218*E218*52</f>
        <v>2358.7293392000001</v>
      </c>
      <c r="J218" s="251">
        <f t="shared" si="145"/>
        <v>0.83999999999999986</v>
      </c>
      <c r="K218" s="252">
        <f t="shared" si="145"/>
        <v>86.370211200000085</v>
      </c>
      <c r="L218" s="253">
        <f>J218/F218</f>
        <v>3.8009049773755646E-2</v>
      </c>
      <c r="M218" s="254">
        <f>+M217</f>
        <v>100</v>
      </c>
      <c r="N218" s="208">
        <f>+D218*E218*M218*52/2000</f>
        <v>5.1410840000000002</v>
      </c>
      <c r="O218" s="255">
        <f>+$O$195*N218</f>
        <v>617.80406428000003</v>
      </c>
      <c r="P218" s="210">
        <f>+O218/I218</f>
        <v>0.261922406277245</v>
      </c>
      <c r="Q218" s="212">
        <f>+P218*H218</f>
        <v>6.0085000000000006</v>
      </c>
      <c r="R218" s="212">
        <f>+H218-Q218</f>
        <v>16.9315</v>
      </c>
      <c r="T218" s="234">
        <f t="shared" si="146"/>
        <v>102.82168</v>
      </c>
      <c r="X218" s="234">
        <v>2</v>
      </c>
    </row>
    <row r="219" spans="1:24" ht="16.5">
      <c r="A219" s="234" t="s">
        <v>342</v>
      </c>
      <c r="D219" s="256">
        <f>+X219*(1-$D$5)</f>
        <v>0.98867000000000005</v>
      </c>
      <c r="E219" s="236">
        <v>2</v>
      </c>
      <c r="F219" s="237">
        <f>+F218</f>
        <v>22.1</v>
      </c>
      <c r="G219" s="257">
        <f>+F219*E219*D219*52</f>
        <v>2272.3591280000001</v>
      </c>
      <c r="H219" s="250">
        <f>ROUND(F219*(1+$H$10),2)</f>
        <v>22.94</v>
      </c>
      <c r="I219" s="257">
        <f>+H219*D219*E219*52</f>
        <v>2358.7293392000001</v>
      </c>
      <c r="J219" s="251">
        <f t="shared" si="145"/>
        <v>0.83999999999999986</v>
      </c>
      <c r="K219" s="258">
        <f t="shared" si="145"/>
        <v>86.370211200000085</v>
      </c>
      <c r="L219" s="253">
        <f>J219/F219</f>
        <v>3.8009049773755646E-2</v>
      </c>
      <c r="M219" s="254">
        <f>+M218</f>
        <v>100</v>
      </c>
      <c r="N219" s="259">
        <f>+D219*E219*M219*52/2000</f>
        <v>5.1410840000000002</v>
      </c>
      <c r="O219" s="260">
        <f>+$O$195*N219</f>
        <v>617.80406428000003</v>
      </c>
      <c r="P219" s="210">
        <f>+O219/I219</f>
        <v>0.261922406277245</v>
      </c>
      <c r="Q219" s="212">
        <f>+P219*H219</f>
        <v>6.0085000000000006</v>
      </c>
      <c r="R219" s="212">
        <f>+H219-Q219</f>
        <v>16.9315</v>
      </c>
      <c r="T219" s="234">
        <f t="shared" si="146"/>
        <v>102.82168</v>
      </c>
      <c r="X219" s="261">
        <v>1</v>
      </c>
    </row>
    <row r="220" spans="1:24" ht="16.5">
      <c r="D220" s="262">
        <f>SUM(D217:D219)</f>
        <v>80.082269999999994</v>
      </c>
      <c r="G220" s="238">
        <f>SUM(G217:G219)</f>
        <v>93166.724247999999</v>
      </c>
      <c r="H220" s="238"/>
      <c r="I220" s="238">
        <f>SUM(I217:I219)</f>
        <v>96707.902907199998</v>
      </c>
      <c r="J220" s="238"/>
      <c r="K220" s="238">
        <f>SUM(K217:K219)</f>
        <v>3541.1786591999935</v>
      </c>
      <c r="L220" s="238"/>
      <c r="M220" s="238"/>
      <c r="N220" s="244">
        <f>SUM(N217:N219)</f>
        <v>210.78444400000001</v>
      </c>
      <c r="O220" s="238">
        <f>SUM(O217:O219)</f>
        <v>25329.966635479999</v>
      </c>
      <c r="T220" s="234">
        <f>SUM(T217:T219)</f>
        <v>4215.6888799999997</v>
      </c>
      <c r="X220" s="264">
        <f>SUM(X217:X219)</f>
        <v>81</v>
      </c>
    </row>
    <row r="221" spans="1:24">
      <c r="D221" s="235"/>
    </row>
    <row r="222" spans="1:24">
      <c r="D222" s="235"/>
    </row>
    <row r="223" spans="1:24" ht="16.5">
      <c r="A223" s="234" t="s">
        <v>241</v>
      </c>
      <c r="D223" s="256">
        <f>+X223*(1-$D$5)</f>
        <v>29.6601</v>
      </c>
      <c r="E223" s="236">
        <v>1</v>
      </c>
      <c r="F223" s="237">
        <v>28.6</v>
      </c>
      <c r="G223" s="238">
        <f>+F223*E223*D223*52</f>
        <v>44110.500720000004</v>
      </c>
      <c r="H223" s="277">
        <f>ROUND(F223*(1+$H$10),2)</f>
        <v>29.69</v>
      </c>
      <c r="I223" s="238">
        <f>+H223*D223*E223*52</f>
        <v>45791.635188</v>
      </c>
      <c r="J223" s="240">
        <f>+H223-F223</f>
        <v>1.0899999999999999</v>
      </c>
      <c r="K223" s="241">
        <f>+I223-G223</f>
        <v>1681.1344679999966</v>
      </c>
      <c r="L223" s="242">
        <f>J223/F223</f>
        <v>3.8111888111888106E-2</v>
      </c>
      <c r="M223" s="243">
        <f>1.5*$M$55</f>
        <v>150</v>
      </c>
      <c r="N223" s="244">
        <f>+D223*E223*M223*52/2000</f>
        <v>115.67439000000002</v>
      </c>
      <c r="O223" s="245">
        <f>+$O$195*N223</f>
        <v>13900.591446300003</v>
      </c>
      <c r="P223" s="246">
        <f>+O223/I223</f>
        <v>0.30356180532165716</v>
      </c>
      <c r="Q223" s="247">
        <f>+P223*H223</f>
        <v>9.0127500000000023</v>
      </c>
      <c r="R223" s="247">
        <f>+H223-Q223</f>
        <v>20.677250000000001</v>
      </c>
      <c r="T223" s="234">
        <f t="shared" ref="T223" si="147">D223*E223*52</f>
        <v>1542.3252</v>
      </c>
      <c r="X223" s="261">
        <v>30</v>
      </c>
    </row>
    <row r="224" spans="1:24" ht="16.5">
      <c r="D224" s="262"/>
      <c r="X224" s="264"/>
    </row>
    <row r="225" spans="1:24">
      <c r="D225" s="235"/>
    </row>
    <row r="226" spans="1:24">
      <c r="A226" s="234" t="s">
        <v>247</v>
      </c>
      <c r="D226" s="275">
        <f>+X226*(1-$D$5)</f>
        <v>75.138919999999999</v>
      </c>
      <c r="E226" s="236">
        <v>1</v>
      </c>
      <c r="F226" s="237">
        <v>36.4</v>
      </c>
      <c r="G226" s="248">
        <f>+F226*E226*D226*52</f>
        <v>142222.94777599999</v>
      </c>
      <c r="H226" s="250">
        <f>ROUND(F226*(1+$H$10),2)</f>
        <v>37.79</v>
      </c>
      <c r="I226" s="276">
        <f>+H226*D226*E226*52</f>
        <v>147653.98891360001</v>
      </c>
      <c r="J226" s="251">
        <f t="shared" ref="J226:K229" si="148">+H226-F226</f>
        <v>1.3900000000000006</v>
      </c>
      <c r="K226" s="252">
        <f t="shared" si="148"/>
        <v>5431.0411376000266</v>
      </c>
      <c r="L226" s="253">
        <f>J226/F226</f>
        <v>3.8186813186813204E-2</v>
      </c>
      <c r="M226" s="254">
        <f>2*$M$55</f>
        <v>200</v>
      </c>
      <c r="N226" s="208">
        <f>+D226*E226*M226*52/2000</f>
        <v>390.72238399999998</v>
      </c>
      <c r="O226" s="255">
        <f>+$O$195*N226</f>
        <v>46953.108885279995</v>
      </c>
      <c r="P226" s="210">
        <f>+O226/I226</f>
        <v>0.31799417835406185</v>
      </c>
      <c r="Q226" s="212">
        <f>+P226*H226</f>
        <v>12.016999999999998</v>
      </c>
      <c r="R226" s="212">
        <f>+H226-Q226</f>
        <v>25.773000000000003</v>
      </c>
      <c r="T226" s="234">
        <f t="shared" ref="T226:T229" si="149">D226*E226*52</f>
        <v>3907.2238400000001</v>
      </c>
      <c r="X226" s="234">
        <v>76</v>
      </c>
    </row>
    <row r="227" spans="1:24">
      <c r="A227" s="234" t="s">
        <v>249</v>
      </c>
      <c r="D227" s="275">
        <f>+X227*(1-$D$5)</f>
        <v>2.9660100000000003</v>
      </c>
      <c r="E227" s="236">
        <v>1</v>
      </c>
      <c r="F227" s="237">
        <f>+F226</f>
        <v>36.4</v>
      </c>
      <c r="G227" s="248">
        <f>+F227*E227*D227*52</f>
        <v>5614.0637280000001</v>
      </c>
      <c r="H227" s="250">
        <f>ROUND(F227*(1+$H$10),2)</f>
        <v>37.79</v>
      </c>
      <c r="I227" s="276">
        <f>+H227*D227*E227*52</f>
        <v>5828.4469308000007</v>
      </c>
      <c r="J227" s="251">
        <f t="shared" si="148"/>
        <v>1.3900000000000006</v>
      </c>
      <c r="K227" s="252">
        <f t="shared" si="148"/>
        <v>214.38320280000062</v>
      </c>
      <c r="L227" s="253">
        <f>J227/F227</f>
        <v>3.8186813186813204E-2</v>
      </c>
      <c r="M227" s="254">
        <f>2*$M$55</f>
        <v>200</v>
      </c>
      <c r="N227" s="208">
        <f>+D227*E227*M227*52/2000</f>
        <v>15.423252</v>
      </c>
      <c r="O227" s="255">
        <f>+$O$195*N227</f>
        <v>1853.41219284</v>
      </c>
      <c r="P227" s="210">
        <f>+O227/I227</f>
        <v>0.31799417835406191</v>
      </c>
      <c r="Q227" s="212">
        <f>+P227*H227</f>
        <v>12.016999999999999</v>
      </c>
      <c r="R227" s="212">
        <f>+H227-Q227</f>
        <v>25.773</v>
      </c>
      <c r="T227" s="234">
        <f t="shared" si="149"/>
        <v>154.23252000000002</v>
      </c>
      <c r="X227" s="234">
        <v>3</v>
      </c>
    </row>
    <row r="228" spans="1:24">
      <c r="A228" s="234" t="s">
        <v>253</v>
      </c>
      <c r="D228" s="275">
        <f>+X228*(1-$D$5)</f>
        <v>1.9773400000000001</v>
      </c>
      <c r="E228" s="236">
        <v>2</v>
      </c>
      <c r="F228" s="237">
        <f>+F227</f>
        <v>36.4</v>
      </c>
      <c r="G228" s="248">
        <f>+F228*E228*D228*52</f>
        <v>7485.4183040000007</v>
      </c>
      <c r="H228" s="250">
        <f>ROUND(F228*(1+$H$10),2)</f>
        <v>37.79</v>
      </c>
      <c r="I228" s="276">
        <f>+H228*D228*E228*52</f>
        <v>7771.2625743999997</v>
      </c>
      <c r="J228" s="251">
        <f t="shared" si="148"/>
        <v>1.3900000000000006</v>
      </c>
      <c r="K228" s="252">
        <f t="shared" si="148"/>
        <v>285.844270399999</v>
      </c>
      <c r="L228" s="253">
        <f>J228/F228</f>
        <v>3.8186813186813204E-2</v>
      </c>
      <c r="M228" s="254">
        <f>2*$M$55</f>
        <v>200</v>
      </c>
      <c r="N228" s="208">
        <f>+D228*E228*M228*52/2000</f>
        <v>20.564336000000001</v>
      </c>
      <c r="O228" s="255">
        <f>+$O$195*N228</f>
        <v>2471.2162571200001</v>
      </c>
      <c r="P228" s="210">
        <f>+O228/I228</f>
        <v>0.31799417835406196</v>
      </c>
      <c r="Q228" s="212">
        <f>+P228*H228</f>
        <v>12.017000000000001</v>
      </c>
      <c r="R228" s="212">
        <f>+H228-Q228</f>
        <v>25.772999999999996</v>
      </c>
      <c r="T228" s="234">
        <f t="shared" si="149"/>
        <v>205.64336</v>
      </c>
      <c r="X228" s="234">
        <v>2</v>
      </c>
    </row>
    <row r="229" spans="1:24" ht="16.5">
      <c r="A229" s="234" t="s">
        <v>343</v>
      </c>
      <c r="D229" s="256">
        <f>+X229*(1-$D$5)</f>
        <v>0.98867000000000005</v>
      </c>
      <c r="E229" s="236">
        <v>3</v>
      </c>
      <c r="F229" s="237">
        <f>+F228</f>
        <v>36.4</v>
      </c>
      <c r="G229" s="257">
        <f>+F229*E229*D229*52</f>
        <v>5614.0637279999992</v>
      </c>
      <c r="H229" s="250">
        <f>ROUND(F229*(1+$H$10),2)</f>
        <v>37.79</v>
      </c>
      <c r="I229" s="257">
        <f>+H229*D229*E229*52</f>
        <v>5828.4469307999998</v>
      </c>
      <c r="J229" s="251">
        <f t="shared" si="148"/>
        <v>1.3900000000000006</v>
      </c>
      <c r="K229" s="258">
        <f t="shared" si="148"/>
        <v>214.38320280000062</v>
      </c>
      <c r="L229" s="253">
        <f>J229/F229</f>
        <v>3.8186813186813204E-2</v>
      </c>
      <c r="M229" s="254">
        <f>2*$M$55</f>
        <v>200</v>
      </c>
      <c r="N229" s="259">
        <f>+D229*E229*M229*52/2000</f>
        <v>15.423252</v>
      </c>
      <c r="O229" s="260">
        <f>+$O$195*N229</f>
        <v>1853.41219284</v>
      </c>
      <c r="P229" s="210">
        <f>+O229/I229</f>
        <v>0.31799417835406191</v>
      </c>
      <c r="Q229" s="212">
        <f>+P229*H229</f>
        <v>12.016999999999999</v>
      </c>
      <c r="R229" s="212">
        <f>+H229-Q229</f>
        <v>25.773</v>
      </c>
      <c r="T229" s="234">
        <f t="shared" si="149"/>
        <v>154.23252000000002</v>
      </c>
      <c r="X229" s="261">
        <v>1</v>
      </c>
    </row>
    <row r="230" spans="1:24" ht="16.5">
      <c r="D230" s="262">
        <f>SUM(D225:D229)</f>
        <v>81.070939999999993</v>
      </c>
      <c r="G230" s="238">
        <f>SUM(G226:G229)</f>
        <v>160936.49353599999</v>
      </c>
      <c r="H230" s="238"/>
      <c r="I230" s="238">
        <f>SUM(I226:I229)</f>
        <v>167082.14534960003</v>
      </c>
      <c r="J230" s="238"/>
      <c r="K230" s="238">
        <f>SUM(K226:K229)</f>
        <v>6145.6518136000268</v>
      </c>
      <c r="L230" s="238"/>
      <c r="M230" s="238"/>
      <c r="N230" s="244">
        <f>SUM(N226:N229)</f>
        <v>442.13322399999998</v>
      </c>
      <c r="O230" s="238">
        <f>SUM(O226:O229)</f>
        <v>53131.149528079994</v>
      </c>
      <c r="T230" s="234">
        <f>SUM(T226:T229)</f>
        <v>4421.3322399999997</v>
      </c>
      <c r="X230" s="264">
        <f>SUM(X225:X229)</f>
        <v>82</v>
      </c>
    </row>
    <row r="231" spans="1:24">
      <c r="D231" s="235"/>
    </row>
    <row r="232" spans="1:24">
      <c r="D232" s="235"/>
    </row>
    <row r="233" spans="1:24">
      <c r="A233" s="234" t="s">
        <v>256</v>
      </c>
      <c r="D233" s="275">
        <f t="shared" ref="D233:D239" si="150">+X233*(1-$D$5)</f>
        <v>46.467490000000005</v>
      </c>
      <c r="E233" s="236">
        <v>1</v>
      </c>
      <c r="F233" s="237">
        <v>49.3</v>
      </c>
      <c r="G233" s="248">
        <f t="shared" ref="G233:G239" si="151">+F233*E233*D233*52</f>
        <v>119124.05736399999</v>
      </c>
      <c r="H233" s="250">
        <f>ROUND(F233*(1+$H$10),2)</f>
        <v>51.18</v>
      </c>
      <c r="I233" s="276">
        <f>+H233*D233*E233*52</f>
        <v>123666.71918640001</v>
      </c>
      <c r="J233" s="251">
        <f>+H233-F233</f>
        <v>1.8800000000000026</v>
      </c>
      <c r="K233" s="252">
        <f>+I233-G233</f>
        <v>4542.6618224000122</v>
      </c>
      <c r="L233" s="253">
        <f>J233/F233</f>
        <v>3.8133874239350968E-2</v>
      </c>
      <c r="M233" s="254">
        <f>3*$M$55</f>
        <v>300</v>
      </c>
      <c r="N233" s="208">
        <f>+D233*E233*M233*52/2000</f>
        <v>362.44642200000004</v>
      </c>
      <c r="O233" s="255">
        <f>+$O$195*N233</f>
        <v>43555.186531740008</v>
      </c>
      <c r="P233" s="210">
        <f>+O233/I233</f>
        <v>0.35219812426729197</v>
      </c>
      <c r="Q233" s="212">
        <f>+P233*H233</f>
        <v>18.025500000000005</v>
      </c>
      <c r="R233" s="212">
        <f>+H233-Q233</f>
        <v>33.154499999999999</v>
      </c>
      <c r="T233" s="234">
        <f t="shared" ref="T233:T239" si="152">D233*E233*52</f>
        <v>2416.3094800000003</v>
      </c>
      <c r="X233" s="234">
        <v>47</v>
      </c>
    </row>
    <row r="234" spans="1:24">
      <c r="A234" s="234" t="s">
        <v>257</v>
      </c>
      <c r="D234" s="275">
        <f t="shared" si="150"/>
        <v>1.9773400000000001</v>
      </c>
      <c r="E234" s="236">
        <v>1</v>
      </c>
      <c r="F234" s="237">
        <f t="shared" ref="F234:F239" si="153">+F233</f>
        <v>49.3</v>
      </c>
      <c r="G234" s="248">
        <f t="shared" si="151"/>
        <v>5069.1088239999999</v>
      </c>
      <c r="H234" s="250">
        <f t="shared" ref="H234:H239" si="154">ROUND(F234*(1+$H$10),2)</f>
        <v>51.18</v>
      </c>
      <c r="I234" s="276">
        <f t="shared" ref="I234:I239" si="155">+H234*D234*E234*52</f>
        <v>5262.4135824000005</v>
      </c>
      <c r="J234" s="251">
        <f t="shared" ref="J234:K239" si="156">+H234-F234</f>
        <v>1.8800000000000026</v>
      </c>
      <c r="K234" s="252">
        <f t="shared" si="156"/>
        <v>193.30475840000054</v>
      </c>
      <c r="L234" s="253">
        <f t="shared" ref="L234:L239" si="157">J234/F234</f>
        <v>3.8133874239350968E-2</v>
      </c>
      <c r="M234" s="254">
        <f t="shared" ref="M234:M239" si="158">3*$M$55</f>
        <v>300</v>
      </c>
      <c r="N234" s="208">
        <f t="shared" ref="N234:N239" si="159">+D234*E234*M234*52/2000</f>
        <v>15.423252</v>
      </c>
      <c r="O234" s="255">
        <f t="shared" ref="O234:O239" si="160">+$O$195*N234</f>
        <v>1853.41219284</v>
      </c>
      <c r="P234" s="210">
        <f t="shared" ref="P234:P239" si="161">+O234/I234</f>
        <v>0.35219812426729186</v>
      </c>
      <c r="Q234" s="212">
        <f t="shared" ref="Q234:Q239" si="162">+P234*H234</f>
        <v>18.025499999999997</v>
      </c>
      <c r="R234" s="212">
        <f t="shared" ref="R234:R239" si="163">+H234-Q234</f>
        <v>33.154499999999999</v>
      </c>
      <c r="T234" s="234">
        <f t="shared" si="152"/>
        <v>102.82168</v>
      </c>
      <c r="X234" s="234">
        <v>2</v>
      </c>
    </row>
    <row r="235" spans="1:24">
      <c r="A235" s="234" t="s">
        <v>344</v>
      </c>
      <c r="D235" s="275">
        <f t="shared" si="150"/>
        <v>2.9660100000000003</v>
      </c>
      <c r="E235" s="236">
        <v>1</v>
      </c>
      <c r="F235" s="237">
        <f t="shared" si="153"/>
        <v>49.3</v>
      </c>
      <c r="G235" s="248">
        <f t="shared" si="151"/>
        <v>7603.6632360000012</v>
      </c>
      <c r="H235" s="250">
        <f t="shared" si="154"/>
        <v>51.18</v>
      </c>
      <c r="I235" s="276">
        <f t="shared" si="155"/>
        <v>7893.6203735999998</v>
      </c>
      <c r="J235" s="251">
        <f t="shared" si="156"/>
        <v>1.8800000000000026</v>
      </c>
      <c r="K235" s="252">
        <f t="shared" si="156"/>
        <v>289.95713759999853</v>
      </c>
      <c r="L235" s="253">
        <f t="shared" si="157"/>
        <v>3.8133874239350968E-2</v>
      </c>
      <c r="M235" s="254">
        <f t="shared" si="158"/>
        <v>300</v>
      </c>
      <c r="N235" s="208">
        <f t="shared" si="159"/>
        <v>23.134878000000004</v>
      </c>
      <c r="O235" s="255">
        <f t="shared" si="160"/>
        <v>2780.1182892600004</v>
      </c>
      <c r="P235" s="210">
        <f t="shared" si="161"/>
        <v>0.35219812426729197</v>
      </c>
      <c r="Q235" s="212">
        <f t="shared" si="162"/>
        <v>18.025500000000005</v>
      </c>
      <c r="R235" s="212">
        <f t="shared" si="163"/>
        <v>33.154499999999999</v>
      </c>
      <c r="T235" s="234">
        <f t="shared" si="152"/>
        <v>154.23252000000002</v>
      </c>
      <c r="X235" s="234">
        <v>3</v>
      </c>
    </row>
    <row r="236" spans="1:24">
      <c r="A236" s="234" t="s">
        <v>345</v>
      </c>
      <c r="D236" s="275">
        <f t="shared" si="150"/>
        <v>4.9433500000000006</v>
      </c>
      <c r="E236" s="236">
        <v>1</v>
      </c>
      <c r="F236" s="237">
        <f t="shared" si="153"/>
        <v>49.3</v>
      </c>
      <c r="G236" s="248">
        <f t="shared" si="151"/>
        <v>12672.772059999999</v>
      </c>
      <c r="H236" s="250">
        <f t="shared" si="154"/>
        <v>51.18</v>
      </c>
      <c r="I236" s="276">
        <f t="shared" si="155"/>
        <v>13156.033956000001</v>
      </c>
      <c r="J236" s="251">
        <f t="shared" si="156"/>
        <v>1.8800000000000026</v>
      </c>
      <c r="K236" s="252">
        <f t="shared" si="156"/>
        <v>483.2618960000018</v>
      </c>
      <c r="L236" s="253">
        <f t="shared" si="157"/>
        <v>3.8133874239350968E-2</v>
      </c>
      <c r="M236" s="254">
        <f t="shared" si="158"/>
        <v>300</v>
      </c>
      <c r="N236" s="208">
        <f t="shared" si="159"/>
        <v>38.558130000000006</v>
      </c>
      <c r="O236" s="255">
        <f t="shared" si="160"/>
        <v>4633.5304821000009</v>
      </c>
      <c r="P236" s="210">
        <f t="shared" si="161"/>
        <v>0.35219812426729197</v>
      </c>
      <c r="Q236" s="212">
        <f t="shared" si="162"/>
        <v>18.025500000000005</v>
      </c>
      <c r="R236" s="212">
        <f t="shared" si="163"/>
        <v>33.154499999999999</v>
      </c>
      <c r="T236" s="234">
        <f t="shared" si="152"/>
        <v>257.05420000000004</v>
      </c>
      <c r="X236" s="234">
        <v>5</v>
      </c>
    </row>
    <row r="237" spans="1:24">
      <c r="A237" s="234" t="s">
        <v>260</v>
      </c>
      <c r="D237" s="275">
        <f t="shared" si="150"/>
        <v>11.864040000000001</v>
      </c>
      <c r="E237" s="236">
        <v>2</v>
      </c>
      <c r="F237" s="237">
        <f t="shared" si="153"/>
        <v>49.3</v>
      </c>
      <c r="G237" s="248">
        <f t="shared" si="151"/>
        <v>60829.30588800001</v>
      </c>
      <c r="H237" s="250">
        <f t="shared" si="154"/>
        <v>51.18</v>
      </c>
      <c r="I237" s="276">
        <f t="shared" si="155"/>
        <v>63148.962988799998</v>
      </c>
      <c r="J237" s="251">
        <f t="shared" si="156"/>
        <v>1.8800000000000026</v>
      </c>
      <c r="K237" s="252">
        <f t="shared" si="156"/>
        <v>2319.6571007999883</v>
      </c>
      <c r="L237" s="253">
        <f t="shared" si="157"/>
        <v>3.8133874239350968E-2</v>
      </c>
      <c r="M237" s="254">
        <f t="shared" si="158"/>
        <v>300</v>
      </c>
      <c r="N237" s="208">
        <f t="shared" si="159"/>
        <v>185.07902400000003</v>
      </c>
      <c r="O237" s="255">
        <f t="shared" si="160"/>
        <v>22240.946314080004</v>
      </c>
      <c r="P237" s="210">
        <f t="shared" si="161"/>
        <v>0.35219812426729197</v>
      </c>
      <c r="Q237" s="212">
        <f t="shared" si="162"/>
        <v>18.025500000000005</v>
      </c>
      <c r="R237" s="212">
        <f t="shared" si="163"/>
        <v>33.154499999999999</v>
      </c>
      <c r="T237" s="234">
        <f t="shared" si="152"/>
        <v>1233.8601600000002</v>
      </c>
      <c r="X237" s="234">
        <v>12</v>
      </c>
    </row>
    <row r="238" spans="1:24">
      <c r="A238" s="234" t="s">
        <v>346</v>
      </c>
      <c r="D238" s="275">
        <f t="shared" si="150"/>
        <v>1.9773400000000001</v>
      </c>
      <c r="E238" s="236">
        <v>3</v>
      </c>
      <c r="F238" s="237">
        <f t="shared" si="153"/>
        <v>49.3</v>
      </c>
      <c r="G238" s="248">
        <f t="shared" si="151"/>
        <v>15207.326471999999</v>
      </c>
      <c r="H238" s="250">
        <f t="shared" si="154"/>
        <v>51.18</v>
      </c>
      <c r="I238" s="276">
        <f t="shared" si="155"/>
        <v>15787.2407472</v>
      </c>
      <c r="J238" s="251">
        <f t="shared" si="156"/>
        <v>1.8800000000000026</v>
      </c>
      <c r="K238" s="252">
        <f t="shared" si="156"/>
        <v>579.9142752000007</v>
      </c>
      <c r="L238" s="253">
        <f t="shared" si="157"/>
        <v>3.8133874239350968E-2</v>
      </c>
      <c r="M238" s="254">
        <f t="shared" si="158"/>
        <v>300</v>
      </c>
      <c r="N238" s="208">
        <f t="shared" si="159"/>
        <v>46.269756000000008</v>
      </c>
      <c r="O238" s="255">
        <f t="shared" si="160"/>
        <v>5560.2365785200009</v>
      </c>
      <c r="P238" s="210">
        <f t="shared" si="161"/>
        <v>0.35219812426729197</v>
      </c>
      <c r="Q238" s="212">
        <f t="shared" si="162"/>
        <v>18.025500000000005</v>
      </c>
      <c r="R238" s="212">
        <f t="shared" si="163"/>
        <v>33.154499999999999</v>
      </c>
      <c r="T238" s="234">
        <f t="shared" si="152"/>
        <v>308.46504000000004</v>
      </c>
      <c r="X238" s="234">
        <v>2</v>
      </c>
    </row>
    <row r="239" spans="1:24" ht="16.5">
      <c r="A239" s="234" t="s">
        <v>347</v>
      </c>
      <c r="D239" s="256">
        <f t="shared" si="150"/>
        <v>0.98867000000000005</v>
      </c>
      <c r="E239" s="236">
        <v>4</v>
      </c>
      <c r="F239" s="237">
        <f t="shared" si="153"/>
        <v>49.3</v>
      </c>
      <c r="G239" s="257">
        <f t="shared" si="151"/>
        <v>10138.217648</v>
      </c>
      <c r="H239" s="250">
        <f t="shared" si="154"/>
        <v>51.18</v>
      </c>
      <c r="I239" s="257">
        <f t="shared" si="155"/>
        <v>10524.827164800001</v>
      </c>
      <c r="J239" s="251">
        <f t="shared" si="156"/>
        <v>1.8800000000000026</v>
      </c>
      <c r="K239" s="258">
        <f t="shared" si="156"/>
        <v>386.60951680000107</v>
      </c>
      <c r="L239" s="253">
        <f t="shared" si="157"/>
        <v>3.8133874239350968E-2</v>
      </c>
      <c r="M239" s="254">
        <f t="shared" si="158"/>
        <v>300</v>
      </c>
      <c r="N239" s="259">
        <f t="shared" si="159"/>
        <v>30.846503999999999</v>
      </c>
      <c r="O239" s="260">
        <f t="shared" si="160"/>
        <v>3706.82438568</v>
      </c>
      <c r="P239" s="210">
        <f t="shared" si="161"/>
        <v>0.35219812426729186</v>
      </c>
      <c r="Q239" s="212">
        <f t="shared" si="162"/>
        <v>18.025499999999997</v>
      </c>
      <c r="R239" s="212">
        <f t="shared" si="163"/>
        <v>33.154499999999999</v>
      </c>
      <c r="T239" s="234">
        <f t="shared" si="152"/>
        <v>205.64336</v>
      </c>
      <c r="X239" s="261">
        <v>1</v>
      </c>
    </row>
    <row r="240" spans="1:24" ht="16.5">
      <c r="D240" s="262">
        <f>SUM(D233:D239)</f>
        <v>71.184240000000003</v>
      </c>
      <c r="G240" s="238">
        <f>SUM(G233:G239)</f>
        <v>230644.45149199996</v>
      </c>
      <c r="H240" s="238"/>
      <c r="I240" s="238">
        <f>SUM(I233:I239)</f>
        <v>239439.81799919999</v>
      </c>
      <c r="J240" s="238"/>
      <c r="K240" s="238">
        <f>SUM(K233:K239)</f>
        <v>8795.3665072000022</v>
      </c>
      <c r="L240" s="238"/>
      <c r="M240" s="238"/>
      <c r="N240" s="244">
        <f>SUM(N233:N239)</f>
        <v>701.75796600000012</v>
      </c>
      <c r="O240" s="238">
        <f>SUM(O233:O239)</f>
        <v>84330.254774219997</v>
      </c>
      <c r="T240" s="234">
        <f>SUM(T233:T239)</f>
        <v>4678.3864400000011</v>
      </c>
      <c r="X240" s="264">
        <f>SUM(X233:X239)</f>
        <v>72</v>
      </c>
    </row>
    <row r="241" spans="1:24">
      <c r="D241" s="235"/>
    </row>
    <row r="242" spans="1:24">
      <c r="D242" s="235"/>
    </row>
    <row r="243" spans="1:24">
      <c r="A243" s="234" t="s">
        <v>266</v>
      </c>
      <c r="D243" s="275">
        <f t="shared" ref="D243:D253" si="164">+X243*(1-$D$5)</f>
        <v>69.206900000000005</v>
      </c>
      <c r="E243" s="236">
        <v>1</v>
      </c>
      <c r="F243" s="237">
        <v>59.3</v>
      </c>
      <c r="G243" s="248">
        <f>+F243*E243*D243*52</f>
        <v>213406.39684</v>
      </c>
      <c r="H243" s="250">
        <f>ROUND(F243*(1+$H$10),2)</f>
        <v>61.57</v>
      </c>
      <c r="I243" s="276">
        <f>+H243*D243*E243*52</f>
        <v>221575.57931600002</v>
      </c>
      <c r="J243" s="251">
        <f>+H243-F243</f>
        <v>2.2700000000000031</v>
      </c>
      <c r="K243" s="252">
        <f>+I243-G243</f>
        <v>8169.1824760000163</v>
      </c>
      <c r="L243" s="253">
        <f>J243/F243</f>
        <v>3.8279932546374421E-2</v>
      </c>
      <c r="M243" s="254">
        <f>4*$M$55</f>
        <v>400</v>
      </c>
      <c r="N243" s="208">
        <f>+D243*E243*M243*52/2000</f>
        <v>719.75175999999999</v>
      </c>
      <c r="O243" s="255">
        <f>+$O$195*N243</f>
        <v>86492.568999199997</v>
      </c>
      <c r="P243" s="210">
        <f>+O243/I243</f>
        <v>0.39035244437225919</v>
      </c>
      <c r="Q243" s="212">
        <f>+P243*H243</f>
        <v>24.033999999999999</v>
      </c>
      <c r="R243" s="212">
        <f>+H243-Q243</f>
        <v>37.536000000000001</v>
      </c>
      <c r="T243" s="234">
        <f t="shared" ref="T243:T253" si="165">D243*E243*52</f>
        <v>3598.7588000000001</v>
      </c>
      <c r="X243" s="234">
        <v>70</v>
      </c>
    </row>
    <row r="244" spans="1:24">
      <c r="A244" s="234" t="s">
        <v>267</v>
      </c>
      <c r="D244" s="275">
        <f t="shared" si="164"/>
        <v>1.9773400000000001</v>
      </c>
      <c r="E244" s="236">
        <v>1</v>
      </c>
      <c r="F244" s="237">
        <f>+F243</f>
        <v>59.3</v>
      </c>
      <c r="G244" s="248">
        <f>+F244*E244*D244*52</f>
        <v>6097.3256240000001</v>
      </c>
      <c r="H244" s="250">
        <f t="shared" ref="H244:H253" si="166">ROUND(F244*(1+$H$10),2)</f>
        <v>61.57</v>
      </c>
      <c r="I244" s="276">
        <f t="shared" ref="I244:I253" si="167">+H244*D244*E244*52</f>
        <v>6330.7308376000001</v>
      </c>
      <c r="J244" s="251">
        <f t="shared" ref="J244:K253" si="168">+H244-F244</f>
        <v>2.2700000000000031</v>
      </c>
      <c r="K244" s="252">
        <f t="shared" si="168"/>
        <v>233.40521360000002</v>
      </c>
      <c r="L244" s="253">
        <f t="shared" ref="L244:L253" si="169">J244/F244</f>
        <v>3.8279932546374421E-2</v>
      </c>
      <c r="M244" s="254">
        <f t="shared" ref="M244:M253" si="170">4*$M$55</f>
        <v>400</v>
      </c>
      <c r="N244" s="208">
        <f t="shared" ref="N244:N253" si="171">+D244*E244*M244*52/2000</f>
        <v>20.564336000000001</v>
      </c>
      <c r="O244" s="255">
        <f t="shared" ref="O244:O253" si="172">+$O$195*N244</f>
        <v>2471.2162571200001</v>
      </c>
      <c r="P244" s="210">
        <f t="shared" ref="P244:P253" si="173">+O244/I244</f>
        <v>0.39035244437225924</v>
      </c>
      <c r="Q244" s="212">
        <f t="shared" ref="Q244:Q253" si="174">+P244*H244</f>
        <v>24.034000000000002</v>
      </c>
      <c r="R244" s="212">
        <f t="shared" ref="R244:R253" si="175">+H244-Q244</f>
        <v>37.536000000000001</v>
      </c>
      <c r="T244" s="234">
        <f t="shared" si="165"/>
        <v>102.82168</v>
      </c>
      <c r="X244" s="234">
        <v>2</v>
      </c>
    </row>
    <row r="245" spans="1:24">
      <c r="A245" s="234" t="s">
        <v>268</v>
      </c>
      <c r="D245" s="275">
        <f t="shared" si="164"/>
        <v>5.9320200000000005</v>
      </c>
      <c r="E245" s="236">
        <v>1</v>
      </c>
      <c r="F245" s="237">
        <f t="shared" ref="F245:F253" si="176">+F244</f>
        <v>59.3</v>
      </c>
      <c r="G245" s="248">
        <f t="shared" ref="G245:G253" si="177">+F245*E245*D245*52</f>
        <v>18291.976872000003</v>
      </c>
      <c r="H245" s="250">
        <f t="shared" si="166"/>
        <v>61.57</v>
      </c>
      <c r="I245" s="276">
        <f t="shared" si="167"/>
        <v>18992.1925128</v>
      </c>
      <c r="J245" s="251">
        <f t="shared" si="168"/>
        <v>2.2700000000000031</v>
      </c>
      <c r="K245" s="252">
        <f t="shared" si="168"/>
        <v>700.21564079999735</v>
      </c>
      <c r="L245" s="253">
        <f t="shared" si="169"/>
        <v>3.8279932546374421E-2</v>
      </c>
      <c r="M245" s="254">
        <f t="shared" si="170"/>
        <v>400</v>
      </c>
      <c r="N245" s="208">
        <f t="shared" si="171"/>
        <v>61.693007999999999</v>
      </c>
      <c r="O245" s="255">
        <f t="shared" si="172"/>
        <v>7413.64877136</v>
      </c>
      <c r="P245" s="210">
        <f t="shared" si="173"/>
        <v>0.39035244437225919</v>
      </c>
      <c r="Q245" s="212">
        <f t="shared" si="174"/>
        <v>24.033999999999999</v>
      </c>
      <c r="R245" s="212">
        <f t="shared" si="175"/>
        <v>37.536000000000001</v>
      </c>
      <c r="T245" s="234">
        <f t="shared" si="165"/>
        <v>308.46504000000004</v>
      </c>
      <c r="X245" s="234">
        <v>6</v>
      </c>
    </row>
    <row r="246" spans="1:24">
      <c r="A246" s="234" t="s">
        <v>269</v>
      </c>
      <c r="D246" s="275">
        <f t="shared" si="164"/>
        <v>3.9546800000000002</v>
      </c>
      <c r="E246" s="236">
        <v>1</v>
      </c>
      <c r="F246" s="237">
        <f t="shared" si="176"/>
        <v>59.3</v>
      </c>
      <c r="G246" s="248">
        <f t="shared" si="177"/>
        <v>12194.651248</v>
      </c>
      <c r="H246" s="250">
        <f t="shared" si="166"/>
        <v>61.57</v>
      </c>
      <c r="I246" s="276">
        <f t="shared" si="167"/>
        <v>12661.4616752</v>
      </c>
      <c r="J246" s="251">
        <f t="shared" si="168"/>
        <v>2.2700000000000031</v>
      </c>
      <c r="K246" s="252">
        <f t="shared" si="168"/>
        <v>466.81042720000005</v>
      </c>
      <c r="L246" s="253">
        <f t="shared" si="169"/>
        <v>3.8279932546374421E-2</v>
      </c>
      <c r="M246" s="254">
        <f t="shared" si="170"/>
        <v>400</v>
      </c>
      <c r="N246" s="208">
        <f t="shared" si="171"/>
        <v>41.128672000000002</v>
      </c>
      <c r="O246" s="255">
        <f t="shared" si="172"/>
        <v>4942.4325142400003</v>
      </c>
      <c r="P246" s="210">
        <f t="shared" si="173"/>
        <v>0.39035244437225924</v>
      </c>
      <c r="Q246" s="212">
        <f t="shared" si="174"/>
        <v>24.034000000000002</v>
      </c>
      <c r="R246" s="212">
        <f t="shared" si="175"/>
        <v>37.536000000000001</v>
      </c>
      <c r="T246" s="234">
        <f t="shared" si="165"/>
        <v>205.64336</v>
      </c>
      <c r="X246" s="234">
        <v>4</v>
      </c>
    </row>
    <row r="247" spans="1:24">
      <c r="A247" s="234" t="s">
        <v>348</v>
      </c>
      <c r="D247" s="275">
        <f t="shared" si="164"/>
        <v>5.9320200000000005</v>
      </c>
      <c r="E247" s="236">
        <v>1</v>
      </c>
      <c r="F247" s="237">
        <f t="shared" si="176"/>
        <v>59.3</v>
      </c>
      <c r="G247" s="248">
        <f t="shared" si="177"/>
        <v>18291.976872000003</v>
      </c>
      <c r="H247" s="250">
        <f t="shared" si="166"/>
        <v>61.57</v>
      </c>
      <c r="I247" s="276">
        <f t="shared" si="167"/>
        <v>18992.1925128</v>
      </c>
      <c r="J247" s="251">
        <f t="shared" si="168"/>
        <v>2.2700000000000031</v>
      </c>
      <c r="K247" s="252">
        <f t="shared" si="168"/>
        <v>700.21564079999735</v>
      </c>
      <c r="L247" s="253">
        <f t="shared" si="169"/>
        <v>3.8279932546374421E-2</v>
      </c>
      <c r="M247" s="254">
        <f t="shared" si="170"/>
        <v>400</v>
      </c>
      <c r="N247" s="208">
        <f t="shared" si="171"/>
        <v>61.693007999999999</v>
      </c>
      <c r="O247" s="255">
        <f t="shared" si="172"/>
        <v>7413.64877136</v>
      </c>
      <c r="P247" s="210">
        <f t="shared" si="173"/>
        <v>0.39035244437225919</v>
      </c>
      <c r="Q247" s="212">
        <f t="shared" si="174"/>
        <v>24.033999999999999</v>
      </c>
      <c r="R247" s="212">
        <f t="shared" si="175"/>
        <v>37.536000000000001</v>
      </c>
      <c r="T247" s="234">
        <f t="shared" si="165"/>
        <v>308.46504000000004</v>
      </c>
      <c r="X247" s="234">
        <v>6</v>
      </c>
    </row>
    <row r="248" spans="1:24">
      <c r="A248" s="234" t="s">
        <v>271</v>
      </c>
      <c r="D248" s="275">
        <f t="shared" si="164"/>
        <v>14.83005</v>
      </c>
      <c r="E248" s="236">
        <v>2</v>
      </c>
      <c r="F248" s="237">
        <f t="shared" si="176"/>
        <v>59.3</v>
      </c>
      <c r="G248" s="248">
        <f t="shared" si="177"/>
        <v>91459.884359999996</v>
      </c>
      <c r="H248" s="250">
        <f t="shared" si="166"/>
        <v>61.57</v>
      </c>
      <c r="I248" s="276">
        <f t="shared" si="167"/>
        <v>94960.962564000001</v>
      </c>
      <c r="J248" s="251">
        <f t="shared" si="168"/>
        <v>2.2700000000000031</v>
      </c>
      <c r="K248" s="252">
        <f t="shared" si="168"/>
        <v>3501.0782040000049</v>
      </c>
      <c r="L248" s="253">
        <f t="shared" si="169"/>
        <v>3.8279932546374421E-2</v>
      </c>
      <c r="M248" s="254">
        <f t="shared" si="170"/>
        <v>400</v>
      </c>
      <c r="N248" s="208">
        <f t="shared" si="171"/>
        <v>308.46504000000004</v>
      </c>
      <c r="O248" s="255">
        <f t="shared" si="172"/>
        <v>37068.243856800007</v>
      </c>
      <c r="P248" s="210">
        <f t="shared" si="173"/>
        <v>0.3903524443722593</v>
      </c>
      <c r="Q248" s="212">
        <f t="shared" si="174"/>
        <v>24.034000000000006</v>
      </c>
      <c r="R248" s="212">
        <f t="shared" si="175"/>
        <v>37.535999999999994</v>
      </c>
      <c r="T248" s="234">
        <f t="shared" si="165"/>
        <v>1542.3252</v>
      </c>
      <c r="X248" s="234">
        <v>15</v>
      </c>
    </row>
    <row r="249" spans="1:24">
      <c r="A249" s="234" t="s">
        <v>272</v>
      </c>
      <c r="D249" s="275">
        <f t="shared" si="164"/>
        <v>1.9773400000000001</v>
      </c>
      <c r="E249" s="236">
        <v>2</v>
      </c>
      <c r="F249" s="237">
        <f t="shared" si="176"/>
        <v>59.3</v>
      </c>
      <c r="G249" s="248">
        <f t="shared" si="177"/>
        <v>12194.651248</v>
      </c>
      <c r="H249" s="250">
        <f t="shared" si="166"/>
        <v>61.57</v>
      </c>
      <c r="I249" s="276">
        <f t="shared" si="167"/>
        <v>12661.4616752</v>
      </c>
      <c r="J249" s="251">
        <f t="shared" si="168"/>
        <v>2.2700000000000031</v>
      </c>
      <c r="K249" s="252">
        <f t="shared" si="168"/>
        <v>466.81042720000005</v>
      </c>
      <c r="L249" s="253">
        <f t="shared" si="169"/>
        <v>3.8279932546374421E-2</v>
      </c>
      <c r="M249" s="254">
        <f t="shared" si="170"/>
        <v>400</v>
      </c>
      <c r="N249" s="208">
        <f t="shared" si="171"/>
        <v>41.128672000000002</v>
      </c>
      <c r="O249" s="255">
        <f t="shared" si="172"/>
        <v>4942.4325142400003</v>
      </c>
      <c r="P249" s="210">
        <f t="shared" si="173"/>
        <v>0.39035244437225924</v>
      </c>
      <c r="Q249" s="212">
        <f t="shared" si="174"/>
        <v>24.034000000000002</v>
      </c>
      <c r="R249" s="212">
        <f t="shared" si="175"/>
        <v>37.536000000000001</v>
      </c>
      <c r="T249" s="234">
        <f t="shared" si="165"/>
        <v>205.64336</v>
      </c>
      <c r="X249" s="234">
        <v>2</v>
      </c>
    </row>
    <row r="250" spans="1:24">
      <c r="A250" s="234" t="s">
        <v>277</v>
      </c>
      <c r="D250" s="275">
        <f t="shared" si="164"/>
        <v>9.8867000000000012</v>
      </c>
      <c r="E250" s="236">
        <v>3</v>
      </c>
      <c r="F250" s="237">
        <f t="shared" si="176"/>
        <v>59.3</v>
      </c>
      <c r="G250" s="248">
        <f t="shared" si="177"/>
        <v>91459.884359999996</v>
      </c>
      <c r="H250" s="250">
        <f t="shared" si="166"/>
        <v>61.57</v>
      </c>
      <c r="I250" s="276">
        <f t="shared" si="167"/>
        <v>94960.962564000016</v>
      </c>
      <c r="J250" s="251">
        <f t="shared" si="168"/>
        <v>2.2700000000000031</v>
      </c>
      <c r="K250" s="252">
        <f t="shared" si="168"/>
        <v>3501.0782040000195</v>
      </c>
      <c r="L250" s="253">
        <f t="shared" si="169"/>
        <v>3.8279932546374421E-2</v>
      </c>
      <c r="M250" s="254">
        <f t="shared" si="170"/>
        <v>400</v>
      </c>
      <c r="N250" s="208">
        <f t="shared" si="171"/>
        <v>308.46504000000004</v>
      </c>
      <c r="O250" s="255">
        <f t="shared" si="172"/>
        <v>37068.243856800007</v>
      </c>
      <c r="P250" s="210">
        <f t="shared" si="173"/>
        <v>0.39035244437225924</v>
      </c>
      <c r="Q250" s="212">
        <f t="shared" si="174"/>
        <v>24.034000000000002</v>
      </c>
      <c r="R250" s="212">
        <f t="shared" si="175"/>
        <v>37.536000000000001</v>
      </c>
      <c r="T250" s="234">
        <f t="shared" si="165"/>
        <v>1542.3252000000002</v>
      </c>
      <c r="X250" s="234">
        <v>10</v>
      </c>
    </row>
    <row r="251" spans="1:24">
      <c r="A251" s="234" t="s">
        <v>349</v>
      </c>
      <c r="D251" s="275">
        <f t="shared" si="164"/>
        <v>3.9546800000000002</v>
      </c>
      <c r="E251" s="236">
        <v>3</v>
      </c>
      <c r="F251" s="237">
        <f t="shared" si="176"/>
        <v>59.3</v>
      </c>
      <c r="G251" s="248">
        <f t="shared" si="177"/>
        <v>36583.953743999999</v>
      </c>
      <c r="H251" s="250">
        <f t="shared" si="166"/>
        <v>61.57</v>
      </c>
      <c r="I251" s="276">
        <f t="shared" si="167"/>
        <v>37984.385025600001</v>
      </c>
      <c r="J251" s="251">
        <f t="shared" si="168"/>
        <v>2.2700000000000031</v>
      </c>
      <c r="K251" s="252">
        <f t="shared" si="168"/>
        <v>1400.431281600002</v>
      </c>
      <c r="L251" s="253">
        <f t="shared" si="169"/>
        <v>3.8279932546374421E-2</v>
      </c>
      <c r="M251" s="254">
        <f t="shared" si="170"/>
        <v>400</v>
      </c>
      <c r="N251" s="208">
        <f t="shared" si="171"/>
        <v>123.386016</v>
      </c>
      <c r="O251" s="255">
        <f t="shared" si="172"/>
        <v>14827.29754272</v>
      </c>
      <c r="P251" s="210">
        <f t="shared" si="173"/>
        <v>0.39035244437225919</v>
      </c>
      <c r="Q251" s="212">
        <f t="shared" si="174"/>
        <v>24.033999999999999</v>
      </c>
      <c r="R251" s="212">
        <f t="shared" si="175"/>
        <v>37.536000000000001</v>
      </c>
      <c r="T251" s="234">
        <f t="shared" si="165"/>
        <v>616.93008000000009</v>
      </c>
      <c r="X251" s="234">
        <v>4</v>
      </c>
    </row>
    <row r="252" spans="1:24">
      <c r="A252" s="234" t="s">
        <v>279</v>
      </c>
      <c r="D252" s="275">
        <f t="shared" si="164"/>
        <v>0.98867000000000005</v>
      </c>
      <c r="E252" s="236">
        <v>4</v>
      </c>
      <c r="F252" s="237">
        <f t="shared" si="176"/>
        <v>59.3</v>
      </c>
      <c r="G252" s="248">
        <f t="shared" si="177"/>
        <v>12194.651248</v>
      </c>
      <c r="H252" s="250">
        <f t="shared" si="166"/>
        <v>61.57</v>
      </c>
      <c r="I252" s="276">
        <f t="shared" si="167"/>
        <v>12661.4616752</v>
      </c>
      <c r="J252" s="251">
        <f t="shared" si="168"/>
        <v>2.2700000000000031</v>
      </c>
      <c r="K252" s="252">
        <f t="shared" si="168"/>
        <v>466.81042720000005</v>
      </c>
      <c r="L252" s="253">
        <f t="shared" si="169"/>
        <v>3.8279932546374421E-2</v>
      </c>
      <c r="M252" s="254">
        <f t="shared" si="170"/>
        <v>400</v>
      </c>
      <c r="N252" s="208">
        <f t="shared" si="171"/>
        <v>41.128672000000002</v>
      </c>
      <c r="O252" s="255">
        <f t="shared" si="172"/>
        <v>4942.4325142400003</v>
      </c>
      <c r="P252" s="210">
        <f t="shared" si="173"/>
        <v>0.39035244437225924</v>
      </c>
      <c r="Q252" s="212">
        <f t="shared" si="174"/>
        <v>24.034000000000002</v>
      </c>
      <c r="R252" s="212">
        <f t="shared" si="175"/>
        <v>37.536000000000001</v>
      </c>
      <c r="T252" s="234">
        <f t="shared" si="165"/>
        <v>205.64336</v>
      </c>
      <c r="X252" s="234">
        <v>1</v>
      </c>
    </row>
    <row r="253" spans="1:24" ht="16.5">
      <c r="A253" s="234" t="s">
        <v>350</v>
      </c>
      <c r="D253" s="256">
        <f t="shared" si="164"/>
        <v>1.9773400000000001</v>
      </c>
      <c r="E253" s="236">
        <v>6</v>
      </c>
      <c r="F253" s="237">
        <f t="shared" si="176"/>
        <v>59.3</v>
      </c>
      <c r="G253" s="257">
        <f t="shared" si="177"/>
        <v>36583.953743999999</v>
      </c>
      <c r="H253" s="250">
        <f t="shared" si="166"/>
        <v>61.57</v>
      </c>
      <c r="I253" s="257">
        <f t="shared" si="167"/>
        <v>37984.385025600001</v>
      </c>
      <c r="J253" s="251">
        <f t="shared" si="168"/>
        <v>2.2700000000000031</v>
      </c>
      <c r="K253" s="258">
        <f t="shared" si="168"/>
        <v>1400.431281600002</v>
      </c>
      <c r="L253" s="253">
        <f t="shared" si="169"/>
        <v>3.8279932546374421E-2</v>
      </c>
      <c r="M253" s="254">
        <f t="shared" si="170"/>
        <v>400</v>
      </c>
      <c r="N253" s="259">
        <f t="shared" si="171"/>
        <v>123.386016</v>
      </c>
      <c r="O253" s="260">
        <f t="shared" si="172"/>
        <v>14827.29754272</v>
      </c>
      <c r="P253" s="210">
        <f t="shared" si="173"/>
        <v>0.39035244437225919</v>
      </c>
      <c r="Q253" s="212">
        <f t="shared" si="174"/>
        <v>24.033999999999999</v>
      </c>
      <c r="R253" s="212">
        <f t="shared" si="175"/>
        <v>37.536000000000001</v>
      </c>
      <c r="T253" s="234">
        <f t="shared" si="165"/>
        <v>616.93008000000009</v>
      </c>
      <c r="X253" s="261">
        <v>2</v>
      </c>
    </row>
    <row r="254" spans="1:24" ht="16.5">
      <c r="D254" s="262">
        <f>SUM(D243:D253)</f>
        <v>120.61773999999998</v>
      </c>
      <c r="G254" s="238">
        <f>SUM(G243:G253)</f>
        <v>548759.30616000004</v>
      </c>
      <c r="H254" s="238"/>
      <c r="I254" s="238">
        <f>SUM(I243:I253)</f>
        <v>569765.77538400004</v>
      </c>
      <c r="J254" s="238"/>
      <c r="K254" s="238">
        <f>SUM(K243:K253)</f>
        <v>21006.469224000037</v>
      </c>
      <c r="L254" s="238"/>
      <c r="M254" s="238"/>
      <c r="N254" s="244">
        <f>SUM(N243:N253)</f>
        <v>1850.79024</v>
      </c>
      <c r="O254" s="238">
        <f>SUM(O243:O253)</f>
        <v>222409.46314080001</v>
      </c>
      <c r="P254" s="210"/>
      <c r="Q254" s="212"/>
      <c r="R254" s="212"/>
      <c r="T254" s="234">
        <f>SUM(T243:T253)</f>
        <v>9253.9511999999995</v>
      </c>
      <c r="X254" s="264">
        <f>SUM(X243:X253)</f>
        <v>122</v>
      </c>
    </row>
    <row r="255" spans="1:24">
      <c r="D255" s="235"/>
    </row>
    <row r="256" spans="1:24">
      <c r="D256" s="235"/>
    </row>
    <row r="257" spans="1:24">
      <c r="A257" s="234" t="s">
        <v>282</v>
      </c>
      <c r="D257" s="275">
        <f t="shared" ref="D257:D262" si="178">+X257*(1-$D$5)</f>
        <v>52.399509999999999</v>
      </c>
      <c r="E257" s="236">
        <v>1</v>
      </c>
      <c r="F257" s="237">
        <v>76.8</v>
      </c>
      <c r="G257" s="248">
        <f t="shared" ref="G257:G262" si="179">+F257*E257*D257*52</f>
        <v>209262.68313599998</v>
      </c>
      <c r="H257" s="250">
        <f t="shared" ref="H257:H262" si="180">ROUND(F257*(1+$H$10),2)</f>
        <v>79.73</v>
      </c>
      <c r="I257" s="276">
        <f t="shared" ref="I257:I262" si="181">+H257*D257*E257*52</f>
        <v>217246.27247960001</v>
      </c>
      <c r="J257" s="251">
        <f t="shared" ref="J257:K262" si="182">+H257-F257</f>
        <v>2.9300000000000068</v>
      </c>
      <c r="K257" s="252">
        <f t="shared" si="182"/>
        <v>7983.5893436000333</v>
      </c>
      <c r="L257" s="253">
        <f t="shared" ref="L257:L262" si="183">J257/F257</f>
        <v>3.815104166666676E-2</v>
      </c>
      <c r="M257" s="254">
        <f t="shared" ref="M257:M262" si="184">6*$M$55</f>
        <v>600</v>
      </c>
      <c r="N257" s="208">
        <f t="shared" ref="N257:N262" si="185">+D257*E257*M257*52/2000</f>
        <v>817.43235599999991</v>
      </c>
      <c r="O257" s="255">
        <f t="shared" ref="O257:O262" si="186">+$O$195*N257</f>
        <v>98230.84622051999</v>
      </c>
      <c r="P257" s="210">
        <f t="shared" ref="P257:P262" si="187">+O257/I257</f>
        <v>0.45216355198795932</v>
      </c>
      <c r="Q257" s="212">
        <f t="shared" ref="Q257:Q262" si="188">+P257*H257</f>
        <v>36.051000000000002</v>
      </c>
      <c r="R257" s="212">
        <f t="shared" ref="R257:R262" si="189">+H257-Q257</f>
        <v>43.679000000000002</v>
      </c>
      <c r="T257" s="234">
        <f t="shared" ref="T257:T262" si="190">D257*E257*52</f>
        <v>2724.7745199999999</v>
      </c>
      <c r="X257" s="234">
        <v>53</v>
      </c>
    </row>
    <row r="258" spans="1:24">
      <c r="A258" s="234" t="s">
        <v>283</v>
      </c>
      <c r="D258" s="275">
        <f t="shared" si="178"/>
        <v>1.9773400000000001</v>
      </c>
      <c r="E258" s="236">
        <v>1</v>
      </c>
      <c r="F258" s="237">
        <f>+F257</f>
        <v>76.8</v>
      </c>
      <c r="G258" s="248">
        <f t="shared" si="179"/>
        <v>7896.7050239999999</v>
      </c>
      <c r="H258" s="250">
        <f t="shared" si="180"/>
        <v>79.73</v>
      </c>
      <c r="I258" s="276">
        <f t="shared" si="181"/>
        <v>8197.9725464000021</v>
      </c>
      <c r="J258" s="251">
        <f t="shared" si="182"/>
        <v>2.9300000000000068</v>
      </c>
      <c r="K258" s="252">
        <f t="shared" si="182"/>
        <v>301.26752240000224</v>
      </c>
      <c r="L258" s="253">
        <f t="shared" si="183"/>
        <v>3.815104166666676E-2</v>
      </c>
      <c r="M258" s="254">
        <f t="shared" si="184"/>
        <v>600</v>
      </c>
      <c r="N258" s="208">
        <f t="shared" si="185"/>
        <v>30.846503999999999</v>
      </c>
      <c r="O258" s="255">
        <f t="shared" si="186"/>
        <v>3706.82438568</v>
      </c>
      <c r="P258" s="210">
        <f t="shared" si="187"/>
        <v>0.45216355198795927</v>
      </c>
      <c r="Q258" s="212">
        <f t="shared" si="188"/>
        <v>36.050999999999995</v>
      </c>
      <c r="R258" s="212">
        <f t="shared" si="189"/>
        <v>43.679000000000009</v>
      </c>
      <c r="T258" s="234">
        <f t="shared" si="190"/>
        <v>102.82168</v>
      </c>
      <c r="X258" s="234">
        <v>2</v>
      </c>
    </row>
    <row r="259" spans="1:24">
      <c r="A259" s="234" t="s">
        <v>285</v>
      </c>
      <c r="D259" s="275">
        <f t="shared" si="178"/>
        <v>3.9546800000000002</v>
      </c>
      <c r="E259" s="236">
        <v>1</v>
      </c>
      <c r="F259" s="237">
        <f>+F258</f>
        <v>76.8</v>
      </c>
      <c r="G259" s="248">
        <f t="shared" si="179"/>
        <v>15793.410048</v>
      </c>
      <c r="H259" s="250">
        <f t="shared" si="180"/>
        <v>79.73</v>
      </c>
      <c r="I259" s="276">
        <f t="shared" si="181"/>
        <v>16395.945092800004</v>
      </c>
      <c r="J259" s="251">
        <f t="shared" si="182"/>
        <v>2.9300000000000068</v>
      </c>
      <c r="K259" s="252">
        <f t="shared" si="182"/>
        <v>602.53504480000447</v>
      </c>
      <c r="L259" s="253">
        <f t="shared" si="183"/>
        <v>3.815104166666676E-2</v>
      </c>
      <c r="M259" s="254">
        <f t="shared" si="184"/>
        <v>600</v>
      </c>
      <c r="N259" s="208">
        <f t="shared" si="185"/>
        <v>61.693007999999999</v>
      </c>
      <c r="O259" s="255">
        <f t="shared" si="186"/>
        <v>7413.64877136</v>
      </c>
      <c r="P259" s="210">
        <f t="shared" si="187"/>
        <v>0.45216355198795927</v>
      </c>
      <c r="Q259" s="212">
        <f t="shared" si="188"/>
        <v>36.050999999999995</v>
      </c>
      <c r="R259" s="212">
        <f t="shared" si="189"/>
        <v>43.679000000000009</v>
      </c>
      <c r="T259" s="234">
        <f t="shared" si="190"/>
        <v>205.64336</v>
      </c>
      <c r="X259" s="234">
        <v>4</v>
      </c>
    </row>
    <row r="260" spans="1:24">
      <c r="A260" s="234" t="s">
        <v>288</v>
      </c>
      <c r="D260" s="275">
        <f t="shared" si="178"/>
        <v>8.8980300000000003</v>
      </c>
      <c r="E260" s="236">
        <v>2</v>
      </c>
      <c r="F260" s="237">
        <f>+F259</f>
        <v>76.8</v>
      </c>
      <c r="G260" s="248">
        <f t="shared" si="179"/>
        <v>71070.345216000002</v>
      </c>
      <c r="H260" s="250">
        <f t="shared" si="180"/>
        <v>79.73</v>
      </c>
      <c r="I260" s="276">
        <f t="shared" si="181"/>
        <v>73781.75291760001</v>
      </c>
      <c r="J260" s="251">
        <f t="shared" si="182"/>
        <v>2.9300000000000068</v>
      </c>
      <c r="K260" s="252">
        <f t="shared" si="182"/>
        <v>2711.4077016000083</v>
      </c>
      <c r="L260" s="253">
        <f t="shared" si="183"/>
        <v>3.815104166666676E-2</v>
      </c>
      <c r="M260" s="254">
        <f t="shared" si="184"/>
        <v>600</v>
      </c>
      <c r="N260" s="208">
        <f t="shared" si="185"/>
        <v>277.61853600000001</v>
      </c>
      <c r="O260" s="255">
        <f t="shared" si="186"/>
        <v>33361.419471120003</v>
      </c>
      <c r="P260" s="210">
        <f t="shared" si="187"/>
        <v>0.45216355198795932</v>
      </c>
      <c r="Q260" s="212">
        <f t="shared" si="188"/>
        <v>36.051000000000002</v>
      </c>
      <c r="R260" s="212">
        <f t="shared" si="189"/>
        <v>43.679000000000002</v>
      </c>
      <c r="T260" s="234">
        <f t="shared" si="190"/>
        <v>925.39512000000002</v>
      </c>
      <c r="X260" s="234">
        <v>9</v>
      </c>
    </row>
    <row r="261" spans="1:24">
      <c r="A261" s="234" t="s">
        <v>351</v>
      </c>
      <c r="D261" s="275">
        <f t="shared" si="178"/>
        <v>4.9433500000000006</v>
      </c>
      <c r="E261" s="236">
        <v>2</v>
      </c>
      <c r="F261" s="237">
        <f>+F260</f>
        <v>76.8</v>
      </c>
      <c r="G261" s="248">
        <f t="shared" si="179"/>
        <v>39483.525120000006</v>
      </c>
      <c r="H261" s="250">
        <f t="shared" si="180"/>
        <v>79.73</v>
      </c>
      <c r="I261" s="276">
        <f t="shared" si="181"/>
        <v>40989.862732000009</v>
      </c>
      <c r="J261" s="251">
        <f t="shared" si="182"/>
        <v>2.9300000000000068</v>
      </c>
      <c r="K261" s="252">
        <f t="shared" si="182"/>
        <v>1506.337612000003</v>
      </c>
      <c r="L261" s="253">
        <f t="shared" si="183"/>
        <v>3.815104166666676E-2</v>
      </c>
      <c r="M261" s="254">
        <f t="shared" si="184"/>
        <v>600</v>
      </c>
      <c r="N261" s="208">
        <f t="shared" si="185"/>
        <v>154.23252000000002</v>
      </c>
      <c r="O261" s="255">
        <f t="shared" si="186"/>
        <v>18534.121928400004</v>
      </c>
      <c r="P261" s="210">
        <f t="shared" si="187"/>
        <v>0.45216355198795938</v>
      </c>
      <c r="Q261" s="212">
        <f t="shared" si="188"/>
        <v>36.051000000000002</v>
      </c>
      <c r="R261" s="212">
        <f t="shared" si="189"/>
        <v>43.679000000000002</v>
      </c>
      <c r="T261" s="234">
        <f t="shared" si="190"/>
        <v>514.10840000000007</v>
      </c>
      <c r="X261" s="234">
        <v>5</v>
      </c>
    </row>
    <row r="262" spans="1:24" ht="16.5">
      <c r="A262" s="234" t="s">
        <v>292</v>
      </c>
      <c r="D262" s="256">
        <f t="shared" si="178"/>
        <v>5.9320200000000005</v>
      </c>
      <c r="E262" s="236">
        <v>3</v>
      </c>
      <c r="F262" s="237">
        <f>+F261</f>
        <v>76.8</v>
      </c>
      <c r="G262" s="257">
        <f t="shared" si="179"/>
        <v>71070.345216000002</v>
      </c>
      <c r="H262" s="250">
        <f t="shared" si="180"/>
        <v>79.73</v>
      </c>
      <c r="I262" s="257">
        <f t="shared" si="181"/>
        <v>73781.75291760001</v>
      </c>
      <c r="J262" s="251">
        <f t="shared" si="182"/>
        <v>2.9300000000000068</v>
      </c>
      <c r="K262" s="258">
        <f t="shared" si="182"/>
        <v>2711.4077016000083</v>
      </c>
      <c r="L262" s="253">
        <f t="shared" si="183"/>
        <v>3.815104166666676E-2</v>
      </c>
      <c r="M262" s="254">
        <f t="shared" si="184"/>
        <v>600</v>
      </c>
      <c r="N262" s="259">
        <f t="shared" si="185"/>
        <v>277.61853600000001</v>
      </c>
      <c r="O262" s="260">
        <f t="shared" si="186"/>
        <v>33361.419471120003</v>
      </c>
      <c r="P262" s="210">
        <f t="shared" si="187"/>
        <v>0.45216355198795932</v>
      </c>
      <c r="Q262" s="212">
        <f t="shared" si="188"/>
        <v>36.051000000000002</v>
      </c>
      <c r="R262" s="212">
        <f t="shared" si="189"/>
        <v>43.679000000000002</v>
      </c>
      <c r="T262" s="234">
        <f t="shared" si="190"/>
        <v>925.39512000000002</v>
      </c>
      <c r="X262" s="261">
        <v>6</v>
      </c>
    </row>
    <row r="263" spans="1:24" ht="16.5">
      <c r="D263" s="262">
        <f>SUM(D257:D262)</f>
        <v>78.104929999999996</v>
      </c>
      <c r="G263" s="238">
        <f>SUM(G257:G262)</f>
        <v>414577.01375999994</v>
      </c>
      <c r="H263" s="238"/>
      <c r="I263" s="238">
        <f>SUM(I257:I262)</f>
        <v>430393.55868600006</v>
      </c>
      <c r="J263" s="238"/>
      <c r="K263" s="238">
        <f>SUM(K257:K262)</f>
        <v>15816.544926000059</v>
      </c>
      <c r="L263" s="238"/>
      <c r="M263" s="238"/>
      <c r="N263" s="244">
        <f>SUM(N257:N262)</f>
        <v>1619.4414599999998</v>
      </c>
      <c r="O263" s="238">
        <f>SUM(O257:O262)</f>
        <v>194608.2802482</v>
      </c>
      <c r="T263" s="234">
        <f>SUM(T257:T262)</f>
        <v>5398.1382000000003</v>
      </c>
      <c r="X263" s="264">
        <f>SUM(X257:X262)</f>
        <v>79</v>
      </c>
    </row>
    <row r="264" spans="1:24">
      <c r="D264" s="235"/>
    </row>
    <row r="265" spans="1:24">
      <c r="D265" s="235"/>
    </row>
    <row r="266" spans="1:24">
      <c r="A266" s="234" t="s">
        <v>298</v>
      </c>
      <c r="D266" s="275">
        <f t="shared" ref="D266:D274" si="191">+X266*(1-$D$5)</f>
        <v>50.422170000000001</v>
      </c>
      <c r="E266" s="236">
        <v>1</v>
      </c>
      <c r="F266" s="237">
        <v>94.2</v>
      </c>
      <c r="G266" s="248">
        <f>+F266*E266*D266*52</f>
        <v>246987.957528</v>
      </c>
      <c r="H266" s="250">
        <f>ROUND(F266*(1+$H$10),2)</f>
        <v>97.8</v>
      </c>
      <c r="I266" s="276">
        <f>+H266*D266*E266*52</f>
        <v>256426.98775199999</v>
      </c>
      <c r="J266" s="251">
        <f>+H266-F266</f>
        <v>3.5999999999999943</v>
      </c>
      <c r="K266" s="252">
        <f>+I266-G266</f>
        <v>9439.0302239999874</v>
      </c>
      <c r="L266" s="253">
        <f>J266/F266</f>
        <v>3.8216560509554076E-2</v>
      </c>
      <c r="M266" s="254">
        <f>8*$M$55</f>
        <v>800</v>
      </c>
      <c r="N266" s="208">
        <f>+D266*E266*M266*52/2000</f>
        <v>1048.7811360000001</v>
      </c>
      <c r="O266" s="255">
        <f>+$O$195*N266</f>
        <v>126032.02911312001</v>
      </c>
      <c r="P266" s="210">
        <f>+O266/I266</f>
        <v>0.4914928425357874</v>
      </c>
      <c r="Q266" s="212">
        <f>+P266*H266</f>
        <v>48.068000000000005</v>
      </c>
      <c r="R266" s="212">
        <f>+H266-Q266</f>
        <v>49.731999999999992</v>
      </c>
      <c r="T266" s="234">
        <f t="shared" ref="T266:T274" si="192">D266*E266*52</f>
        <v>2621.9528399999999</v>
      </c>
      <c r="X266" s="234">
        <v>51</v>
      </c>
    </row>
    <row r="267" spans="1:24">
      <c r="A267" s="234" t="s">
        <v>299</v>
      </c>
      <c r="D267" s="275">
        <f t="shared" si="191"/>
        <v>3.9546800000000002</v>
      </c>
      <c r="E267" s="236">
        <v>1</v>
      </c>
      <c r="F267" s="237">
        <f>+F266</f>
        <v>94.2</v>
      </c>
      <c r="G267" s="248">
        <f>+F267*E267*D267*52</f>
        <v>19371.604512000002</v>
      </c>
      <c r="H267" s="250">
        <f t="shared" ref="H267:H274" si="193">ROUND(F267*(1+$H$10),2)</f>
        <v>97.8</v>
      </c>
      <c r="I267" s="276">
        <f t="shared" ref="I267:I274" si="194">+H267*D267*E267*52</f>
        <v>20111.920608</v>
      </c>
      <c r="J267" s="251">
        <f t="shared" ref="J267:K274" si="195">+H267-F267</f>
        <v>3.5999999999999943</v>
      </c>
      <c r="K267" s="252">
        <f t="shared" si="195"/>
        <v>740.31609599999865</v>
      </c>
      <c r="L267" s="253">
        <f t="shared" ref="L267:L274" si="196">J267/F267</f>
        <v>3.8216560509554076E-2</v>
      </c>
      <c r="M267" s="254">
        <f t="shared" ref="M267:M274" si="197">8*$M$55</f>
        <v>800</v>
      </c>
      <c r="N267" s="208">
        <f t="shared" ref="N267:N274" si="198">+D267*E267*M267*52/2000</f>
        <v>82.257344000000003</v>
      </c>
      <c r="O267" s="255">
        <f t="shared" ref="O267:O274" si="199">+$O$195*N267</f>
        <v>9884.8650284800005</v>
      </c>
      <c r="P267" s="210">
        <f t="shared" ref="P267:P274" si="200">+O267/I267</f>
        <v>0.49149284253578734</v>
      </c>
      <c r="Q267" s="212">
        <f t="shared" ref="Q267:Q274" si="201">+P267*H267</f>
        <v>48.067999999999998</v>
      </c>
      <c r="R267" s="212">
        <f t="shared" ref="R267:R274" si="202">+H267-Q267</f>
        <v>49.731999999999999</v>
      </c>
      <c r="T267" s="234">
        <f t="shared" si="192"/>
        <v>205.64336</v>
      </c>
      <c r="X267" s="234">
        <v>4</v>
      </c>
    </row>
    <row r="268" spans="1:24">
      <c r="A268" s="234" t="s">
        <v>301</v>
      </c>
      <c r="D268" s="275">
        <f t="shared" si="191"/>
        <v>3.9546800000000002</v>
      </c>
      <c r="E268" s="236">
        <v>1</v>
      </c>
      <c r="F268" s="237">
        <f t="shared" ref="F268:F274" si="203">+F267</f>
        <v>94.2</v>
      </c>
      <c r="G268" s="248">
        <f t="shared" ref="G268:G274" si="204">+F268*E268*D268*52</f>
        <v>19371.604512000002</v>
      </c>
      <c r="H268" s="250">
        <f t="shared" si="193"/>
        <v>97.8</v>
      </c>
      <c r="I268" s="276">
        <f t="shared" si="194"/>
        <v>20111.920608</v>
      </c>
      <c r="J268" s="251">
        <f t="shared" si="195"/>
        <v>3.5999999999999943</v>
      </c>
      <c r="K268" s="252">
        <f t="shared" si="195"/>
        <v>740.31609599999865</v>
      </c>
      <c r="L268" s="253">
        <f t="shared" si="196"/>
        <v>3.8216560509554076E-2</v>
      </c>
      <c r="M268" s="254">
        <f t="shared" si="197"/>
        <v>800</v>
      </c>
      <c r="N268" s="208">
        <f t="shared" si="198"/>
        <v>82.257344000000003</v>
      </c>
      <c r="O268" s="255">
        <f t="shared" si="199"/>
        <v>9884.8650284800005</v>
      </c>
      <c r="P268" s="210">
        <f t="shared" si="200"/>
        <v>0.49149284253578734</v>
      </c>
      <c r="Q268" s="212">
        <f t="shared" si="201"/>
        <v>48.067999999999998</v>
      </c>
      <c r="R268" s="212">
        <f t="shared" si="202"/>
        <v>49.731999999999999</v>
      </c>
      <c r="T268" s="234">
        <f t="shared" si="192"/>
        <v>205.64336</v>
      </c>
      <c r="X268" s="234">
        <v>4</v>
      </c>
    </row>
    <row r="269" spans="1:24">
      <c r="A269" s="234" t="s">
        <v>304</v>
      </c>
      <c r="D269" s="275">
        <f t="shared" si="191"/>
        <v>13.841380000000001</v>
      </c>
      <c r="E269" s="236">
        <v>2</v>
      </c>
      <c r="F269" s="237">
        <f t="shared" si="203"/>
        <v>94.2</v>
      </c>
      <c r="G269" s="248">
        <f t="shared" si="204"/>
        <v>135601.23158400002</v>
      </c>
      <c r="H269" s="250">
        <f t="shared" si="193"/>
        <v>97.8</v>
      </c>
      <c r="I269" s="276">
        <f t="shared" si="194"/>
        <v>140783.44425599999</v>
      </c>
      <c r="J269" s="251">
        <f t="shared" si="195"/>
        <v>3.5999999999999943</v>
      </c>
      <c r="K269" s="252">
        <f t="shared" si="195"/>
        <v>5182.2126719999651</v>
      </c>
      <c r="L269" s="253">
        <f t="shared" si="196"/>
        <v>3.8216560509554076E-2</v>
      </c>
      <c r="M269" s="254">
        <f t="shared" si="197"/>
        <v>800</v>
      </c>
      <c r="N269" s="208">
        <f t="shared" si="198"/>
        <v>575.80140800000004</v>
      </c>
      <c r="O269" s="255">
        <f t="shared" si="199"/>
        <v>69194.055199360009</v>
      </c>
      <c r="P269" s="210">
        <f t="shared" si="200"/>
        <v>0.49149284253578746</v>
      </c>
      <c r="Q269" s="212">
        <f t="shared" si="201"/>
        <v>48.068000000000012</v>
      </c>
      <c r="R269" s="212">
        <f t="shared" si="202"/>
        <v>49.731999999999985</v>
      </c>
      <c r="T269" s="234">
        <f t="shared" si="192"/>
        <v>1439.5035200000002</v>
      </c>
      <c r="X269" s="234">
        <v>14</v>
      </c>
    </row>
    <row r="270" spans="1:24">
      <c r="A270" s="234" t="s">
        <v>305</v>
      </c>
      <c r="D270" s="275">
        <f t="shared" si="191"/>
        <v>3.9546800000000002</v>
      </c>
      <c r="E270" s="236">
        <v>2</v>
      </c>
      <c r="F270" s="237">
        <f t="shared" si="203"/>
        <v>94.2</v>
      </c>
      <c r="G270" s="248">
        <f t="shared" si="204"/>
        <v>38743.209024000003</v>
      </c>
      <c r="H270" s="250">
        <f t="shared" si="193"/>
        <v>97.8</v>
      </c>
      <c r="I270" s="276">
        <f t="shared" si="194"/>
        <v>40223.841216000001</v>
      </c>
      <c r="J270" s="251">
        <f t="shared" si="195"/>
        <v>3.5999999999999943</v>
      </c>
      <c r="K270" s="252">
        <f t="shared" si="195"/>
        <v>1480.6321919999973</v>
      </c>
      <c r="L270" s="253">
        <f t="shared" si="196"/>
        <v>3.8216560509554076E-2</v>
      </c>
      <c r="M270" s="254">
        <f t="shared" si="197"/>
        <v>800</v>
      </c>
      <c r="N270" s="208">
        <f t="shared" si="198"/>
        <v>164.51468800000001</v>
      </c>
      <c r="O270" s="255">
        <f t="shared" si="199"/>
        <v>19769.730056960001</v>
      </c>
      <c r="P270" s="210">
        <f t="shared" si="200"/>
        <v>0.49149284253578734</v>
      </c>
      <c r="Q270" s="212">
        <f t="shared" si="201"/>
        <v>48.067999999999998</v>
      </c>
      <c r="R270" s="212">
        <f t="shared" si="202"/>
        <v>49.731999999999999</v>
      </c>
      <c r="T270" s="234">
        <f t="shared" si="192"/>
        <v>411.28672</v>
      </c>
      <c r="X270" s="234">
        <v>4</v>
      </c>
    </row>
    <row r="271" spans="1:24">
      <c r="A271" s="234" t="s">
        <v>311</v>
      </c>
      <c r="D271" s="275">
        <f t="shared" si="191"/>
        <v>7.9093600000000004</v>
      </c>
      <c r="E271" s="236">
        <v>3</v>
      </c>
      <c r="F271" s="237">
        <f t="shared" si="203"/>
        <v>94.2</v>
      </c>
      <c r="G271" s="248">
        <f t="shared" si="204"/>
        <v>116229.62707200003</v>
      </c>
      <c r="H271" s="250">
        <f t="shared" si="193"/>
        <v>97.8</v>
      </c>
      <c r="I271" s="276">
        <f t="shared" si="194"/>
        <v>120671.523648</v>
      </c>
      <c r="J271" s="251">
        <f t="shared" si="195"/>
        <v>3.5999999999999943</v>
      </c>
      <c r="K271" s="252">
        <f t="shared" si="195"/>
        <v>4441.8965759999701</v>
      </c>
      <c r="L271" s="253">
        <f t="shared" si="196"/>
        <v>3.8216560509554076E-2</v>
      </c>
      <c r="M271" s="254">
        <f t="shared" si="197"/>
        <v>800</v>
      </c>
      <c r="N271" s="208">
        <f t="shared" si="198"/>
        <v>493.54406399999999</v>
      </c>
      <c r="O271" s="255">
        <f t="shared" si="199"/>
        <v>59309.19017088</v>
      </c>
      <c r="P271" s="210">
        <f t="shared" si="200"/>
        <v>0.49149284253578729</v>
      </c>
      <c r="Q271" s="212">
        <f t="shared" si="201"/>
        <v>48.067999999999998</v>
      </c>
      <c r="R271" s="212">
        <f t="shared" si="202"/>
        <v>49.731999999999999</v>
      </c>
      <c r="T271" s="234">
        <f t="shared" si="192"/>
        <v>1233.8601600000002</v>
      </c>
      <c r="X271" s="234">
        <v>8</v>
      </c>
    </row>
    <row r="272" spans="1:24">
      <c r="A272" s="234" t="s">
        <v>312</v>
      </c>
      <c r="D272" s="275">
        <f t="shared" si="191"/>
        <v>1.9773400000000001</v>
      </c>
      <c r="E272" s="236">
        <v>3</v>
      </c>
      <c r="F272" s="237">
        <f t="shared" si="203"/>
        <v>94.2</v>
      </c>
      <c r="G272" s="248">
        <f t="shared" si="204"/>
        <v>29057.406768000008</v>
      </c>
      <c r="H272" s="250">
        <f t="shared" si="193"/>
        <v>97.8</v>
      </c>
      <c r="I272" s="276">
        <f t="shared" si="194"/>
        <v>30167.880912000001</v>
      </c>
      <c r="J272" s="251">
        <f t="shared" si="195"/>
        <v>3.5999999999999943</v>
      </c>
      <c r="K272" s="252">
        <f t="shared" si="195"/>
        <v>1110.4741439999925</v>
      </c>
      <c r="L272" s="253">
        <f t="shared" si="196"/>
        <v>3.8216560509554076E-2</v>
      </c>
      <c r="M272" s="254">
        <f t="shared" si="197"/>
        <v>800</v>
      </c>
      <c r="N272" s="208">
        <f t="shared" si="198"/>
        <v>123.386016</v>
      </c>
      <c r="O272" s="255">
        <f t="shared" si="199"/>
        <v>14827.29754272</v>
      </c>
      <c r="P272" s="210">
        <f t="shared" si="200"/>
        <v>0.49149284253578729</v>
      </c>
      <c r="Q272" s="212">
        <f t="shared" si="201"/>
        <v>48.067999999999998</v>
      </c>
      <c r="R272" s="212">
        <f t="shared" si="202"/>
        <v>49.731999999999999</v>
      </c>
      <c r="T272" s="234">
        <f t="shared" si="192"/>
        <v>308.46504000000004</v>
      </c>
      <c r="X272" s="234">
        <v>2</v>
      </c>
    </row>
    <row r="273" spans="1:24">
      <c r="A273" s="234" t="s">
        <v>314</v>
      </c>
      <c r="D273" s="275">
        <f t="shared" si="191"/>
        <v>0.98867000000000005</v>
      </c>
      <c r="E273" s="236">
        <v>4</v>
      </c>
      <c r="F273" s="237">
        <f t="shared" si="203"/>
        <v>94.2</v>
      </c>
      <c r="G273" s="248">
        <f t="shared" si="204"/>
        <v>19371.604512000002</v>
      </c>
      <c r="H273" s="250">
        <f t="shared" si="193"/>
        <v>97.8</v>
      </c>
      <c r="I273" s="276">
        <f t="shared" si="194"/>
        <v>20111.920608</v>
      </c>
      <c r="J273" s="251">
        <f t="shared" si="195"/>
        <v>3.5999999999999943</v>
      </c>
      <c r="K273" s="252">
        <f t="shared" si="195"/>
        <v>740.31609599999865</v>
      </c>
      <c r="L273" s="253">
        <f t="shared" si="196"/>
        <v>3.8216560509554076E-2</v>
      </c>
      <c r="M273" s="254">
        <f t="shared" si="197"/>
        <v>800</v>
      </c>
      <c r="N273" s="208">
        <f t="shared" si="198"/>
        <v>82.257344000000003</v>
      </c>
      <c r="O273" s="255">
        <f t="shared" si="199"/>
        <v>9884.8650284800005</v>
      </c>
      <c r="P273" s="210">
        <f t="shared" si="200"/>
        <v>0.49149284253578734</v>
      </c>
      <c r="Q273" s="212">
        <f t="shared" si="201"/>
        <v>48.067999999999998</v>
      </c>
      <c r="R273" s="212">
        <f t="shared" si="202"/>
        <v>49.731999999999999</v>
      </c>
      <c r="T273" s="234">
        <f t="shared" si="192"/>
        <v>205.64336</v>
      </c>
      <c r="X273" s="234">
        <v>1</v>
      </c>
    </row>
    <row r="274" spans="1:24" ht="16.5">
      <c r="A274" s="234" t="s">
        <v>315</v>
      </c>
      <c r="D274" s="256">
        <f t="shared" si="191"/>
        <v>1.9773400000000001</v>
      </c>
      <c r="E274" s="236">
        <v>5</v>
      </c>
      <c r="F274" s="237">
        <f t="shared" si="203"/>
        <v>94.2</v>
      </c>
      <c r="G274" s="257">
        <f t="shared" si="204"/>
        <v>48429.011280000006</v>
      </c>
      <c r="H274" s="250">
        <f t="shared" si="193"/>
        <v>97.8</v>
      </c>
      <c r="I274" s="257">
        <f t="shared" si="194"/>
        <v>50279.801519999994</v>
      </c>
      <c r="J274" s="251">
        <f t="shared" si="195"/>
        <v>3.5999999999999943</v>
      </c>
      <c r="K274" s="258">
        <f t="shared" si="195"/>
        <v>1850.7902399999875</v>
      </c>
      <c r="L274" s="253">
        <f t="shared" si="196"/>
        <v>3.8216560509554076E-2</v>
      </c>
      <c r="M274" s="254">
        <f t="shared" si="197"/>
        <v>800</v>
      </c>
      <c r="N274" s="259">
        <f t="shared" si="198"/>
        <v>205.64336</v>
      </c>
      <c r="O274" s="260">
        <f t="shared" si="199"/>
        <v>24712.162571200002</v>
      </c>
      <c r="P274" s="210">
        <f t="shared" si="200"/>
        <v>0.49149284253578746</v>
      </c>
      <c r="Q274" s="212">
        <f t="shared" si="201"/>
        <v>48.068000000000012</v>
      </c>
      <c r="R274" s="212">
        <f t="shared" si="202"/>
        <v>49.731999999999985</v>
      </c>
      <c r="T274" s="234">
        <f t="shared" si="192"/>
        <v>514.10840000000007</v>
      </c>
      <c r="X274" s="261">
        <v>2</v>
      </c>
    </row>
    <row r="275" spans="1:24" ht="16.5">
      <c r="D275" s="262">
        <f>SUM(D266:D274)</f>
        <v>88.9803</v>
      </c>
      <c r="G275" s="238">
        <f>SUM(G266:G274)</f>
        <v>673163.25679200003</v>
      </c>
      <c r="H275" s="238"/>
      <c r="I275" s="238">
        <f>SUM(I266:I274)</f>
        <v>698889.24112799997</v>
      </c>
      <c r="J275" s="238"/>
      <c r="K275" s="238">
        <f>SUM(K266:K274)</f>
        <v>25725.984335999896</v>
      </c>
      <c r="L275" s="238"/>
      <c r="M275" s="238"/>
      <c r="N275" s="244">
        <f>SUM(N266:N274)</f>
        <v>2858.4427040000005</v>
      </c>
      <c r="O275" s="238">
        <f>SUM(O266:O274)</f>
        <v>343499.05973968003</v>
      </c>
      <c r="T275" s="234">
        <f>SUM(T266:T274)</f>
        <v>7146.1067600000006</v>
      </c>
      <c r="X275" s="264">
        <f>SUM(X266:X274)</f>
        <v>90</v>
      </c>
    </row>
    <row r="276" spans="1:24">
      <c r="D276" s="235"/>
    </row>
    <row r="277" spans="1:24">
      <c r="D277" s="235"/>
    </row>
    <row r="278" spans="1:24">
      <c r="A278" s="234" t="s">
        <v>316</v>
      </c>
      <c r="D278" s="275">
        <f>+X278*(1-$D$5)</f>
        <v>11.864040000000001</v>
      </c>
      <c r="E278" s="236">
        <v>1</v>
      </c>
      <c r="F278" s="237">
        <v>95.2</v>
      </c>
      <c r="G278" s="248">
        <f>+F278*E278*D278*52</f>
        <v>58731.743616000007</v>
      </c>
      <c r="H278" s="250">
        <f>ROUND(F278*(1+$H$10),2)</f>
        <v>98.84</v>
      </c>
      <c r="I278" s="276">
        <f>+H278*D278*E278*52</f>
        <v>60977.369107200015</v>
      </c>
      <c r="J278" s="251">
        <f t="shared" ref="J278:K281" si="205">+H278-F278</f>
        <v>3.6400000000000006</v>
      </c>
      <c r="K278" s="252">
        <f t="shared" si="205"/>
        <v>2245.6254912000077</v>
      </c>
      <c r="L278" s="253">
        <f>J278/F278</f>
        <v>3.8235294117647062E-2</v>
      </c>
      <c r="M278" s="254">
        <f>2*$M$55*3</f>
        <v>600</v>
      </c>
      <c r="N278" s="208">
        <f>+D278*E278*M278*52/2000</f>
        <v>185.07902400000003</v>
      </c>
      <c r="O278" s="255">
        <f>+$O$195*N278</f>
        <v>22240.946314080004</v>
      </c>
      <c r="P278" s="210">
        <f>+O278/I278</f>
        <v>0.36474099554836098</v>
      </c>
      <c r="Q278" s="212">
        <f>+P278*H278</f>
        <v>36.051000000000002</v>
      </c>
      <c r="R278" s="212">
        <f>+H278-Q278</f>
        <v>62.789000000000001</v>
      </c>
      <c r="T278" s="234">
        <f t="shared" ref="T278:T281" si="206">D278*E278*52</f>
        <v>616.93008000000009</v>
      </c>
      <c r="X278" s="234">
        <v>12</v>
      </c>
    </row>
    <row r="279" spans="1:24">
      <c r="A279" s="234" t="s">
        <v>318</v>
      </c>
      <c r="D279" s="275">
        <f>+X279*(1-$D$5)</f>
        <v>1.9773400000000001</v>
      </c>
      <c r="E279" s="236">
        <v>1</v>
      </c>
      <c r="F279" s="237">
        <v>175.8</v>
      </c>
      <c r="G279" s="248">
        <f>+F279*E279*D279*52</f>
        <v>18076.051344</v>
      </c>
      <c r="H279" s="250">
        <f>ROUND(F279*(1+$H$10),2)</f>
        <v>182.52</v>
      </c>
      <c r="I279" s="276">
        <f>+H279*D279*E279*52</f>
        <v>18767.013033600004</v>
      </c>
      <c r="J279" s="251">
        <f t="shared" si="205"/>
        <v>6.7199999999999989</v>
      </c>
      <c r="K279" s="252">
        <f t="shared" si="205"/>
        <v>690.96168960000432</v>
      </c>
      <c r="L279" s="253">
        <f>J279/F279</f>
        <v>3.8225255972696236E-2</v>
      </c>
      <c r="M279" s="254">
        <f>3*$M$55*3</f>
        <v>900</v>
      </c>
      <c r="N279" s="208">
        <f>+D279*E279*M279*52/2000</f>
        <v>46.269756000000001</v>
      </c>
      <c r="O279" s="255">
        <f>+$O$195*N279</f>
        <v>5560.23657852</v>
      </c>
      <c r="P279" s="210">
        <f>+O279/I279</f>
        <v>0.29627712031558179</v>
      </c>
      <c r="Q279" s="212">
        <f>+P279*H279</f>
        <v>54.076499999999989</v>
      </c>
      <c r="R279" s="212">
        <f>+H279-Q279</f>
        <v>128.44350000000003</v>
      </c>
      <c r="T279" s="234">
        <f t="shared" si="206"/>
        <v>102.82168</v>
      </c>
      <c r="X279" s="234">
        <v>2</v>
      </c>
    </row>
    <row r="280" spans="1:24">
      <c r="A280" s="234" t="s">
        <v>352</v>
      </c>
      <c r="D280" s="275">
        <f>+X280*(1-$D$5)</f>
        <v>1.9773400000000001</v>
      </c>
      <c r="E280" s="236">
        <v>2</v>
      </c>
      <c r="F280" s="237">
        <f>+F279</f>
        <v>175.8</v>
      </c>
      <c r="G280" s="248">
        <f>+F280*E280*D280*52</f>
        <v>36152.102687999999</v>
      </c>
      <c r="H280" s="250">
        <f>ROUND(F280*(1+$H$10),2)</f>
        <v>182.52</v>
      </c>
      <c r="I280" s="276">
        <f>+H280*D280*E280*52</f>
        <v>37534.026067200008</v>
      </c>
      <c r="J280" s="251">
        <f t="shared" si="205"/>
        <v>6.7199999999999989</v>
      </c>
      <c r="K280" s="252">
        <f t="shared" si="205"/>
        <v>1381.9233792000086</v>
      </c>
      <c r="L280" s="253">
        <f>J280/F280</f>
        <v>3.8225255972696236E-2</v>
      </c>
      <c r="M280" s="254">
        <f>3*$M$55*3</f>
        <v>900</v>
      </c>
      <c r="N280" s="208">
        <f>+D280*E280*M280*52/2000</f>
        <v>92.539512000000002</v>
      </c>
      <c r="O280" s="255">
        <f>+$O$195*N280</f>
        <v>11120.47315704</v>
      </c>
      <c r="P280" s="210">
        <f>+O280/I280</f>
        <v>0.29627712031558179</v>
      </c>
      <c r="Q280" s="212">
        <f>+P280*H280</f>
        <v>54.076499999999989</v>
      </c>
      <c r="R280" s="212">
        <f>+H280-Q280</f>
        <v>128.44350000000003</v>
      </c>
      <c r="T280" s="234">
        <f t="shared" si="206"/>
        <v>205.64336</v>
      </c>
      <c r="X280" s="234">
        <v>2</v>
      </c>
    </row>
    <row r="281" spans="1:24" ht="16.5">
      <c r="A281" s="234" t="s">
        <v>353</v>
      </c>
      <c r="D281" s="256">
        <f>+X281*(1-$D$5)</f>
        <v>0.98867000000000005</v>
      </c>
      <c r="E281" s="236">
        <v>2</v>
      </c>
      <c r="F281" s="237">
        <v>240.5</v>
      </c>
      <c r="G281" s="257">
        <f>+F281*E281*D281*52</f>
        <v>24728.61404</v>
      </c>
      <c r="H281" s="250">
        <f>ROUND(F281*(1+$H$10),2)</f>
        <v>249.69</v>
      </c>
      <c r="I281" s="257">
        <f>+H281*D281*E281*52</f>
        <v>25673.5452792</v>
      </c>
      <c r="J281" s="251">
        <f t="shared" si="205"/>
        <v>9.1899999999999977</v>
      </c>
      <c r="K281" s="258">
        <f t="shared" si="205"/>
        <v>944.93123919999925</v>
      </c>
      <c r="L281" s="253">
        <f>J281/F281</f>
        <v>3.8212058212058204E-2</v>
      </c>
      <c r="M281" s="254">
        <f>6*$M$55*3</f>
        <v>1800</v>
      </c>
      <c r="N281" s="259">
        <f>+D281*E281*M281*52/2000</f>
        <v>92.539512000000002</v>
      </c>
      <c r="O281" s="260">
        <f>+$O$195*N281</f>
        <v>11120.47315704</v>
      </c>
      <c r="P281" s="210">
        <f>+O281/I281</f>
        <v>0.4331491048900637</v>
      </c>
      <c r="Q281" s="212">
        <f>+P281*H281</f>
        <v>108.15300000000001</v>
      </c>
      <c r="R281" s="212">
        <f>+H281-Q281</f>
        <v>141.53699999999998</v>
      </c>
      <c r="T281" s="234">
        <f t="shared" si="206"/>
        <v>102.82168</v>
      </c>
      <c r="X281" s="261">
        <v>1</v>
      </c>
    </row>
    <row r="282" spans="1:24" ht="16.5">
      <c r="D282" s="262">
        <f>SUM(D278:D281)</f>
        <v>16.807390000000002</v>
      </c>
      <c r="G282" s="238">
        <f>SUM(G278:G281)</f>
        <v>137688.511688</v>
      </c>
      <c r="H282" s="238"/>
      <c r="I282" s="238">
        <f>SUM(I278:I281)</f>
        <v>142951.95348720002</v>
      </c>
      <c r="J282" s="238"/>
      <c r="K282" s="238">
        <f>SUM(K278:K281)</f>
        <v>5263.4417992000199</v>
      </c>
      <c r="L282" s="238"/>
      <c r="M282" s="238"/>
      <c r="N282" s="244">
        <f>SUM(N278:N281)</f>
        <v>416.42780400000004</v>
      </c>
      <c r="O282" s="238">
        <f>SUM(O278:O281)</f>
        <v>50042.129206680009</v>
      </c>
      <c r="T282" s="234">
        <f>SUM(T278:T281)</f>
        <v>1028.2168000000001</v>
      </c>
      <c r="X282" s="264">
        <f>SUM(X278:X281)</f>
        <v>17</v>
      </c>
    </row>
    <row r="283" spans="1:24">
      <c r="D283" s="235"/>
    </row>
    <row r="284" spans="1:24">
      <c r="D284" s="235"/>
    </row>
    <row r="285" spans="1:24">
      <c r="A285" s="234" t="s">
        <v>326</v>
      </c>
      <c r="D285" s="275">
        <f>+X285*(1-$D$5)</f>
        <v>63.274880000000003</v>
      </c>
      <c r="E285" s="236">
        <v>1</v>
      </c>
      <c r="F285" s="237">
        <v>2.52</v>
      </c>
      <c r="G285" s="248">
        <f>+F285*E285*D285*52</f>
        <v>8291.5402752000009</v>
      </c>
      <c r="H285" s="250">
        <f>ROUND(F285*(1+$H$10),2)</f>
        <v>2.62</v>
      </c>
      <c r="I285" s="276">
        <f>+H285*D285*E285*52</f>
        <v>8620.5696512000013</v>
      </c>
      <c r="J285" s="251">
        <f t="shared" ref="J285:K289" si="207">+H285-F285</f>
        <v>0.10000000000000009</v>
      </c>
      <c r="K285" s="252">
        <f t="shared" si="207"/>
        <v>329.02937600000041</v>
      </c>
      <c r="L285" s="253">
        <f>J285/F285</f>
        <v>3.9682539682539715E-2</v>
      </c>
      <c r="X285" s="234">
        <v>64</v>
      </c>
    </row>
    <row r="286" spans="1:24">
      <c r="A286" s="234" t="s">
        <v>327</v>
      </c>
      <c r="D286" s="275">
        <f>+X286*(1-$D$5)</f>
        <v>19.773400000000002</v>
      </c>
      <c r="E286" s="236">
        <v>2</v>
      </c>
      <c r="F286" s="237">
        <f>+F285</f>
        <v>2.52</v>
      </c>
      <c r="G286" s="248">
        <f>+F286*E286*D286*52</f>
        <v>5182.2126720000006</v>
      </c>
      <c r="H286" s="250">
        <f>ROUND(F286*(1+$H$10),2)</f>
        <v>2.62</v>
      </c>
      <c r="I286" s="276">
        <f>+H286*D286*E286*52</f>
        <v>5387.8560320000006</v>
      </c>
      <c r="J286" s="251">
        <f t="shared" si="207"/>
        <v>0.10000000000000009</v>
      </c>
      <c r="K286" s="252">
        <f t="shared" si="207"/>
        <v>205.64336000000003</v>
      </c>
      <c r="L286" s="253">
        <f>J286/F286</f>
        <v>3.9682539682539715E-2</v>
      </c>
      <c r="X286" s="234">
        <v>20</v>
      </c>
    </row>
    <row r="287" spans="1:24">
      <c r="A287" s="234" t="s">
        <v>328</v>
      </c>
      <c r="D287" s="275">
        <f>+X287*(1-$D$5)</f>
        <v>13.841380000000001</v>
      </c>
      <c r="E287" s="236">
        <v>3</v>
      </c>
      <c r="F287" s="237">
        <f>+F286</f>
        <v>2.52</v>
      </c>
      <c r="G287" s="248">
        <f>+F287*E287*D287*52</f>
        <v>5441.3233056000008</v>
      </c>
      <c r="H287" s="250">
        <f>ROUND(F287*(1+$H$10),2)</f>
        <v>2.62</v>
      </c>
      <c r="I287" s="276">
        <f>+H287*D287*E287*52</f>
        <v>5657.2488336000006</v>
      </c>
      <c r="J287" s="251">
        <f t="shared" si="207"/>
        <v>0.10000000000000009</v>
      </c>
      <c r="K287" s="252">
        <f t="shared" si="207"/>
        <v>215.92552799999976</v>
      </c>
      <c r="L287" s="253">
        <f>J287/F287</f>
        <v>3.9682539682539715E-2</v>
      </c>
      <c r="X287" s="234">
        <v>14</v>
      </c>
    </row>
    <row r="288" spans="1:24">
      <c r="A288" s="234" t="s">
        <v>329</v>
      </c>
      <c r="D288" s="275">
        <f>+X288*(1-$D$5)</f>
        <v>1.9773400000000001</v>
      </c>
      <c r="E288" s="236">
        <v>4</v>
      </c>
      <c r="F288" s="237">
        <f>+F287</f>
        <v>2.52</v>
      </c>
      <c r="G288" s="248">
        <f>+F288*E288*D288*52</f>
        <v>1036.4425344000001</v>
      </c>
      <c r="H288" s="250">
        <f>ROUND(F288*(1+$H$10),2)</f>
        <v>2.62</v>
      </c>
      <c r="I288" s="276">
        <f>+H288*D288*E288*52</f>
        <v>1077.5712064000002</v>
      </c>
      <c r="J288" s="251">
        <f t="shared" si="207"/>
        <v>0.10000000000000009</v>
      </c>
      <c r="K288" s="252">
        <f t="shared" si="207"/>
        <v>41.128672000000051</v>
      </c>
      <c r="L288" s="253">
        <f>J288/F288</f>
        <v>3.9682539682539715E-2</v>
      </c>
      <c r="X288" s="234">
        <v>2</v>
      </c>
    </row>
    <row r="289" spans="1:24" ht="16.5">
      <c r="A289" s="234" t="s">
        <v>330</v>
      </c>
      <c r="D289" s="256">
        <f>+X289*(1-$D$5)</f>
        <v>1.9773400000000001</v>
      </c>
      <c r="E289" s="236">
        <v>5</v>
      </c>
      <c r="F289" s="237">
        <f>+F288</f>
        <v>2.52</v>
      </c>
      <c r="G289" s="257">
        <f>+F289*E289*D289*52</f>
        <v>1295.5531680000001</v>
      </c>
      <c r="H289" s="250">
        <f>ROUND(F289*(1+$H$10),2)</f>
        <v>2.62</v>
      </c>
      <c r="I289" s="257">
        <f>+H289*D289*E289*52</f>
        <v>1346.9640079999999</v>
      </c>
      <c r="J289" s="251">
        <f t="shared" si="207"/>
        <v>0.10000000000000009</v>
      </c>
      <c r="K289" s="258">
        <f t="shared" si="207"/>
        <v>51.41083999999978</v>
      </c>
      <c r="L289" s="253">
        <f>J289/F289</f>
        <v>3.9682539682539715E-2</v>
      </c>
      <c r="X289" s="261">
        <v>2</v>
      </c>
    </row>
    <row r="290" spans="1:24" ht="16.5">
      <c r="D290" s="262">
        <f>SUM(D285:D289)</f>
        <v>100.84434</v>
      </c>
      <c r="G290" s="238">
        <f>SUM(G285:G289)</f>
        <v>21247.071955200005</v>
      </c>
      <c r="H290" s="238"/>
      <c r="I290" s="238">
        <f>SUM(I285:I289)</f>
        <v>22090.209731200004</v>
      </c>
      <c r="J290" s="238"/>
      <c r="K290" s="238">
        <f>SUM(K285:K289)</f>
        <v>843.13777600000003</v>
      </c>
      <c r="X290" s="264">
        <f>SUM(X285:X289)</f>
        <v>102</v>
      </c>
    </row>
    <row r="291" spans="1:24">
      <c r="D291" s="235"/>
    </row>
    <row r="292" spans="1:24">
      <c r="D292" s="235"/>
    </row>
    <row r="293" spans="1:24">
      <c r="A293" s="234" t="s">
        <v>333</v>
      </c>
      <c r="D293" s="275">
        <f>+X293*(1-$D$5)</f>
        <v>46.467490000000005</v>
      </c>
      <c r="E293" s="236">
        <v>1</v>
      </c>
      <c r="F293" s="237">
        <v>1.84</v>
      </c>
      <c r="G293" s="248">
        <f>+F293*E293*D293*52</f>
        <v>4446.0094432000005</v>
      </c>
      <c r="H293" s="250">
        <f>ROUND(F293*(1+$H$10),2)</f>
        <v>1.91</v>
      </c>
      <c r="I293" s="276">
        <f>+H293*D293*E293*52</f>
        <v>4615.1511068</v>
      </c>
      <c r="J293" s="251">
        <f t="shared" ref="J293:K297" si="208">+H293-F293</f>
        <v>6.999999999999984E-2</v>
      </c>
      <c r="K293" s="252">
        <f t="shared" si="208"/>
        <v>169.14166359999945</v>
      </c>
      <c r="L293" s="253">
        <f>J293/F293</f>
        <v>3.8043478260869477E-2</v>
      </c>
      <c r="X293" s="234">
        <v>47</v>
      </c>
    </row>
    <row r="294" spans="1:24">
      <c r="A294" s="234" t="s">
        <v>334</v>
      </c>
      <c r="D294" s="275">
        <f>+X294*(1-$D$5)</f>
        <v>15.818720000000001</v>
      </c>
      <c r="E294" s="236">
        <v>2</v>
      </c>
      <c r="F294" s="237">
        <f>+F293</f>
        <v>1.84</v>
      </c>
      <c r="G294" s="248">
        <f>+F294*E294*D294*52</f>
        <v>3027.0702592000002</v>
      </c>
      <c r="H294" s="250">
        <f>ROUND(F294*(1+$H$10),2)</f>
        <v>1.91</v>
      </c>
      <c r="I294" s="276">
        <f>+H294*D294*E294*52</f>
        <v>3142.2305408000002</v>
      </c>
      <c r="J294" s="251">
        <f t="shared" si="208"/>
        <v>6.999999999999984E-2</v>
      </c>
      <c r="K294" s="252">
        <f t="shared" si="208"/>
        <v>115.16028159999996</v>
      </c>
      <c r="L294" s="253">
        <f>J294/F294</f>
        <v>3.8043478260869477E-2</v>
      </c>
      <c r="X294" s="234">
        <v>16</v>
      </c>
    </row>
    <row r="295" spans="1:24">
      <c r="A295" s="234" t="s">
        <v>335</v>
      </c>
      <c r="D295" s="275">
        <f>+X295*(1-$D$5)</f>
        <v>13.841380000000001</v>
      </c>
      <c r="E295" s="236">
        <v>3</v>
      </c>
      <c r="F295" s="237">
        <f>+F294</f>
        <v>1.84</v>
      </c>
      <c r="G295" s="248">
        <f>+F295*E295*D295*52</f>
        <v>3973.0297152000007</v>
      </c>
      <c r="H295" s="250">
        <f>ROUND(F295*(1+$H$10),2)</f>
        <v>1.91</v>
      </c>
      <c r="I295" s="276">
        <f>+H295*D295*E295*52</f>
        <v>4124.1775847999997</v>
      </c>
      <c r="J295" s="251">
        <f t="shared" si="208"/>
        <v>6.999999999999984E-2</v>
      </c>
      <c r="K295" s="252">
        <f t="shared" si="208"/>
        <v>151.14786959999901</v>
      </c>
      <c r="L295" s="253">
        <f>J295/F295</f>
        <v>3.8043478260869477E-2</v>
      </c>
      <c r="X295" s="234">
        <v>14</v>
      </c>
    </row>
    <row r="296" spans="1:24">
      <c r="A296" s="234" t="s">
        <v>354</v>
      </c>
      <c r="D296" s="275">
        <f>+X296*(1-$D$5)</f>
        <v>0.98867000000000005</v>
      </c>
      <c r="E296" s="236">
        <v>4</v>
      </c>
      <c r="F296" s="237">
        <f>+F295</f>
        <v>1.84</v>
      </c>
      <c r="G296" s="248">
        <f>+F296*E296*D296*52</f>
        <v>378.38378240000003</v>
      </c>
      <c r="H296" s="250">
        <f>ROUND(F296*(1+$H$10),2)</f>
        <v>1.91</v>
      </c>
      <c r="I296" s="276">
        <f>+H296*D296*E296*52</f>
        <v>392.77881760000002</v>
      </c>
      <c r="J296" s="251">
        <f t="shared" si="208"/>
        <v>6.999999999999984E-2</v>
      </c>
      <c r="K296" s="252">
        <f t="shared" si="208"/>
        <v>14.395035199999995</v>
      </c>
      <c r="L296" s="253">
        <f>J296/F296</f>
        <v>3.8043478260869477E-2</v>
      </c>
      <c r="X296" s="234">
        <v>1</v>
      </c>
    </row>
    <row r="297" spans="1:24" ht="16.5">
      <c r="A297" s="234" t="s">
        <v>355</v>
      </c>
      <c r="D297" s="256">
        <f>+X297*(1-$D$5)</f>
        <v>0.98867000000000005</v>
      </c>
      <c r="E297" s="236">
        <v>6</v>
      </c>
      <c r="F297" s="237">
        <f>+F296</f>
        <v>1.84</v>
      </c>
      <c r="G297" s="257">
        <f>+F297*E297*D297*52</f>
        <v>567.57567360000007</v>
      </c>
      <c r="H297" s="250">
        <f>ROUND(F297*(1+$H$10),2)</f>
        <v>1.91</v>
      </c>
      <c r="I297" s="257">
        <f>+H297*D297*E297*52</f>
        <v>589.16822639999998</v>
      </c>
      <c r="J297" s="251">
        <f t="shared" si="208"/>
        <v>6.999999999999984E-2</v>
      </c>
      <c r="K297" s="258">
        <f t="shared" si="208"/>
        <v>21.592552799999908</v>
      </c>
      <c r="L297" s="253">
        <f>J297/F297</f>
        <v>3.8043478260869477E-2</v>
      </c>
      <c r="X297" s="261">
        <v>1</v>
      </c>
    </row>
    <row r="298" spans="1:24" ht="16.5">
      <c r="D298" s="262">
        <f>SUM(D293:D297)</f>
        <v>78.104929999999996</v>
      </c>
      <c r="G298" s="238">
        <f>SUM(G293:G297)</f>
        <v>12392.068873600001</v>
      </c>
      <c r="H298" s="238"/>
      <c r="I298" s="238">
        <f>SUM(I293:I297)</f>
        <v>12863.506276399998</v>
      </c>
      <c r="J298" s="238"/>
      <c r="K298" s="238">
        <f>SUM(K293:K297)</f>
        <v>471.43740279999832</v>
      </c>
      <c r="L298" s="238"/>
      <c r="X298" s="264">
        <f>SUM(X293:X297)</f>
        <v>79</v>
      </c>
    </row>
    <row r="299" spans="1:24">
      <c r="D299" s="235"/>
    </row>
    <row r="300" spans="1:24">
      <c r="D300" s="235"/>
    </row>
    <row r="301" spans="1:24">
      <c r="A301" s="234" t="s">
        <v>337</v>
      </c>
      <c r="D301" s="275">
        <f>+X301*(1-$D$5)</f>
        <v>23.728080000000002</v>
      </c>
      <c r="E301" s="236">
        <v>1</v>
      </c>
      <c r="F301" s="237">
        <v>2.52</v>
      </c>
      <c r="G301" s="248">
        <f>+F301*E301*D301*52</f>
        <v>3109.3276032000003</v>
      </c>
      <c r="H301" s="250">
        <f>ROUND(F301*(1+$H$10),2)</f>
        <v>2.62</v>
      </c>
      <c r="I301" s="276">
        <f>+H301*D301*E301*52</f>
        <v>3232.7136192000003</v>
      </c>
      <c r="J301" s="251">
        <f>+H301-F301</f>
        <v>0.10000000000000009</v>
      </c>
      <c r="K301" s="252">
        <f>+I301-G301</f>
        <v>123.38601599999993</v>
      </c>
      <c r="L301" s="253">
        <f>J301/F301</f>
        <v>3.9682539682539715E-2</v>
      </c>
      <c r="X301" s="234">
        <v>24</v>
      </c>
    </row>
    <row r="302" spans="1:24" ht="16.5">
      <c r="A302" s="234" t="s">
        <v>338</v>
      </c>
      <c r="D302" s="256">
        <f>+X302*(1-$D$5)</f>
        <v>22.739409999999999</v>
      </c>
      <c r="E302" s="236">
        <v>1</v>
      </c>
      <c r="F302" s="237">
        <v>69</v>
      </c>
      <c r="G302" s="257">
        <f>+F302*E302*D302*12</f>
        <v>18828.231479999999</v>
      </c>
      <c r="H302" s="250">
        <f>ROUND(F302*(1+$H$10),2)</f>
        <v>71.64</v>
      </c>
      <c r="I302" s="257">
        <f>+H302*D302*E302*12</f>
        <v>19548.615988799997</v>
      </c>
      <c r="J302" s="251">
        <f>+H302-F302</f>
        <v>2.6400000000000006</v>
      </c>
      <c r="K302" s="258">
        <f>+I302-G302</f>
        <v>720.384508799998</v>
      </c>
      <c r="L302" s="253">
        <f>J302/F302</f>
        <v>3.8260869565217397E-2</v>
      </c>
      <c r="X302" s="261">
        <v>23</v>
      </c>
    </row>
    <row r="303" spans="1:24" ht="16.5">
      <c r="D303" s="262">
        <f>SUM(D301:D302)</f>
        <v>46.467489999999998</v>
      </c>
      <c r="G303" s="238">
        <f>SUM(G301:G302)</f>
        <v>21937.559083199998</v>
      </c>
      <c r="H303" s="238"/>
      <c r="I303" s="238">
        <f>SUM(I301:I302)</f>
        <v>22781.329607999996</v>
      </c>
      <c r="J303" s="238"/>
      <c r="K303" s="238">
        <f>SUM(K301:K302)</f>
        <v>843.77052479999793</v>
      </c>
      <c r="X303" s="264">
        <f>SUM(X301:X302)</f>
        <v>47</v>
      </c>
    </row>
    <row r="305" spans="1:24" ht="16.5">
      <c r="G305" s="272">
        <f>+G303+G298+G290+G282+G275+G263+G254+G240+G230+G223+G220+G214+G206+G203+G197</f>
        <v>2431420.7077479996</v>
      </c>
      <c r="H305" s="272"/>
      <c r="I305" s="272">
        <f>+I303+I298+I290+I282+I275+I263+I254+I240+I230+I223+I220+I214+I206+I203+I197</f>
        <v>2524325.8694607993</v>
      </c>
      <c r="J305" s="272"/>
      <c r="K305" s="272">
        <f>+K303+K298+K290+K282+K275+K263+K254+K240+K230+K223+K220+K214+K206+K203+K197</f>
        <v>92905.161712800036</v>
      </c>
      <c r="L305" s="272"/>
      <c r="M305" s="272"/>
      <c r="N305" s="273">
        <f>+N282+N275+N263+N254+N240+N230+N223+N220+N214+N206+N203+N197</f>
        <v>8369.4175174356442</v>
      </c>
      <c r="O305" s="272">
        <f>+O282+O275+O263+O254+O240+O230+O223+O220+O214+O206+O203+O197</f>
        <v>1005752.9030702412</v>
      </c>
    </row>
    <row r="306" spans="1:24">
      <c r="H306" s="248"/>
      <c r="I306" s="248"/>
      <c r="J306" s="248"/>
      <c r="K306" s="248"/>
      <c r="L306" s="248"/>
      <c r="M306" s="248"/>
      <c r="O306" s="248"/>
    </row>
    <row r="307" spans="1:24" ht="16.5">
      <c r="G307" s="272">
        <f>+G305+G193</f>
        <v>12454624.795075973</v>
      </c>
      <c r="H307" s="272"/>
      <c r="I307" s="272">
        <f>+I305+I193</f>
        <v>12930311.422533643</v>
      </c>
      <c r="J307" s="272"/>
      <c r="K307" s="272">
        <f>+K305+K193</f>
        <v>475686.62745766842</v>
      </c>
      <c r="L307" s="272"/>
      <c r="M307" s="272"/>
      <c r="N307" s="273">
        <f>+N305+N193</f>
        <v>51539.806128212869</v>
      </c>
      <c r="O307" s="272">
        <f>+O305+O193</f>
        <v>5538643.7072018506</v>
      </c>
    </row>
    <row r="308" spans="1:24" ht="16.5">
      <c r="G308" s="272"/>
    </row>
    <row r="309" spans="1:24" ht="16.5">
      <c r="A309" s="278" t="s">
        <v>356</v>
      </c>
      <c r="E309" s="237"/>
      <c r="F309" s="234"/>
      <c r="G309" s="272">
        <f>+[2]WTB!Q13</f>
        <v>12454662.619999893</v>
      </c>
      <c r="I309" s="272">
        <f>+I307/(1+I310)</f>
        <v>12930350.692126574</v>
      </c>
      <c r="K309" s="272">
        <f>+K307/(1+K310)</f>
        <v>475688.07212668011</v>
      </c>
      <c r="O309" s="272">
        <f>+'[2]Com''l Garbage'!R78</f>
        <v>5555722.3749064272</v>
      </c>
    </row>
    <row r="310" spans="1:24" ht="16.5">
      <c r="A310" s="279"/>
      <c r="E310" s="237"/>
      <c r="F310" s="234"/>
      <c r="G310" s="280">
        <f>(G307-G309)/G309</f>
        <v>-3.0370091164712857E-6</v>
      </c>
      <c r="I310" s="280">
        <f>+G310</f>
        <v>-3.0370091164712857E-6</v>
      </c>
      <c r="K310" s="280">
        <f>+I310</f>
        <v>-3.0370091164712857E-6</v>
      </c>
    </row>
    <row r="311" spans="1:24" ht="15.75" thickBot="1"/>
    <row r="312" spans="1:24" ht="17.25" thickBot="1">
      <c r="C312" s="200">
        <v>-5.7759999999999999E-3</v>
      </c>
      <c r="K312" s="272"/>
      <c r="M312" s="281"/>
    </row>
    <row r="314" spans="1:24" ht="17.25">
      <c r="A314" s="192" t="s">
        <v>204</v>
      </c>
    </row>
    <row r="315" spans="1:24">
      <c r="A315" s="234" t="s">
        <v>357</v>
      </c>
      <c r="B315" s="235">
        <f>+V315*(1-$C$312)</f>
        <v>239.37468799999999</v>
      </c>
      <c r="C315" s="235">
        <f>+W315*(1-$C$312)</f>
        <v>11.063535999999999</v>
      </c>
      <c r="D315" s="234">
        <f t="shared" ref="D315:D357" si="209">+C315+B315</f>
        <v>250.43822399999999</v>
      </c>
      <c r="E315" s="236">
        <v>1</v>
      </c>
      <c r="F315" s="237">
        <v>1.4</v>
      </c>
      <c r="G315" s="248">
        <f>+F315*E315*D315*12</f>
        <v>4207.3621631999995</v>
      </c>
      <c r="H315" s="250">
        <f>ROUND(F315*(1+$H$10),2)</f>
        <v>1.45</v>
      </c>
      <c r="I315" s="276">
        <f>+H315*D315*E315*12</f>
        <v>4357.6250975999992</v>
      </c>
      <c r="J315" s="251">
        <f>+H315-F315</f>
        <v>5.0000000000000044E-2</v>
      </c>
      <c r="K315" s="252">
        <f>+I315-G315</f>
        <v>150.26293439999972</v>
      </c>
      <c r="L315" s="253">
        <f>J315/F315</f>
        <v>3.5714285714285747E-2</v>
      </c>
      <c r="V315" s="234">
        <v>238</v>
      </c>
      <c r="W315" s="234">
        <v>11</v>
      </c>
      <c r="X315" s="234">
        <f t="shared" ref="X315:X357" si="210">+W315+V315</f>
        <v>249</v>
      </c>
    </row>
    <row r="316" spans="1:24">
      <c r="A316" s="234" t="s">
        <v>358</v>
      </c>
      <c r="B316" s="235">
        <f t="shared" ref="B316:C357" si="211">+V316*(1-$C$312)</f>
        <v>223.28227200000001</v>
      </c>
      <c r="C316" s="235">
        <f t="shared" si="211"/>
        <v>201.15520000000001</v>
      </c>
      <c r="D316" s="234">
        <f t="shared" si="209"/>
        <v>424.43747200000001</v>
      </c>
      <c r="E316" s="236">
        <v>1</v>
      </c>
      <c r="F316" s="237">
        <v>1.7</v>
      </c>
      <c r="G316" s="248">
        <f t="shared" ref="G316:G352" si="212">+F316*E316*D316*12</f>
        <v>8658.5244287999994</v>
      </c>
      <c r="H316" s="250">
        <f t="shared" ref="H316:H357" si="213">ROUND(F316*(1+$H$10),2)</f>
        <v>1.76</v>
      </c>
      <c r="I316" s="276">
        <f t="shared" ref="I316:I357" si="214">+H316*D316*E316*12</f>
        <v>8964.1194086399992</v>
      </c>
      <c r="J316" s="251">
        <f t="shared" ref="J316:K357" si="215">+H316-F316</f>
        <v>6.0000000000000053E-2</v>
      </c>
      <c r="K316" s="252">
        <f t="shared" si="215"/>
        <v>305.59497983999972</v>
      </c>
      <c r="L316" s="253">
        <f t="shared" ref="L316:L357" si="216">J316/F316</f>
        <v>3.5294117647058858E-2</v>
      </c>
      <c r="V316" s="234">
        <v>222</v>
      </c>
      <c r="W316" s="234">
        <v>200</v>
      </c>
      <c r="X316" s="234">
        <f t="shared" si="210"/>
        <v>422</v>
      </c>
    </row>
    <row r="317" spans="1:24">
      <c r="A317" s="234" t="s">
        <v>359</v>
      </c>
      <c r="B317" s="235">
        <f t="shared" si="211"/>
        <v>108.623808</v>
      </c>
      <c r="C317" s="235">
        <f t="shared" si="211"/>
        <v>44.254143999999997</v>
      </c>
      <c r="D317" s="234">
        <f t="shared" si="209"/>
        <v>152.87795199999999</v>
      </c>
      <c r="E317" s="236">
        <v>1</v>
      </c>
      <c r="F317" s="237">
        <v>2</v>
      </c>
      <c r="G317" s="248">
        <f t="shared" si="212"/>
        <v>3669.0708479999998</v>
      </c>
      <c r="H317" s="250">
        <f t="shared" si="213"/>
        <v>2.08</v>
      </c>
      <c r="I317" s="276">
        <f t="shared" si="214"/>
        <v>3815.8336819199999</v>
      </c>
      <c r="J317" s="251">
        <f t="shared" si="215"/>
        <v>8.0000000000000071E-2</v>
      </c>
      <c r="K317" s="252">
        <f t="shared" si="215"/>
        <v>146.76283392000005</v>
      </c>
      <c r="L317" s="253">
        <f t="shared" si="216"/>
        <v>4.0000000000000036E-2</v>
      </c>
      <c r="V317" s="234">
        <v>108</v>
      </c>
      <c r="W317" s="234">
        <v>44</v>
      </c>
      <c r="X317" s="234">
        <f t="shared" si="210"/>
        <v>152</v>
      </c>
    </row>
    <row r="318" spans="1:24">
      <c r="A318" s="234" t="s">
        <v>360</v>
      </c>
      <c r="B318" s="235">
        <f t="shared" si="211"/>
        <v>6.034656</v>
      </c>
      <c r="C318" s="235">
        <f t="shared" si="211"/>
        <v>6.034656</v>
      </c>
      <c r="D318" s="234">
        <f t="shared" si="209"/>
        <v>12.069312</v>
      </c>
      <c r="E318" s="236">
        <v>1</v>
      </c>
      <c r="F318" s="237">
        <v>2</v>
      </c>
      <c r="G318" s="248">
        <f t="shared" si="212"/>
        <v>289.66348800000003</v>
      </c>
      <c r="H318" s="250">
        <f t="shared" si="213"/>
        <v>2.08</v>
      </c>
      <c r="I318" s="276">
        <f t="shared" si="214"/>
        <v>301.25002752</v>
      </c>
      <c r="J318" s="251">
        <f t="shared" si="215"/>
        <v>8.0000000000000071E-2</v>
      </c>
      <c r="K318" s="252">
        <f t="shared" si="215"/>
        <v>11.586539519999974</v>
      </c>
      <c r="L318" s="253">
        <f t="shared" si="216"/>
        <v>4.0000000000000036E-2</v>
      </c>
      <c r="V318" s="234">
        <v>6</v>
      </c>
      <c r="W318" s="234">
        <v>6</v>
      </c>
      <c r="X318" s="234">
        <f t="shared" si="210"/>
        <v>12</v>
      </c>
    </row>
    <row r="319" spans="1:24">
      <c r="A319" s="234" t="s">
        <v>361</v>
      </c>
      <c r="B319" s="235">
        <f t="shared" si="211"/>
        <v>431.47790400000002</v>
      </c>
      <c r="C319" s="235">
        <f t="shared" si="211"/>
        <v>254.46132800000001</v>
      </c>
      <c r="D319" s="234">
        <f t="shared" si="209"/>
        <v>685.93923200000006</v>
      </c>
      <c r="E319" s="236">
        <v>1</v>
      </c>
      <c r="F319" s="237">
        <v>7.1</v>
      </c>
      <c r="G319" s="248">
        <f t="shared" si="212"/>
        <v>58442.022566400003</v>
      </c>
      <c r="H319" s="250">
        <f t="shared" si="213"/>
        <v>7.37</v>
      </c>
      <c r="I319" s="276">
        <f t="shared" si="214"/>
        <v>60664.46567808</v>
      </c>
      <c r="J319" s="251">
        <f t="shared" si="215"/>
        <v>0.27000000000000046</v>
      </c>
      <c r="K319" s="252">
        <f t="shared" si="215"/>
        <v>2222.4431116799969</v>
      </c>
      <c r="L319" s="253">
        <f t="shared" si="216"/>
        <v>3.8028169014084574E-2</v>
      </c>
      <c r="V319" s="234">
        <v>429</v>
      </c>
      <c r="W319" s="234">
        <v>253</v>
      </c>
      <c r="X319" s="234">
        <f t="shared" si="210"/>
        <v>682</v>
      </c>
    </row>
    <row r="320" spans="1:24">
      <c r="A320" s="234" t="s">
        <v>362</v>
      </c>
      <c r="B320" s="235">
        <f t="shared" si="211"/>
        <v>2.011552</v>
      </c>
      <c r="C320" s="235">
        <f t="shared" si="211"/>
        <v>0</v>
      </c>
      <c r="D320" s="234">
        <f t="shared" si="209"/>
        <v>2.011552</v>
      </c>
      <c r="E320" s="236">
        <v>1</v>
      </c>
      <c r="F320" s="237">
        <f>+F319</f>
        <v>7.1</v>
      </c>
      <c r="G320" s="248">
        <f t="shared" si="212"/>
        <v>171.38423039999998</v>
      </c>
      <c r="H320" s="250">
        <f t="shared" si="213"/>
        <v>7.37</v>
      </c>
      <c r="I320" s="276">
        <f t="shared" si="214"/>
        <v>177.90165888000001</v>
      </c>
      <c r="J320" s="251">
        <f t="shared" si="215"/>
        <v>0.27000000000000046</v>
      </c>
      <c r="K320" s="252">
        <f t="shared" si="215"/>
        <v>6.5174284800000351</v>
      </c>
      <c r="L320" s="253">
        <f t="shared" si="216"/>
        <v>3.8028169014084574E-2</v>
      </c>
      <c r="V320" s="234">
        <v>2</v>
      </c>
      <c r="X320" s="234">
        <f t="shared" si="210"/>
        <v>2</v>
      </c>
    </row>
    <row r="321" spans="1:24">
      <c r="A321" s="282" t="s">
        <v>363</v>
      </c>
      <c r="B321" s="235">
        <f t="shared" si="211"/>
        <v>0</v>
      </c>
      <c r="C321" s="235">
        <f t="shared" si="211"/>
        <v>3.017328</v>
      </c>
      <c r="D321" s="234">
        <f t="shared" si="209"/>
        <v>3.017328</v>
      </c>
      <c r="E321" s="236">
        <v>1</v>
      </c>
      <c r="F321" s="237">
        <f>+F320</f>
        <v>7.1</v>
      </c>
      <c r="G321" s="248">
        <f t="shared" si="212"/>
        <v>257.07634559999997</v>
      </c>
      <c r="H321" s="250">
        <f t="shared" si="213"/>
        <v>7.37</v>
      </c>
      <c r="I321" s="276">
        <f t="shared" si="214"/>
        <v>266.85248832000002</v>
      </c>
      <c r="J321" s="251">
        <f t="shared" si="215"/>
        <v>0.27000000000000046</v>
      </c>
      <c r="K321" s="252">
        <f t="shared" si="215"/>
        <v>9.7761427200000526</v>
      </c>
      <c r="L321" s="253">
        <f t="shared" si="216"/>
        <v>3.8028169014084574E-2</v>
      </c>
      <c r="W321" s="234">
        <v>3</v>
      </c>
      <c r="X321" s="234">
        <f t="shared" si="210"/>
        <v>3</v>
      </c>
    </row>
    <row r="322" spans="1:24">
      <c r="A322" s="234" t="s">
        <v>364</v>
      </c>
      <c r="B322" s="235">
        <f t="shared" si="211"/>
        <v>147.84907200000001</v>
      </c>
      <c r="C322" s="235">
        <f t="shared" si="211"/>
        <v>48.277248</v>
      </c>
      <c r="D322" s="234">
        <f t="shared" si="209"/>
        <v>196.12632000000002</v>
      </c>
      <c r="E322" s="236">
        <v>1</v>
      </c>
      <c r="F322" s="237">
        <v>7.7</v>
      </c>
      <c r="G322" s="248">
        <f t="shared" si="212"/>
        <v>18122.071968000004</v>
      </c>
      <c r="H322" s="250">
        <f t="shared" si="213"/>
        <v>7.99</v>
      </c>
      <c r="I322" s="276">
        <f t="shared" si="214"/>
        <v>18804.591561600006</v>
      </c>
      <c r="J322" s="251">
        <f t="shared" si="215"/>
        <v>0.29000000000000004</v>
      </c>
      <c r="K322" s="252">
        <f t="shared" si="215"/>
        <v>682.51959360000183</v>
      </c>
      <c r="L322" s="253">
        <f t="shared" si="216"/>
        <v>3.7662337662337668E-2</v>
      </c>
      <c r="V322" s="234">
        <v>147</v>
      </c>
      <c r="W322" s="234">
        <v>48</v>
      </c>
      <c r="X322" s="234">
        <f t="shared" si="210"/>
        <v>195</v>
      </c>
    </row>
    <row r="323" spans="1:24">
      <c r="A323" s="234" t="s">
        <v>365</v>
      </c>
      <c r="B323" s="235">
        <f t="shared" si="211"/>
        <v>2.011552</v>
      </c>
      <c r="C323" s="235">
        <f t="shared" si="211"/>
        <v>0</v>
      </c>
      <c r="D323" s="234">
        <f t="shared" si="209"/>
        <v>2.011552</v>
      </c>
      <c r="E323" s="236">
        <v>1</v>
      </c>
      <c r="F323" s="237">
        <f>+F322</f>
        <v>7.7</v>
      </c>
      <c r="G323" s="248">
        <f t="shared" si="212"/>
        <v>185.8674048</v>
      </c>
      <c r="H323" s="250">
        <f t="shared" si="213"/>
        <v>7.99</v>
      </c>
      <c r="I323" s="276">
        <f t="shared" si="214"/>
        <v>192.86760576</v>
      </c>
      <c r="J323" s="251">
        <f t="shared" si="215"/>
        <v>0.29000000000000004</v>
      </c>
      <c r="K323" s="252">
        <f t="shared" si="215"/>
        <v>7.0002009600000008</v>
      </c>
      <c r="L323" s="253">
        <f t="shared" si="216"/>
        <v>3.7662337662337668E-2</v>
      </c>
      <c r="V323" s="234">
        <v>2</v>
      </c>
      <c r="X323" s="234">
        <f t="shared" si="210"/>
        <v>2</v>
      </c>
    </row>
    <row r="324" spans="1:24">
      <c r="A324" s="234" t="s">
        <v>366</v>
      </c>
      <c r="B324" s="235">
        <f t="shared" si="211"/>
        <v>3.017328</v>
      </c>
      <c r="C324" s="235">
        <f t="shared" si="211"/>
        <v>0</v>
      </c>
      <c r="D324" s="234">
        <f t="shared" si="209"/>
        <v>3.017328</v>
      </c>
      <c r="E324" s="236">
        <v>1</v>
      </c>
      <c r="F324" s="237">
        <f>+F323</f>
        <v>7.7</v>
      </c>
      <c r="G324" s="248">
        <f t="shared" si="212"/>
        <v>278.80110719999999</v>
      </c>
      <c r="H324" s="250">
        <f t="shared" si="213"/>
        <v>7.99</v>
      </c>
      <c r="I324" s="276">
        <f t="shared" si="214"/>
        <v>289.30140863999998</v>
      </c>
      <c r="J324" s="251">
        <f t="shared" si="215"/>
        <v>0.29000000000000004</v>
      </c>
      <c r="K324" s="252">
        <f t="shared" si="215"/>
        <v>10.500301439999987</v>
      </c>
      <c r="L324" s="253">
        <f t="shared" si="216"/>
        <v>3.7662337662337668E-2</v>
      </c>
      <c r="V324" s="234">
        <v>3</v>
      </c>
      <c r="X324" s="234">
        <f t="shared" si="210"/>
        <v>3</v>
      </c>
    </row>
    <row r="325" spans="1:24">
      <c r="A325" s="282" t="s">
        <v>367</v>
      </c>
      <c r="B325" s="235">
        <f t="shared" si="211"/>
        <v>0</v>
      </c>
      <c r="C325" s="235">
        <f t="shared" si="211"/>
        <v>4.023104</v>
      </c>
      <c r="D325" s="234">
        <f t="shared" si="209"/>
        <v>4.023104</v>
      </c>
      <c r="E325" s="236">
        <v>1</v>
      </c>
      <c r="F325" s="237">
        <f>+F324</f>
        <v>7.7</v>
      </c>
      <c r="G325" s="248">
        <f t="shared" si="212"/>
        <v>371.73480960000001</v>
      </c>
      <c r="H325" s="250">
        <f t="shared" si="213"/>
        <v>7.99</v>
      </c>
      <c r="I325" s="276">
        <f t="shared" si="214"/>
        <v>385.73521152000001</v>
      </c>
      <c r="J325" s="251">
        <f t="shared" si="215"/>
        <v>0.29000000000000004</v>
      </c>
      <c r="K325" s="252">
        <f t="shared" si="215"/>
        <v>14.000401920000002</v>
      </c>
      <c r="L325" s="253">
        <f t="shared" si="216"/>
        <v>3.7662337662337668E-2</v>
      </c>
      <c r="W325" s="234">
        <v>4</v>
      </c>
      <c r="X325" s="234">
        <f t="shared" si="210"/>
        <v>4</v>
      </c>
    </row>
    <row r="326" spans="1:24">
      <c r="A326" s="234" t="s">
        <v>368</v>
      </c>
      <c r="B326" s="235">
        <f t="shared" si="211"/>
        <v>317.82521600000001</v>
      </c>
      <c r="C326" s="235">
        <f t="shared" si="211"/>
        <v>141.81441599999999</v>
      </c>
      <c r="D326" s="234">
        <f t="shared" si="209"/>
        <v>459.63963200000001</v>
      </c>
      <c r="E326" s="236">
        <v>1</v>
      </c>
      <c r="F326" s="237">
        <v>7.9</v>
      </c>
      <c r="G326" s="248">
        <f t="shared" si="212"/>
        <v>43573.837113600006</v>
      </c>
      <c r="H326" s="250">
        <f t="shared" si="213"/>
        <v>8.1999999999999993</v>
      </c>
      <c r="I326" s="276">
        <f t="shared" si="214"/>
        <v>45228.539788800001</v>
      </c>
      <c r="J326" s="251">
        <f t="shared" si="215"/>
        <v>0.29999999999999893</v>
      </c>
      <c r="K326" s="252">
        <f t="shared" si="215"/>
        <v>1654.7026751999947</v>
      </c>
      <c r="L326" s="253">
        <f t="shared" si="216"/>
        <v>3.797468354430366E-2</v>
      </c>
      <c r="V326" s="234">
        <v>316</v>
      </c>
      <c r="W326" s="234">
        <v>141</v>
      </c>
      <c r="X326" s="234">
        <f t="shared" si="210"/>
        <v>457</v>
      </c>
    </row>
    <row r="327" spans="1:24">
      <c r="A327" s="234" t="s">
        <v>369</v>
      </c>
      <c r="B327" s="235">
        <f t="shared" si="211"/>
        <v>10.05776</v>
      </c>
      <c r="C327" s="235">
        <f t="shared" si="211"/>
        <v>16.092416</v>
      </c>
      <c r="D327" s="234">
        <f t="shared" si="209"/>
        <v>26.150176000000002</v>
      </c>
      <c r="E327" s="236">
        <v>1</v>
      </c>
      <c r="F327" s="237">
        <f>+F326</f>
        <v>7.9</v>
      </c>
      <c r="G327" s="248">
        <f t="shared" si="212"/>
        <v>2479.0366848000003</v>
      </c>
      <c r="H327" s="250">
        <f t="shared" si="213"/>
        <v>8.1999999999999993</v>
      </c>
      <c r="I327" s="276">
        <f t="shared" si="214"/>
        <v>2573.1773183999999</v>
      </c>
      <c r="J327" s="251">
        <f t="shared" si="215"/>
        <v>0.29999999999999893</v>
      </c>
      <c r="K327" s="252">
        <f t="shared" si="215"/>
        <v>94.140633599999546</v>
      </c>
      <c r="L327" s="253">
        <f t="shared" si="216"/>
        <v>3.797468354430366E-2</v>
      </c>
      <c r="V327" s="234">
        <v>10</v>
      </c>
      <c r="W327" s="234">
        <v>16</v>
      </c>
      <c r="X327" s="234">
        <f t="shared" si="210"/>
        <v>26</v>
      </c>
    </row>
    <row r="328" spans="1:24">
      <c r="A328" s="234" t="s">
        <v>370</v>
      </c>
      <c r="B328" s="235">
        <f t="shared" si="211"/>
        <v>0</v>
      </c>
      <c r="C328" s="235">
        <f t="shared" si="211"/>
        <v>4.023104</v>
      </c>
      <c r="D328" s="234">
        <f t="shared" si="209"/>
        <v>4.023104</v>
      </c>
      <c r="E328" s="236">
        <v>1</v>
      </c>
      <c r="F328" s="237">
        <f>+F327</f>
        <v>7.9</v>
      </c>
      <c r="G328" s="248">
        <f t="shared" si="212"/>
        <v>381.39025920000006</v>
      </c>
      <c r="H328" s="250">
        <f t="shared" si="213"/>
        <v>8.1999999999999993</v>
      </c>
      <c r="I328" s="276">
        <f t="shared" si="214"/>
        <v>395.87343359999994</v>
      </c>
      <c r="J328" s="251">
        <f t="shared" si="215"/>
        <v>0.29999999999999893</v>
      </c>
      <c r="K328" s="252">
        <f t="shared" si="215"/>
        <v>14.483174399999882</v>
      </c>
      <c r="L328" s="253">
        <f t="shared" si="216"/>
        <v>3.797468354430366E-2</v>
      </c>
      <c r="V328" s="234">
        <v>0</v>
      </c>
      <c r="W328" s="234">
        <v>4</v>
      </c>
      <c r="X328" s="234">
        <f t="shared" si="210"/>
        <v>4</v>
      </c>
    </row>
    <row r="329" spans="1:24">
      <c r="A329" s="282" t="s">
        <v>371</v>
      </c>
      <c r="B329" s="235">
        <f t="shared" si="211"/>
        <v>0</v>
      </c>
      <c r="C329" s="235">
        <f t="shared" si="211"/>
        <v>4.023104</v>
      </c>
      <c r="D329" s="234">
        <f t="shared" si="209"/>
        <v>4.023104</v>
      </c>
      <c r="E329" s="236">
        <v>1</v>
      </c>
      <c r="F329" s="237">
        <f>+F328</f>
        <v>7.9</v>
      </c>
      <c r="G329" s="248">
        <f t="shared" si="212"/>
        <v>381.39025920000006</v>
      </c>
      <c r="H329" s="250">
        <f t="shared" si="213"/>
        <v>8.1999999999999993</v>
      </c>
      <c r="I329" s="276">
        <f t="shared" si="214"/>
        <v>395.87343359999994</v>
      </c>
      <c r="J329" s="251">
        <f t="shared" si="215"/>
        <v>0.29999999999999893</v>
      </c>
      <c r="K329" s="252">
        <f t="shared" si="215"/>
        <v>14.483174399999882</v>
      </c>
      <c r="L329" s="253">
        <f t="shared" si="216"/>
        <v>3.797468354430366E-2</v>
      </c>
      <c r="W329" s="234">
        <v>4</v>
      </c>
      <c r="X329" s="234">
        <f t="shared" si="210"/>
        <v>4</v>
      </c>
    </row>
    <row r="330" spans="1:24">
      <c r="A330" s="282" t="s">
        <v>372</v>
      </c>
      <c r="B330" s="235">
        <f t="shared" si="211"/>
        <v>0</v>
      </c>
      <c r="C330" s="235">
        <f t="shared" si="211"/>
        <v>5.02888</v>
      </c>
      <c r="D330" s="234">
        <f t="shared" si="209"/>
        <v>5.02888</v>
      </c>
      <c r="E330" s="236">
        <v>1</v>
      </c>
      <c r="F330" s="237">
        <f>+F329</f>
        <v>7.9</v>
      </c>
      <c r="G330" s="248">
        <f t="shared" si="212"/>
        <v>476.73782400000005</v>
      </c>
      <c r="H330" s="250">
        <f t="shared" si="213"/>
        <v>8.1999999999999993</v>
      </c>
      <c r="I330" s="276">
        <f t="shared" si="214"/>
        <v>494.84179199999994</v>
      </c>
      <c r="J330" s="251">
        <f t="shared" si="215"/>
        <v>0.29999999999999893</v>
      </c>
      <c r="K330" s="252">
        <f t="shared" si="215"/>
        <v>18.103967999999895</v>
      </c>
      <c r="L330" s="253">
        <f t="shared" si="216"/>
        <v>3.797468354430366E-2</v>
      </c>
      <c r="W330" s="234">
        <v>5</v>
      </c>
      <c r="X330" s="234">
        <f t="shared" si="210"/>
        <v>5</v>
      </c>
    </row>
    <row r="331" spans="1:24">
      <c r="A331" s="234" t="s">
        <v>373</v>
      </c>
      <c r="B331" s="235">
        <f t="shared" si="211"/>
        <v>8.046208</v>
      </c>
      <c r="C331" s="235">
        <f t="shared" si="211"/>
        <v>0</v>
      </c>
      <c r="D331" s="234">
        <f t="shared" si="209"/>
        <v>8.046208</v>
      </c>
      <c r="E331" s="236">
        <v>1</v>
      </c>
      <c r="F331" s="237">
        <f>+F330</f>
        <v>7.9</v>
      </c>
      <c r="G331" s="248">
        <f t="shared" si="212"/>
        <v>762.78051840000012</v>
      </c>
      <c r="H331" s="250">
        <f t="shared" si="213"/>
        <v>8.1999999999999993</v>
      </c>
      <c r="I331" s="276">
        <f t="shared" si="214"/>
        <v>791.74686719999988</v>
      </c>
      <c r="J331" s="251">
        <f t="shared" si="215"/>
        <v>0.29999999999999893</v>
      </c>
      <c r="K331" s="252">
        <f t="shared" si="215"/>
        <v>28.966348799999764</v>
      </c>
      <c r="L331" s="253">
        <f t="shared" si="216"/>
        <v>3.797468354430366E-2</v>
      </c>
      <c r="V331" s="234">
        <v>8</v>
      </c>
      <c r="X331" s="234">
        <f t="shared" si="210"/>
        <v>8</v>
      </c>
    </row>
    <row r="332" spans="1:24">
      <c r="A332" s="234" t="s">
        <v>374</v>
      </c>
      <c r="B332" s="235">
        <f t="shared" si="211"/>
        <v>271.55952000000002</v>
      </c>
      <c r="C332" s="235">
        <f t="shared" si="211"/>
        <v>64.369664</v>
      </c>
      <c r="D332" s="234">
        <f t="shared" si="209"/>
        <v>335.92918400000002</v>
      </c>
      <c r="E332" s="236">
        <v>1</v>
      </c>
      <c r="F332" s="237">
        <v>10.1</v>
      </c>
      <c r="G332" s="248">
        <f t="shared" si="212"/>
        <v>40714.617100800002</v>
      </c>
      <c r="H332" s="250">
        <f t="shared" si="213"/>
        <v>10.49</v>
      </c>
      <c r="I332" s="276">
        <f t="shared" si="214"/>
        <v>42286.765681920006</v>
      </c>
      <c r="J332" s="251">
        <f t="shared" si="215"/>
        <v>0.39000000000000057</v>
      </c>
      <c r="K332" s="252">
        <f t="shared" si="215"/>
        <v>1572.1485811200037</v>
      </c>
      <c r="L332" s="253">
        <f t="shared" si="216"/>
        <v>3.8613861386138669E-2</v>
      </c>
      <c r="V332" s="234">
        <v>270</v>
      </c>
      <c r="W332" s="234">
        <v>64</v>
      </c>
      <c r="X332" s="234">
        <f t="shared" si="210"/>
        <v>334</v>
      </c>
    </row>
    <row r="333" spans="1:24">
      <c r="A333" s="234" t="s">
        <v>375</v>
      </c>
      <c r="B333" s="235">
        <f t="shared" si="211"/>
        <v>28.161728</v>
      </c>
      <c r="C333" s="235">
        <f t="shared" si="211"/>
        <v>8.046208</v>
      </c>
      <c r="D333" s="234">
        <f t="shared" si="209"/>
        <v>36.207936000000004</v>
      </c>
      <c r="E333" s="236">
        <v>1</v>
      </c>
      <c r="F333" s="237">
        <f>+F332</f>
        <v>10.1</v>
      </c>
      <c r="G333" s="248">
        <f t="shared" si="212"/>
        <v>4388.4018432000003</v>
      </c>
      <c r="H333" s="250">
        <f t="shared" si="213"/>
        <v>10.49</v>
      </c>
      <c r="I333" s="276">
        <f t="shared" si="214"/>
        <v>4557.8549836800003</v>
      </c>
      <c r="J333" s="251">
        <f t="shared" si="215"/>
        <v>0.39000000000000057</v>
      </c>
      <c r="K333" s="252">
        <f t="shared" si="215"/>
        <v>169.45314048</v>
      </c>
      <c r="L333" s="253">
        <f t="shared" si="216"/>
        <v>3.8613861386138669E-2</v>
      </c>
      <c r="V333" s="234">
        <v>28</v>
      </c>
      <c r="W333" s="234">
        <v>8</v>
      </c>
      <c r="X333" s="234">
        <f t="shared" si="210"/>
        <v>36</v>
      </c>
    </row>
    <row r="334" spans="1:24">
      <c r="A334" s="234" t="s">
        <v>376</v>
      </c>
      <c r="B334" s="235">
        <f t="shared" si="211"/>
        <v>6.034656</v>
      </c>
      <c r="C334" s="235">
        <f t="shared" si="211"/>
        <v>0</v>
      </c>
      <c r="D334" s="234">
        <f t="shared" si="209"/>
        <v>6.034656</v>
      </c>
      <c r="E334" s="236">
        <v>1</v>
      </c>
      <c r="F334" s="237">
        <f>+F333</f>
        <v>10.1</v>
      </c>
      <c r="G334" s="248">
        <f t="shared" si="212"/>
        <v>731.40030719999993</v>
      </c>
      <c r="H334" s="250">
        <f t="shared" si="213"/>
        <v>10.49</v>
      </c>
      <c r="I334" s="276">
        <f t="shared" si="214"/>
        <v>759.64249728000004</v>
      </c>
      <c r="J334" s="251">
        <f t="shared" si="215"/>
        <v>0.39000000000000057</v>
      </c>
      <c r="K334" s="252">
        <f t="shared" si="215"/>
        <v>28.242190080000114</v>
      </c>
      <c r="L334" s="253">
        <f t="shared" si="216"/>
        <v>3.8613861386138669E-2</v>
      </c>
      <c r="V334" s="234">
        <v>6</v>
      </c>
      <c r="X334" s="234">
        <f t="shared" si="210"/>
        <v>6</v>
      </c>
    </row>
    <row r="335" spans="1:24">
      <c r="A335" s="234" t="s">
        <v>377</v>
      </c>
      <c r="B335" s="235">
        <f t="shared" si="211"/>
        <v>8.046208</v>
      </c>
      <c r="C335" s="235">
        <f t="shared" si="211"/>
        <v>4.023104</v>
      </c>
      <c r="D335" s="234">
        <f t="shared" si="209"/>
        <v>12.069312</v>
      </c>
      <c r="E335" s="236">
        <v>1</v>
      </c>
      <c r="F335" s="237">
        <f>+F334</f>
        <v>10.1</v>
      </c>
      <c r="G335" s="248">
        <f t="shared" si="212"/>
        <v>1462.8006143999999</v>
      </c>
      <c r="H335" s="250">
        <f t="shared" si="213"/>
        <v>10.49</v>
      </c>
      <c r="I335" s="276">
        <f t="shared" si="214"/>
        <v>1519.2849945600001</v>
      </c>
      <c r="J335" s="251">
        <f t="shared" si="215"/>
        <v>0.39000000000000057</v>
      </c>
      <c r="K335" s="252">
        <f t="shared" si="215"/>
        <v>56.484380160000228</v>
      </c>
      <c r="L335" s="253">
        <f t="shared" si="216"/>
        <v>3.8613861386138669E-2</v>
      </c>
      <c r="V335" s="234">
        <v>8</v>
      </c>
      <c r="W335" s="234">
        <v>4</v>
      </c>
      <c r="X335" s="234">
        <f t="shared" si="210"/>
        <v>12</v>
      </c>
    </row>
    <row r="336" spans="1:24">
      <c r="A336" s="234" t="s">
        <v>378</v>
      </c>
      <c r="B336" s="235">
        <f t="shared" si="211"/>
        <v>6.034656</v>
      </c>
      <c r="C336" s="235">
        <f t="shared" si="211"/>
        <v>0</v>
      </c>
      <c r="D336" s="234">
        <f t="shared" si="209"/>
        <v>6.034656</v>
      </c>
      <c r="E336" s="236">
        <v>1</v>
      </c>
      <c r="F336" s="237">
        <f>+F335</f>
        <v>10.1</v>
      </c>
      <c r="G336" s="248">
        <f t="shared" si="212"/>
        <v>731.40030719999993</v>
      </c>
      <c r="H336" s="250">
        <f t="shared" si="213"/>
        <v>10.49</v>
      </c>
      <c r="I336" s="276">
        <f t="shared" si="214"/>
        <v>759.64249728000004</v>
      </c>
      <c r="J336" s="251">
        <f t="shared" si="215"/>
        <v>0.39000000000000057</v>
      </c>
      <c r="K336" s="252">
        <f t="shared" si="215"/>
        <v>28.242190080000114</v>
      </c>
      <c r="L336" s="253">
        <f t="shared" si="216"/>
        <v>3.8613861386138669E-2</v>
      </c>
      <c r="V336" s="234">
        <v>6</v>
      </c>
      <c r="X336" s="234">
        <f t="shared" si="210"/>
        <v>6</v>
      </c>
    </row>
    <row r="337" spans="1:24">
      <c r="A337" s="234" t="s">
        <v>379</v>
      </c>
      <c r="B337" s="235">
        <f t="shared" si="211"/>
        <v>7.040432</v>
      </c>
      <c r="C337" s="235">
        <f t="shared" si="211"/>
        <v>0</v>
      </c>
      <c r="D337" s="234">
        <f t="shared" si="209"/>
        <v>7.040432</v>
      </c>
      <c r="E337" s="236">
        <v>1</v>
      </c>
      <c r="F337" s="237">
        <f>+F336</f>
        <v>10.1</v>
      </c>
      <c r="G337" s="248">
        <f t="shared" si="212"/>
        <v>853.30035840000005</v>
      </c>
      <c r="H337" s="250">
        <f t="shared" si="213"/>
        <v>10.49</v>
      </c>
      <c r="I337" s="276">
        <f t="shared" si="214"/>
        <v>886.24958015999994</v>
      </c>
      <c r="J337" s="251">
        <f t="shared" si="215"/>
        <v>0.39000000000000057</v>
      </c>
      <c r="K337" s="252">
        <f t="shared" si="215"/>
        <v>32.949221759999887</v>
      </c>
      <c r="L337" s="253">
        <f t="shared" si="216"/>
        <v>3.8613861386138669E-2</v>
      </c>
      <c r="V337" s="234">
        <v>7</v>
      </c>
      <c r="X337" s="234">
        <f t="shared" si="210"/>
        <v>7</v>
      </c>
    </row>
    <row r="338" spans="1:24">
      <c r="A338" s="234" t="s">
        <v>380</v>
      </c>
      <c r="B338" s="235">
        <f t="shared" si="211"/>
        <v>367.10824000000002</v>
      </c>
      <c r="C338" s="235">
        <f t="shared" si="211"/>
        <v>85.490960000000001</v>
      </c>
      <c r="D338" s="234">
        <f t="shared" si="209"/>
        <v>452.5992</v>
      </c>
      <c r="E338" s="236">
        <v>1</v>
      </c>
      <c r="F338" s="237">
        <v>11.3</v>
      </c>
      <c r="G338" s="248">
        <f t="shared" si="212"/>
        <v>61372.451520000002</v>
      </c>
      <c r="H338" s="250">
        <f t="shared" si="213"/>
        <v>11.73</v>
      </c>
      <c r="I338" s="276">
        <f t="shared" si="214"/>
        <v>63707.863392000007</v>
      </c>
      <c r="J338" s="251">
        <f t="shared" si="215"/>
        <v>0.42999999999999972</v>
      </c>
      <c r="K338" s="252">
        <f t="shared" si="215"/>
        <v>2335.4118720000042</v>
      </c>
      <c r="L338" s="253">
        <f t="shared" si="216"/>
        <v>3.8053097345132715E-2</v>
      </c>
      <c r="V338" s="234">
        <v>365</v>
      </c>
      <c r="W338" s="234">
        <v>85</v>
      </c>
      <c r="X338" s="234">
        <f t="shared" si="210"/>
        <v>450</v>
      </c>
    </row>
    <row r="339" spans="1:24">
      <c r="A339" s="234" t="s">
        <v>381</v>
      </c>
      <c r="B339" s="235">
        <f t="shared" si="211"/>
        <v>54.311903999999998</v>
      </c>
      <c r="C339" s="235">
        <f t="shared" si="211"/>
        <v>14.080864</v>
      </c>
      <c r="D339" s="234">
        <f t="shared" si="209"/>
        <v>68.392768000000004</v>
      </c>
      <c r="E339" s="236">
        <v>1</v>
      </c>
      <c r="F339" s="237">
        <f>+F338</f>
        <v>11.3</v>
      </c>
      <c r="G339" s="248">
        <f t="shared" si="212"/>
        <v>9274.0593408000004</v>
      </c>
      <c r="H339" s="250">
        <f t="shared" si="213"/>
        <v>11.73</v>
      </c>
      <c r="I339" s="276">
        <f t="shared" si="214"/>
        <v>9626.9660236800009</v>
      </c>
      <c r="J339" s="251">
        <f t="shared" si="215"/>
        <v>0.42999999999999972</v>
      </c>
      <c r="K339" s="252">
        <f t="shared" si="215"/>
        <v>352.90668288000052</v>
      </c>
      <c r="L339" s="253">
        <f t="shared" si="216"/>
        <v>3.8053097345132715E-2</v>
      </c>
      <c r="V339" s="234">
        <v>54</v>
      </c>
      <c r="W339" s="234">
        <v>14</v>
      </c>
      <c r="X339" s="234">
        <f t="shared" si="210"/>
        <v>68</v>
      </c>
    </row>
    <row r="340" spans="1:24">
      <c r="A340" s="234" t="s">
        <v>382</v>
      </c>
      <c r="B340" s="235">
        <f t="shared" si="211"/>
        <v>15.086639999999999</v>
      </c>
      <c r="C340" s="235">
        <f t="shared" si="211"/>
        <v>3.017328</v>
      </c>
      <c r="D340" s="234">
        <f t="shared" si="209"/>
        <v>18.103967999999998</v>
      </c>
      <c r="E340" s="236">
        <v>1</v>
      </c>
      <c r="F340" s="237">
        <f>+F339</f>
        <v>11.3</v>
      </c>
      <c r="G340" s="248">
        <f t="shared" si="212"/>
        <v>2454.8980608000002</v>
      </c>
      <c r="H340" s="250">
        <f t="shared" si="213"/>
        <v>11.73</v>
      </c>
      <c r="I340" s="276">
        <f t="shared" si="214"/>
        <v>2548.3145356800001</v>
      </c>
      <c r="J340" s="251">
        <f t="shared" si="215"/>
        <v>0.42999999999999972</v>
      </c>
      <c r="K340" s="252">
        <f t="shared" si="215"/>
        <v>93.416474879999896</v>
      </c>
      <c r="L340" s="253">
        <f t="shared" si="216"/>
        <v>3.8053097345132715E-2</v>
      </c>
      <c r="V340" s="234">
        <v>15</v>
      </c>
      <c r="W340" s="234">
        <v>3</v>
      </c>
      <c r="X340" s="234">
        <f t="shared" si="210"/>
        <v>18</v>
      </c>
    </row>
    <row r="341" spans="1:24">
      <c r="A341" s="234" t="s">
        <v>383</v>
      </c>
      <c r="B341" s="235">
        <f t="shared" si="211"/>
        <v>16.092416</v>
      </c>
      <c r="C341" s="235">
        <f t="shared" si="211"/>
        <v>0</v>
      </c>
      <c r="D341" s="234">
        <f t="shared" si="209"/>
        <v>16.092416</v>
      </c>
      <c r="E341" s="236">
        <v>1</v>
      </c>
      <c r="F341" s="237">
        <f>+F340</f>
        <v>11.3</v>
      </c>
      <c r="G341" s="248">
        <f t="shared" si="212"/>
        <v>2182.1316096</v>
      </c>
      <c r="H341" s="250">
        <f t="shared" si="213"/>
        <v>11.73</v>
      </c>
      <c r="I341" s="276">
        <f t="shared" si="214"/>
        <v>2265.16847616</v>
      </c>
      <c r="J341" s="251">
        <f t="shared" si="215"/>
        <v>0.42999999999999972</v>
      </c>
      <c r="K341" s="252">
        <f t="shared" si="215"/>
        <v>83.036866559999908</v>
      </c>
      <c r="L341" s="253">
        <f t="shared" si="216"/>
        <v>3.8053097345132715E-2</v>
      </c>
      <c r="V341" s="234">
        <v>16</v>
      </c>
      <c r="X341" s="234">
        <f t="shared" si="210"/>
        <v>16</v>
      </c>
    </row>
    <row r="342" spans="1:24">
      <c r="A342" s="234" t="s">
        <v>384</v>
      </c>
      <c r="B342" s="235">
        <f t="shared" si="211"/>
        <v>15.086639999999999</v>
      </c>
      <c r="C342" s="235">
        <f t="shared" si="211"/>
        <v>0</v>
      </c>
      <c r="D342" s="234">
        <f t="shared" si="209"/>
        <v>15.086639999999999</v>
      </c>
      <c r="E342" s="236">
        <v>1</v>
      </c>
      <c r="F342" s="237">
        <f>+F341</f>
        <v>11.3</v>
      </c>
      <c r="G342" s="248">
        <f t="shared" si="212"/>
        <v>2045.748384</v>
      </c>
      <c r="H342" s="250">
        <f t="shared" si="213"/>
        <v>11.73</v>
      </c>
      <c r="I342" s="276">
        <f t="shared" si="214"/>
        <v>2123.5954464000001</v>
      </c>
      <c r="J342" s="251">
        <f t="shared" si="215"/>
        <v>0.42999999999999972</v>
      </c>
      <c r="K342" s="252">
        <f t="shared" si="215"/>
        <v>77.847062400000141</v>
      </c>
      <c r="L342" s="253">
        <f t="shared" si="216"/>
        <v>3.8053097345132715E-2</v>
      </c>
      <c r="V342" s="234">
        <v>15</v>
      </c>
      <c r="X342" s="234">
        <f t="shared" si="210"/>
        <v>15</v>
      </c>
    </row>
    <row r="343" spans="1:24">
      <c r="A343" s="234" t="s">
        <v>385</v>
      </c>
      <c r="B343" s="235">
        <f t="shared" si="211"/>
        <v>7.040432</v>
      </c>
      <c r="C343" s="235">
        <f t="shared" si="211"/>
        <v>0</v>
      </c>
      <c r="D343" s="234">
        <f t="shared" si="209"/>
        <v>7.040432</v>
      </c>
      <c r="E343" s="236">
        <v>1</v>
      </c>
      <c r="F343" s="237">
        <f>+F342</f>
        <v>11.3</v>
      </c>
      <c r="G343" s="248">
        <f t="shared" si="212"/>
        <v>954.68257920000019</v>
      </c>
      <c r="H343" s="250">
        <f t="shared" si="213"/>
        <v>11.73</v>
      </c>
      <c r="I343" s="276">
        <f t="shared" si="214"/>
        <v>991.01120831999992</v>
      </c>
      <c r="J343" s="251">
        <f t="shared" si="215"/>
        <v>0.42999999999999972</v>
      </c>
      <c r="K343" s="252">
        <f t="shared" si="215"/>
        <v>36.328629119999732</v>
      </c>
      <c r="L343" s="253">
        <f t="shared" si="216"/>
        <v>3.8053097345132715E-2</v>
      </c>
      <c r="V343" s="234">
        <v>7</v>
      </c>
      <c r="X343" s="234">
        <f t="shared" si="210"/>
        <v>7</v>
      </c>
    </row>
    <row r="344" spans="1:24">
      <c r="A344" s="234" t="s">
        <v>386</v>
      </c>
      <c r="B344" s="235">
        <f t="shared" si="211"/>
        <v>269.54796800000003</v>
      </c>
      <c r="C344" s="235">
        <f t="shared" si="211"/>
        <v>51.294575999999999</v>
      </c>
      <c r="D344" s="234">
        <f t="shared" si="209"/>
        <v>320.84254400000003</v>
      </c>
      <c r="E344" s="236">
        <v>1</v>
      </c>
      <c r="F344" s="237">
        <v>12.8</v>
      </c>
      <c r="G344" s="248">
        <f t="shared" si="212"/>
        <v>49281.414758400009</v>
      </c>
      <c r="H344" s="250">
        <f t="shared" si="213"/>
        <v>13.29</v>
      </c>
      <c r="I344" s="276">
        <f t="shared" si="214"/>
        <v>51167.968917120001</v>
      </c>
      <c r="J344" s="251">
        <f t="shared" si="215"/>
        <v>0.48999999999999844</v>
      </c>
      <c r="K344" s="252">
        <f t="shared" si="215"/>
        <v>1886.5541587199914</v>
      </c>
      <c r="L344" s="253">
        <f t="shared" si="216"/>
        <v>3.8281249999999878E-2</v>
      </c>
      <c r="V344" s="234">
        <v>268</v>
      </c>
      <c r="W344" s="234">
        <v>51</v>
      </c>
      <c r="X344" s="234">
        <f t="shared" si="210"/>
        <v>319</v>
      </c>
    </row>
    <row r="345" spans="1:24">
      <c r="A345" s="234" t="s">
        <v>387</v>
      </c>
      <c r="B345" s="235">
        <f t="shared" si="211"/>
        <v>40.23104</v>
      </c>
      <c r="C345" s="235">
        <f t="shared" si="211"/>
        <v>12.069312</v>
      </c>
      <c r="D345" s="234">
        <f t="shared" si="209"/>
        <v>52.300352000000004</v>
      </c>
      <c r="E345" s="236">
        <v>1</v>
      </c>
      <c r="F345" s="237">
        <f>+F344</f>
        <v>12.8</v>
      </c>
      <c r="G345" s="248">
        <f t="shared" si="212"/>
        <v>8033.3340672000013</v>
      </c>
      <c r="H345" s="250">
        <f t="shared" si="213"/>
        <v>13.29</v>
      </c>
      <c r="I345" s="276">
        <f t="shared" si="214"/>
        <v>8340.8601369600001</v>
      </c>
      <c r="J345" s="251">
        <f t="shared" si="215"/>
        <v>0.48999999999999844</v>
      </c>
      <c r="K345" s="252">
        <f t="shared" si="215"/>
        <v>307.52606975999879</v>
      </c>
      <c r="L345" s="253">
        <f t="shared" si="216"/>
        <v>3.8281249999999878E-2</v>
      </c>
      <c r="V345" s="234">
        <v>40</v>
      </c>
      <c r="W345" s="234">
        <v>12</v>
      </c>
      <c r="X345" s="234">
        <f t="shared" si="210"/>
        <v>52</v>
      </c>
    </row>
    <row r="346" spans="1:24">
      <c r="A346" s="234" t="s">
        <v>388</v>
      </c>
      <c r="B346" s="235">
        <f t="shared" si="211"/>
        <v>30.173279999999998</v>
      </c>
      <c r="C346" s="235">
        <f t="shared" si="211"/>
        <v>3.017328</v>
      </c>
      <c r="D346" s="234">
        <f t="shared" si="209"/>
        <v>33.190607999999997</v>
      </c>
      <c r="E346" s="236">
        <v>1</v>
      </c>
      <c r="F346" s="237">
        <f>+F345</f>
        <v>12.8</v>
      </c>
      <c r="G346" s="248">
        <f t="shared" si="212"/>
        <v>5098.0773888000003</v>
      </c>
      <c r="H346" s="250">
        <f t="shared" si="213"/>
        <v>13.29</v>
      </c>
      <c r="I346" s="276">
        <f t="shared" si="214"/>
        <v>5293.2381638399993</v>
      </c>
      <c r="J346" s="251">
        <f t="shared" si="215"/>
        <v>0.48999999999999844</v>
      </c>
      <c r="K346" s="252">
        <f t="shared" si="215"/>
        <v>195.16077503999895</v>
      </c>
      <c r="L346" s="253">
        <f t="shared" si="216"/>
        <v>3.8281249999999878E-2</v>
      </c>
      <c r="V346" s="234">
        <v>30</v>
      </c>
      <c r="W346" s="234">
        <v>3</v>
      </c>
      <c r="X346" s="234">
        <f t="shared" si="210"/>
        <v>33</v>
      </c>
    </row>
    <row r="347" spans="1:24">
      <c r="A347" s="234" t="s">
        <v>389</v>
      </c>
      <c r="B347" s="235">
        <f t="shared" si="211"/>
        <v>28.161728</v>
      </c>
      <c r="C347" s="235">
        <f t="shared" si="211"/>
        <v>1.005776</v>
      </c>
      <c r="D347" s="234">
        <f t="shared" si="209"/>
        <v>29.167504000000001</v>
      </c>
      <c r="E347" s="236">
        <v>1</v>
      </c>
      <c r="F347" s="237">
        <f>+F346</f>
        <v>12.8</v>
      </c>
      <c r="G347" s="248">
        <f t="shared" si="212"/>
        <v>4480.1286144000005</v>
      </c>
      <c r="H347" s="250">
        <f t="shared" si="213"/>
        <v>13.29</v>
      </c>
      <c r="I347" s="276">
        <f t="shared" si="214"/>
        <v>4651.63353792</v>
      </c>
      <c r="J347" s="251">
        <f t="shared" si="215"/>
        <v>0.48999999999999844</v>
      </c>
      <c r="K347" s="252">
        <f t="shared" si="215"/>
        <v>171.50492351999947</v>
      </c>
      <c r="L347" s="253">
        <f t="shared" si="216"/>
        <v>3.8281249999999878E-2</v>
      </c>
      <c r="V347" s="234">
        <v>28</v>
      </c>
      <c r="W347" s="234">
        <v>1</v>
      </c>
      <c r="X347" s="234">
        <f t="shared" si="210"/>
        <v>29</v>
      </c>
    </row>
    <row r="348" spans="1:24">
      <c r="A348" s="234" t="s">
        <v>390</v>
      </c>
      <c r="B348" s="235">
        <f t="shared" si="211"/>
        <v>20.11552</v>
      </c>
      <c r="C348" s="235">
        <f t="shared" si="211"/>
        <v>0</v>
      </c>
      <c r="D348" s="234">
        <f t="shared" si="209"/>
        <v>20.11552</v>
      </c>
      <c r="E348" s="236">
        <v>1</v>
      </c>
      <c r="F348" s="237">
        <f>+F347</f>
        <v>12.8</v>
      </c>
      <c r="G348" s="248">
        <f t="shared" si="212"/>
        <v>3089.743872</v>
      </c>
      <c r="H348" s="250">
        <f t="shared" si="213"/>
        <v>13.29</v>
      </c>
      <c r="I348" s="276">
        <f t="shared" si="214"/>
        <v>3208.0231295999993</v>
      </c>
      <c r="J348" s="251">
        <f t="shared" si="215"/>
        <v>0.48999999999999844</v>
      </c>
      <c r="K348" s="252">
        <f t="shared" si="215"/>
        <v>118.27925759999926</v>
      </c>
      <c r="L348" s="253">
        <f t="shared" si="216"/>
        <v>3.8281249999999878E-2</v>
      </c>
      <c r="V348" s="234">
        <v>20</v>
      </c>
      <c r="X348" s="234">
        <f t="shared" si="210"/>
        <v>20</v>
      </c>
    </row>
    <row r="349" spans="1:24">
      <c r="A349" s="234" t="s">
        <v>391</v>
      </c>
      <c r="B349" s="235">
        <f t="shared" si="211"/>
        <v>12.069312</v>
      </c>
      <c r="C349" s="235">
        <f t="shared" si="211"/>
        <v>0</v>
      </c>
      <c r="D349" s="234">
        <f t="shared" si="209"/>
        <v>12.069312</v>
      </c>
      <c r="E349" s="236">
        <v>1</v>
      </c>
      <c r="F349" s="237">
        <f>+F348</f>
        <v>12.8</v>
      </c>
      <c r="G349" s="248">
        <f t="shared" si="212"/>
        <v>1853.8463232000001</v>
      </c>
      <c r="H349" s="250">
        <f t="shared" si="213"/>
        <v>13.29</v>
      </c>
      <c r="I349" s="276">
        <f t="shared" si="214"/>
        <v>1924.81387776</v>
      </c>
      <c r="J349" s="251">
        <f t="shared" si="215"/>
        <v>0.48999999999999844</v>
      </c>
      <c r="K349" s="252">
        <f t="shared" si="215"/>
        <v>70.967554559999826</v>
      </c>
      <c r="L349" s="253">
        <f t="shared" si="216"/>
        <v>3.8281249999999878E-2</v>
      </c>
      <c r="V349" s="234">
        <v>12</v>
      </c>
      <c r="X349" s="234">
        <f t="shared" si="210"/>
        <v>12</v>
      </c>
    </row>
    <row r="350" spans="1:24">
      <c r="A350" s="234" t="s">
        <v>392</v>
      </c>
      <c r="B350" s="235">
        <f t="shared" si="211"/>
        <v>251.44399999999999</v>
      </c>
      <c r="C350" s="235">
        <f t="shared" si="211"/>
        <v>49.283023999999997</v>
      </c>
      <c r="D350" s="234">
        <f t="shared" si="209"/>
        <v>300.72702399999997</v>
      </c>
      <c r="E350" s="236">
        <v>1</v>
      </c>
      <c r="F350" s="237">
        <v>15.5</v>
      </c>
      <c r="G350" s="248">
        <f t="shared" si="212"/>
        <v>55935.226463999992</v>
      </c>
      <c r="H350" s="250">
        <f t="shared" si="213"/>
        <v>16.09</v>
      </c>
      <c r="I350" s="276">
        <f t="shared" si="214"/>
        <v>58064.373793919993</v>
      </c>
      <c r="J350" s="251">
        <f t="shared" si="215"/>
        <v>0.58999999999999986</v>
      </c>
      <c r="K350" s="252">
        <f t="shared" si="215"/>
        <v>2129.1473299200006</v>
      </c>
      <c r="L350" s="253">
        <f t="shared" si="216"/>
        <v>3.806451612903225E-2</v>
      </c>
      <c r="V350" s="234">
        <v>250</v>
      </c>
      <c r="W350" s="234">
        <v>49</v>
      </c>
      <c r="X350" s="234">
        <f t="shared" si="210"/>
        <v>299</v>
      </c>
    </row>
    <row r="351" spans="1:24">
      <c r="A351" s="234" t="s">
        <v>393</v>
      </c>
      <c r="B351" s="235">
        <f t="shared" si="211"/>
        <v>47.271472000000003</v>
      </c>
      <c r="C351" s="235">
        <f t="shared" si="211"/>
        <v>12.069312</v>
      </c>
      <c r="D351" s="234">
        <f t="shared" si="209"/>
        <v>59.340783999999999</v>
      </c>
      <c r="E351" s="236">
        <v>1</v>
      </c>
      <c r="F351" s="237">
        <f>+F350</f>
        <v>15.5</v>
      </c>
      <c r="G351" s="248">
        <f t="shared" si="212"/>
        <v>11037.385824000001</v>
      </c>
      <c r="H351" s="250">
        <f t="shared" si="213"/>
        <v>16.09</v>
      </c>
      <c r="I351" s="276">
        <f t="shared" si="214"/>
        <v>11457.518574720001</v>
      </c>
      <c r="J351" s="251">
        <f t="shared" si="215"/>
        <v>0.58999999999999986</v>
      </c>
      <c r="K351" s="252">
        <f t="shared" si="215"/>
        <v>420.13275072000033</v>
      </c>
      <c r="L351" s="253">
        <f t="shared" si="216"/>
        <v>3.806451612903225E-2</v>
      </c>
      <c r="V351" s="234">
        <v>47</v>
      </c>
      <c r="W351" s="234">
        <v>12</v>
      </c>
      <c r="X351" s="234">
        <f t="shared" si="210"/>
        <v>59</v>
      </c>
    </row>
    <row r="352" spans="1:24">
      <c r="A352" s="234" t="s">
        <v>394</v>
      </c>
      <c r="B352" s="235">
        <f t="shared" si="211"/>
        <v>24.138624</v>
      </c>
      <c r="C352" s="235">
        <f t="shared" si="211"/>
        <v>3.017328</v>
      </c>
      <c r="D352" s="234">
        <f t="shared" si="209"/>
        <v>27.155951999999999</v>
      </c>
      <c r="E352" s="236">
        <v>1</v>
      </c>
      <c r="F352" s="237">
        <f t="shared" ref="F352:F357" si="217">+F351</f>
        <v>15.5</v>
      </c>
      <c r="G352" s="248">
        <f t="shared" si="212"/>
        <v>5051.0070720000003</v>
      </c>
      <c r="H352" s="250">
        <f t="shared" si="213"/>
        <v>16.09</v>
      </c>
      <c r="I352" s="276">
        <f t="shared" si="214"/>
        <v>5243.2712121599998</v>
      </c>
      <c r="J352" s="251">
        <f t="shared" si="215"/>
        <v>0.58999999999999986</v>
      </c>
      <c r="K352" s="252">
        <f t="shared" si="215"/>
        <v>192.26414015999944</v>
      </c>
      <c r="L352" s="253">
        <f t="shared" si="216"/>
        <v>3.806451612903225E-2</v>
      </c>
      <c r="V352" s="234">
        <v>24</v>
      </c>
      <c r="W352" s="234">
        <v>3</v>
      </c>
      <c r="X352" s="234">
        <f t="shared" si="210"/>
        <v>27</v>
      </c>
    </row>
    <row r="353" spans="1:24">
      <c r="A353" s="234" t="s">
        <v>395</v>
      </c>
      <c r="B353" s="235">
        <f t="shared" si="211"/>
        <v>32.184832</v>
      </c>
      <c r="C353" s="235">
        <f t="shared" si="211"/>
        <v>0</v>
      </c>
      <c r="D353" s="234">
        <f t="shared" si="209"/>
        <v>32.184832</v>
      </c>
      <c r="E353" s="236">
        <v>1</v>
      </c>
      <c r="F353" s="237">
        <f t="shared" si="217"/>
        <v>15.5</v>
      </c>
      <c r="G353" s="248">
        <f>+F353*E353*D353*12</f>
        <v>5986.3787519999996</v>
      </c>
      <c r="H353" s="250">
        <f t="shared" si="213"/>
        <v>16.09</v>
      </c>
      <c r="I353" s="276">
        <f t="shared" si="214"/>
        <v>6214.2473625599996</v>
      </c>
      <c r="J353" s="251">
        <f t="shared" si="215"/>
        <v>0.58999999999999986</v>
      </c>
      <c r="K353" s="252">
        <f t="shared" si="215"/>
        <v>227.86861055999998</v>
      </c>
      <c r="L353" s="253">
        <f t="shared" si="216"/>
        <v>3.806451612903225E-2</v>
      </c>
      <c r="V353" s="234">
        <v>32</v>
      </c>
      <c r="X353" s="234">
        <f t="shared" si="210"/>
        <v>32</v>
      </c>
    </row>
    <row r="354" spans="1:24">
      <c r="A354" s="234" t="s">
        <v>396</v>
      </c>
      <c r="B354" s="235">
        <f t="shared" si="211"/>
        <v>35.202159999999999</v>
      </c>
      <c r="C354" s="235">
        <f t="shared" si="211"/>
        <v>0</v>
      </c>
      <c r="D354" s="234">
        <f t="shared" si="209"/>
        <v>35.202159999999999</v>
      </c>
      <c r="E354" s="236">
        <v>1</v>
      </c>
      <c r="F354" s="237">
        <f t="shared" si="217"/>
        <v>15.5</v>
      </c>
      <c r="G354" s="248">
        <f>+F354*E354*D354*12</f>
        <v>6547.6017599999996</v>
      </c>
      <c r="H354" s="250">
        <f t="shared" si="213"/>
        <v>16.09</v>
      </c>
      <c r="I354" s="276">
        <f t="shared" si="214"/>
        <v>6796.8330527999988</v>
      </c>
      <c r="J354" s="251">
        <f t="shared" si="215"/>
        <v>0.58999999999999986</v>
      </c>
      <c r="K354" s="252">
        <f t="shared" si="215"/>
        <v>249.23129279999921</v>
      </c>
      <c r="L354" s="253">
        <f t="shared" si="216"/>
        <v>3.806451612903225E-2</v>
      </c>
      <c r="V354" s="234">
        <v>35</v>
      </c>
      <c r="X354" s="234">
        <f t="shared" si="210"/>
        <v>35</v>
      </c>
    </row>
    <row r="355" spans="1:24">
      <c r="A355" s="234" t="s">
        <v>397</v>
      </c>
      <c r="B355" s="235">
        <f t="shared" si="211"/>
        <v>6.034656</v>
      </c>
      <c r="C355" s="235">
        <f t="shared" si="211"/>
        <v>0</v>
      </c>
      <c r="D355" s="234">
        <f t="shared" si="209"/>
        <v>6.034656</v>
      </c>
      <c r="E355" s="236">
        <v>1</v>
      </c>
      <c r="F355" s="237">
        <f t="shared" si="217"/>
        <v>15.5</v>
      </c>
      <c r="G355" s="248">
        <f>+F355*E355*D355*12</f>
        <v>1122.4460159999999</v>
      </c>
      <c r="H355" s="250">
        <f t="shared" si="213"/>
        <v>16.09</v>
      </c>
      <c r="I355" s="276">
        <f t="shared" si="214"/>
        <v>1165.1713804799999</v>
      </c>
      <c r="J355" s="251">
        <f t="shared" si="215"/>
        <v>0.58999999999999986</v>
      </c>
      <c r="K355" s="252">
        <f t="shared" si="215"/>
        <v>42.725364480000053</v>
      </c>
      <c r="L355" s="253">
        <f t="shared" si="216"/>
        <v>3.806451612903225E-2</v>
      </c>
      <c r="V355" s="234">
        <v>6</v>
      </c>
      <c r="X355" s="234">
        <f t="shared" si="210"/>
        <v>6</v>
      </c>
    </row>
    <row r="356" spans="1:24">
      <c r="A356" s="234" t="s">
        <v>398</v>
      </c>
      <c r="B356" s="235">
        <f t="shared" si="211"/>
        <v>14.080864</v>
      </c>
      <c r="C356" s="235">
        <f t="shared" si="211"/>
        <v>0</v>
      </c>
      <c r="D356" s="234">
        <f t="shared" si="209"/>
        <v>14.080864</v>
      </c>
      <c r="E356" s="236">
        <v>1</v>
      </c>
      <c r="F356" s="237">
        <f t="shared" si="217"/>
        <v>15.5</v>
      </c>
      <c r="G356" s="248">
        <f>+F356*E356*D356*12</f>
        <v>2619.040704</v>
      </c>
      <c r="H356" s="250">
        <f t="shared" si="213"/>
        <v>16.09</v>
      </c>
      <c r="I356" s="276">
        <f t="shared" si="214"/>
        <v>2718.7332211200001</v>
      </c>
      <c r="J356" s="251">
        <f t="shared" si="215"/>
        <v>0.58999999999999986</v>
      </c>
      <c r="K356" s="252">
        <f t="shared" si="215"/>
        <v>99.692517120000048</v>
      </c>
      <c r="L356" s="253">
        <f t="shared" si="216"/>
        <v>3.806451612903225E-2</v>
      </c>
      <c r="V356" s="234">
        <v>14</v>
      </c>
      <c r="X356" s="234">
        <f t="shared" si="210"/>
        <v>14</v>
      </c>
    </row>
    <row r="357" spans="1:24" ht="16.5">
      <c r="A357" s="234" t="s">
        <v>399</v>
      </c>
      <c r="B357" s="235">
        <f t="shared" si="211"/>
        <v>16.092416</v>
      </c>
      <c r="C357" s="235">
        <f t="shared" si="211"/>
        <v>0</v>
      </c>
      <c r="D357" s="234">
        <f t="shared" si="209"/>
        <v>16.092416</v>
      </c>
      <c r="E357" s="236">
        <v>1</v>
      </c>
      <c r="F357" s="237">
        <f t="shared" si="217"/>
        <v>15.5</v>
      </c>
      <c r="G357" s="257">
        <f>+F357*E357*D357*12</f>
        <v>2993.1893759999998</v>
      </c>
      <c r="H357" s="250">
        <f t="shared" si="213"/>
        <v>16.09</v>
      </c>
      <c r="I357" s="257">
        <f t="shared" si="214"/>
        <v>3107.1236812799998</v>
      </c>
      <c r="J357" s="251">
        <f t="shared" si="215"/>
        <v>0.58999999999999986</v>
      </c>
      <c r="K357" s="258">
        <f t="shared" si="215"/>
        <v>113.93430527999999</v>
      </c>
      <c r="L357" s="253">
        <f t="shared" si="216"/>
        <v>3.806451612903225E-2</v>
      </c>
      <c r="V357" s="234">
        <v>16</v>
      </c>
      <c r="X357" s="234">
        <f t="shared" si="210"/>
        <v>16</v>
      </c>
    </row>
    <row r="358" spans="1:24" ht="16.5">
      <c r="G358" s="238">
        <f>SUM(G315:G357)</f>
        <v>433003.46503680001</v>
      </c>
      <c r="H358" s="238"/>
      <c r="I358" s="238">
        <f>SUM(I315:I357)</f>
        <v>449486.76582144003</v>
      </c>
      <c r="J358" s="238"/>
      <c r="K358" s="238">
        <f>SUM(K315:K357)</f>
        <v>16483.300784639989</v>
      </c>
    </row>
    <row r="362" spans="1:24">
      <c r="A362" s="234" t="s">
        <v>400</v>
      </c>
      <c r="B362" s="235">
        <f t="shared" ref="B362:C367" si="218">+V362*(1-$C$312)</f>
        <v>1.005776</v>
      </c>
      <c r="C362" s="235">
        <f t="shared" si="218"/>
        <v>0</v>
      </c>
      <c r="D362" s="234">
        <f t="shared" ref="D362:D367" si="219">+C362+B362</f>
        <v>1.005776</v>
      </c>
      <c r="E362" s="236">
        <v>1</v>
      </c>
      <c r="F362" s="237">
        <v>1.3</v>
      </c>
      <c r="G362" s="248">
        <f t="shared" ref="G362:G367" si="220">+F362*E362*D362*12*20</f>
        <v>313.80211200000008</v>
      </c>
      <c r="H362" s="250">
        <f t="shared" ref="H362:H367" si="221">ROUND(F362*(1+$H$10),2)</f>
        <v>1.35</v>
      </c>
      <c r="I362" s="276">
        <f t="shared" ref="I362:I367" si="222">+H362*D362*E362*12*20</f>
        <v>325.87142400000005</v>
      </c>
      <c r="J362" s="251">
        <f t="shared" ref="J362:K367" si="223">+H362-F362</f>
        <v>5.0000000000000044E-2</v>
      </c>
      <c r="K362" s="252">
        <f t="shared" si="223"/>
        <v>12.069311999999968</v>
      </c>
      <c r="L362" s="253">
        <f t="shared" ref="L362:L367" si="224">J362/F362</f>
        <v>3.8461538461538491E-2</v>
      </c>
      <c r="V362" s="234">
        <v>1</v>
      </c>
      <c r="X362" s="234">
        <f t="shared" ref="X362:X367" si="225">+W362+V362</f>
        <v>1</v>
      </c>
    </row>
    <row r="363" spans="1:24">
      <c r="A363" s="234" t="s">
        <v>401</v>
      </c>
      <c r="B363" s="235">
        <f t="shared" si="218"/>
        <v>2.011552</v>
      </c>
      <c r="C363" s="235">
        <f t="shared" si="218"/>
        <v>1.005776</v>
      </c>
      <c r="D363" s="234">
        <f t="shared" si="219"/>
        <v>3.017328</v>
      </c>
      <c r="E363" s="236">
        <v>1</v>
      </c>
      <c r="F363" s="237">
        <f>+F362</f>
        <v>1.3</v>
      </c>
      <c r="G363" s="248">
        <f t="shared" si="220"/>
        <v>941.40633600000001</v>
      </c>
      <c r="H363" s="250">
        <f t="shared" si="221"/>
        <v>1.35</v>
      </c>
      <c r="I363" s="276">
        <f t="shared" si="222"/>
        <v>977.61427200000014</v>
      </c>
      <c r="J363" s="251">
        <f t="shared" si="223"/>
        <v>5.0000000000000044E-2</v>
      </c>
      <c r="K363" s="252">
        <f t="shared" si="223"/>
        <v>36.207936000000132</v>
      </c>
      <c r="L363" s="253">
        <f t="shared" si="224"/>
        <v>3.8461538461538491E-2</v>
      </c>
      <c r="V363" s="234">
        <v>2</v>
      </c>
      <c r="W363" s="234">
        <v>1</v>
      </c>
      <c r="X363" s="234">
        <f t="shared" si="225"/>
        <v>3</v>
      </c>
    </row>
    <row r="364" spans="1:24">
      <c r="A364" s="234" t="s">
        <v>402</v>
      </c>
      <c r="B364" s="235">
        <f t="shared" si="218"/>
        <v>3.017328</v>
      </c>
      <c r="C364" s="235">
        <f t="shared" si="218"/>
        <v>1.005776</v>
      </c>
      <c r="D364" s="234">
        <f t="shared" si="219"/>
        <v>4.023104</v>
      </c>
      <c r="E364" s="236">
        <v>1</v>
      </c>
      <c r="F364" s="237">
        <f>+F363</f>
        <v>1.3</v>
      </c>
      <c r="G364" s="248">
        <f t="shared" si="220"/>
        <v>1255.2084480000003</v>
      </c>
      <c r="H364" s="250">
        <f t="shared" si="221"/>
        <v>1.35</v>
      </c>
      <c r="I364" s="276">
        <f t="shared" si="222"/>
        <v>1303.4856960000002</v>
      </c>
      <c r="J364" s="251">
        <f t="shared" si="223"/>
        <v>5.0000000000000044E-2</v>
      </c>
      <c r="K364" s="252">
        <f t="shared" si="223"/>
        <v>48.277247999999872</v>
      </c>
      <c r="L364" s="253">
        <f t="shared" si="224"/>
        <v>3.8461538461538491E-2</v>
      </c>
      <c r="V364" s="234">
        <v>3</v>
      </c>
      <c r="W364" s="234">
        <v>1</v>
      </c>
      <c r="X364" s="234">
        <f t="shared" si="225"/>
        <v>4</v>
      </c>
    </row>
    <row r="365" spans="1:24">
      <c r="A365" s="234" t="s">
        <v>403</v>
      </c>
      <c r="B365" s="235">
        <f t="shared" si="218"/>
        <v>5.02888</v>
      </c>
      <c r="C365" s="235">
        <f t="shared" si="218"/>
        <v>2.011552</v>
      </c>
      <c r="D365" s="234">
        <f t="shared" si="219"/>
        <v>7.040432</v>
      </c>
      <c r="E365" s="236">
        <v>1</v>
      </c>
      <c r="F365" s="237">
        <v>1.4</v>
      </c>
      <c r="G365" s="248">
        <f t="shared" si="220"/>
        <v>2365.5851519999997</v>
      </c>
      <c r="H365" s="250">
        <f t="shared" si="221"/>
        <v>1.45</v>
      </c>
      <c r="I365" s="276">
        <f t="shared" si="222"/>
        <v>2450.0703359999998</v>
      </c>
      <c r="J365" s="251">
        <f t="shared" si="223"/>
        <v>5.0000000000000044E-2</v>
      </c>
      <c r="K365" s="252">
        <f t="shared" si="223"/>
        <v>84.485184000000118</v>
      </c>
      <c r="L365" s="253">
        <f t="shared" si="224"/>
        <v>3.5714285714285747E-2</v>
      </c>
      <c r="V365" s="234">
        <v>5</v>
      </c>
      <c r="W365" s="234">
        <v>2</v>
      </c>
      <c r="X365" s="234">
        <f t="shared" si="225"/>
        <v>7</v>
      </c>
    </row>
    <row r="366" spans="1:24">
      <c r="A366" s="234" t="s">
        <v>404</v>
      </c>
      <c r="B366" s="235">
        <f t="shared" si="218"/>
        <v>16.092416</v>
      </c>
      <c r="C366" s="235">
        <f t="shared" si="218"/>
        <v>5.02888</v>
      </c>
      <c r="D366" s="234">
        <f t="shared" si="219"/>
        <v>21.121296000000001</v>
      </c>
      <c r="E366" s="236">
        <v>1</v>
      </c>
      <c r="F366" s="237">
        <v>1.7</v>
      </c>
      <c r="G366" s="248">
        <f t="shared" si="220"/>
        <v>8617.4887680000011</v>
      </c>
      <c r="H366" s="250">
        <f t="shared" si="221"/>
        <v>1.76</v>
      </c>
      <c r="I366" s="276">
        <f t="shared" si="222"/>
        <v>8921.6354303999997</v>
      </c>
      <c r="J366" s="251">
        <f t="shared" si="223"/>
        <v>6.0000000000000053E-2</v>
      </c>
      <c r="K366" s="252">
        <f t="shared" si="223"/>
        <v>304.1466623999986</v>
      </c>
      <c r="L366" s="253">
        <f t="shared" si="224"/>
        <v>3.5294117647058858E-2</v>
      </c>
      <c r="V366" s="234">
        <v>16</v>
      </c>
      <c r="W366" s="234">
        <v>5</v>
      </c>
      <c r="X366" s="234">
        <f t="shared" si="225"/>
        <v>21</v>
      </c>
    </row>
    <row r="367" spans="1:24" ht="16.5">
      <c r="A367" s="234" t="s">
        <v>405</v>
      </c>
      <c r="B367" s="235">
        <f t="shared" si="218"/>
        <v>7.040432</v>
      </c>
      <c r="C367" s="235">
        <f t="shared" si="218"/>
        <v>17.098192000000001</v>
      </c>
      <c r="D367" s="234">
        <f t="shared" si="219"/>
        <v>24.138624</v>
      </c>
      <c r="E367" s="236">
        <v>1</v>
      </c>
      <c r="F367" s="237">
        <v>1.9</v>
      </c>
      <c r="G367" s="257">
        <f t="shared" si="220"/>
        <v>11007.212543999998</v>
      </c>
      <c r="H367" s="250">
        <f t="shared" si="221"/>
        <v>1.97</v>
      </c>
      <c r="I367" s="257">
        <f t="shared" si="222"/>
        <v>11412.741427200001</v>
      </c>
      <c r="J367" s="251">
        <f t="shared" si="223"/>
        <v>7.0000000000000062E-2</v>
      </c>
      <c r="K367" s="258">
        <f t="shared" si="223"/>
        <v>405.52888320000238</v>
      </c>
      <c r="L367" s="253">
        <f t="shared" si="224"/>
        <v>3.6842105263157926E-2</v>
      </c>
      <c r="V367" s="234">
        <v>7</v>
      </c>
      <c r="W367" s="234">
        <v>17</v>
      </c>
      <c r="X367" s="234">
        <f t="shared" si="225"/>
        <v>24</v>
      </c>
    </row>
    <row r="368" spans="1:24" ht="16.5">
      <c r="G368" s="238">
        <f>SUM(G362:G367)</f>
        <v>24500.70336</v>
      </c>
      <c r="H368" s="238"/>
      <c r="I368" s="238">
        <f>SUM(I362:I367)</f>
        <v>25391.4185856</v>
      </c>
      <c r="J368" s="238"/>
      <c r="K368" s="238">
        <f>SUM(K362:K367)</f>
        <v>890.71522560000108</v>
      </c>
    </row>
    <row r="369" spans="1:24">
      <c r="H369" s="248"/>
      <c r="I369" s="248"/>
      <c r="J369" s="248"/>
      <c r="K369" s="248"/>
    </row>
    <row r="370" spans="1:24" ht="16.5">
      <c r="G370" s="272">
        <f>+G368+G358</f>
        <v>457504.1683968</v>
      </c>
      <c r="H370" s="272"/>
      <c r="I370" s="272">
        <f>+I368+I358</f>
        <v>474878.18440704001</v>
      </c>
      <c r="J370" s="272"/>
      <c r="K370" s="272">
        <f>+K368+K358</f>
        <v>17374.01601023999</v>
      </c>
    </row>
    <row r="371" spans="1:24" ht="16.5">
      <c r="G371" s="238"/>
    </row>
    <row r="372" spans="1:24" ht="17.25">
      <c r="A372" s="192" t="s">
        <v>339</v>
      </c>
    </row>
    <row r="373" spans="1:24">
      <c r="A373" s="234" t="s">
        <v>357</v>
      </c>
      <c r="D373" s="235">
        <f t="shared" ref="D373:D399" si="226">+X373*(1-$C$312)</f>
        <v>33.190607999999997</v>
      </c>
      <c r="E373" s="236">
        <v>1</v>
      </c>
      <c r="F373" s="237">
        <f>+F315</f>
        <v>1.4</v>
      </c>
      <c r="G373" s="248">
        <f t="shared" ref="G373:G399" si="227">+F373*E373*D373*12</f>
        <v>557.60221439999987</v>
      </c>
      <c r="H373" s="250">
        <f>ROUND(F373*(1+$H$10),2)</f>
        <v>1.45</v>
      </c>
      <c r="I373" s="276">
        <f>+H373*D373*E373*12</f>
        <v>577.51657919999991</v>
      </c>
      <c r="J373" s="251">
        <f>+H373-F373</f>
        <v>5.0000000000000044E-2</v>
      </c>
      <c r="K373" s="252">
        <f>+I373-G373</f>
        <v>19.914364800000044</v>
      </c>
      <c r="L373" s="253">
        <f>J373/F373</f>
        <v>3.5714285714285747E-2</v>
      </c>
      <c r="X373" s="234">
        <v>33</v>
      </c>
    </row>
    <row r="374" spans="1:24">
      <c r="A374" s="234" t="s">
        <v>358</v>
      </c>
      <c r="D374" s="235">
        <f t="shared" si="226"/>
        <v>46.265695999999998</v>
      </c>
      <c r="E374" s="236">
        <v>1</v>
      </c>
      <c r="F374" s="237">
        <f>+F316</f>
        <v>1.7</v>
      </c>
      <c r="G374" s="248">
        <f t="shared" si="227"/>
        <v>943.82019839999998</v>
      </c>
      <c r="H374" s="250">
        <f t="shared" ref="H374:H399" si="228">ROUND(F374*(1+$H$10),2)</f>
        <v>1.76</v>
      </c>
      <c r="I374" s="276">
        <f t="shared" ref="I374:I399" si="229">+H374*D374*E374*12</f>
        <v>977.13149952000003</v>
      </c>
      <c r="J374" s="251">
        <f t="shared" ref="J374:K399" si="230">+H374-F374</f>
        <v>6.0000000000000053E-2</v>
      </c>
      <c r="K374" s="252">
        <f t="shared" si="230"/>
        <v>33.311301120000053</v>
      </c>
      <c r="L374" s="253">
        <f t="shared" ref="L374:L399" si="231">J374/F374</f>
        <v>3.5294117647058858E-2</v>
      </c>
      <c r="X374" s="234">
        <v>46</v>
      </c>
    </row>
    <row r="375" spans="1:24">
      <c r="A375" s="234" t="s">
        <v>359</v>
      </c>
      <c r="D375" s="235">
        <f t="shared" si="226"/>
        <v>61.352336000000001</v>
      </c>
      <c r="E375" s="236">
        <v>1</v>
      </c>
      <c r="F375" s="237">
        <f>+F317</f>
        <v>2</v>
      </c>
      <c r="G375" s="248">
        <f t="shared" si="227"/>
        <v>1472.456064</v>
      </c>
      <c r="H375" s="250">
        <f t="shared" si="228"/>
        <v>2.08</v>
      </c>
      <c r="I375" s="276">
        <f t="shared" si="229"/>
        <v>1531.3543065600002</v>
      </c>
      <c r="J375" s="251">
        <f t="shared" si="230"/>
        <v>8.0000000000000071E-2</v>
      </c>
      <c r="K375" s="252">
        <f t="shared" si="230"/>
        <v>58.898242560000199</v>
      </c>
      <c r="L375" s="253">
        <f t="shared" si="231"/>
        <v>4.0000000000000036E-2</v>
      </c>
      <c r="X375" s="234">
        <v>61</v>
      </c>
    </row>
    <row r="376" spans="1:24">
      <c r="A376" s="234" t="s">
        <v>360</v>
      </c>
      <c r="D376" s="235">
        <f t="shared" si="226"/>
        <v>15.086639999999999</v>
      </c>
      <c r="E376" s="236">
        <v>1</v>
      </c>
      <c r="F376" s="237">
        <f>+F375</f>
        <v>2</v>
      </c>
      <c r="G376" s="248">
        <f t="shared" si="227"/>
        <v>362.07935999999995</v>
      </c>
      <c r="H376" s="250">
        <f t="shared" si="228"/>
        <v>2.08</v>
      </c>
      <c r="I376" s="276">
        <f t="shared" si="229"/>
        <v>376.5625344</v>
      </c>
      <c r="J376" s="251">
        <f t="shared" si="230"/>
        <v>8.0000000000000071E-2</v>
      </c>
      <c r="K376" s="252">
        <f t="shared" si="230"/>
        <v>14.483174400000053</v>
      </c>
      <c r="L376" s="253">
        <f t="shared" si="231"/>
        <v>4.0000000000000036E-2</v>
      </c>
      <c r="X376" s="234">
        <v>15</v>
      </c>
    </row>
    <row r="377" spans="1:24">
      <c r="A377" s="234" t="s">
        <v>406</v>
      </c>
      <c r="D377" s="235">
        <f t="shared" si="226"/>
        <v>3.017328</v>
      </c>
      <c r="E377" s="236">
        <v>1</v>
      </c>
      <c r="F377" s="237">
        <f>+F376</f>
        <v>2</v>
      </c>
      <c r="G377" s="248">
        <f t="shared" si="227"/>
        <v>72.415872000000007</v>
      </c>
      <c r="H377" s="250">
        <f t="shared" si="228"/>
        <v>2.08</v>
      </c>
      <c r="I377" s="276">
        <f t="shared" si="229"/>
        <v>75.312506880000001</v>
      </c>
      <c r="J377" s="251">
        <f t="shared" si="230"/>
        <v>8.0000000000000071E-2</v>
      </c>
      <c r="K377" s="252">
        <f t="shared" si="230"/>
        <v>2.8966348799999935</v>
      </c>
      <c r="L377" s="253">
        <f t="shared" si="231"/>
        <v>4.0000000000000036E-2</v>
      </c>
      <c r="X377" s="234">
        <v>3</v>
      </c>
    </row>
    <row r="378" spans="1:24">
      <c r="A378" s="234" t="s">
        <v>407</v>
      </c>
      <c r="D378" s="235">
        <f t="shared" si="226"/>
        <v>4.023104</v>
      </c>
      <c r="E378" s="236">
        <v>1</v>
      </c>
      <c r="F378" s="237">
        <f>+F377</f>
        <v>2</v>
      </c>
      <c r="G378" s="248">
        <f t="shared" si="227"/>
        <v>96.554496</v>
      </c>
      <c r="H378" s="250">
        <f t="shared" si="228"/>
        <v>2.08</v>
      </c>
      <c r="I378" s="276">
        <f t="shared" si="229"/>
        <v>100.41667584000001</v>
      </c>
      <c r="J378" s="251">
        <f t="shared" si="230"/>
        <v>8.0000000000000071E-2</v>
      </c>
      <c r="K378" s="252">
        <f t="shared" si="230"/>
        <v>3.8621798400000102</v>
      </c>
      <c r="L378" s="253">
        <f t="shared" si="231"/>
        <v>4.0000000000000036E-2</v>
      </c>
      <c r="X378" s="234">
        <v>4</v>
      </c>
    </row>
    <row r="379" spans="1:24">
      <c r="A379" s="234" t="s">
        <v>361</v>
      </c>
      <c r="D379" s="235">
        <f t="shared" si="226"/>
        <v>80.46208</v>
      </c>
      <c r="E379" s="236">
        <v>1</v>
      </c>
      <c r="F379" s="237">
        <f>+F319</f>
        <v>7.1</v>
      </c>
      <c r="G379" s="248">
        <f t="shared" si="227"/>
        <v>6855.3692159999991</v>
      </c>
      <c r="H379" s="250">
        <f t="shared" si="228"/>
        <v>7.37</v>
      </c>
      <c r="I379" s="276">
        <f t="shared" si="229"/>
        <v>7116.0663552000005</v>
      </c>
      <c r="J379" s="251">
        <f t="shared" si="230"/>
        <v>0.27000000000000046</v>
      </c>
      <c r="K379" s="252">
        <f t="shared" si="230"/>
        <v>260.6971392000014</v>
      </c>
      <c r="L379" s="253">
        <f t="shared" si="231"/>
        <v>3.8028169014084574E-2</v>
      </c>
      <c r="X379" s="234">
        <v>80</v>
      </c>
    </row>
    <row r="380" spans="1:24">
      <c r="A380" s="234" t="s">
        <v>362</v>
      </c>
      <c r="D380" s="235">
        <f t="shared" si="226"/>
        <v>2.011552</v>
      </c>
      <c r="E380" s="236">
        <v>1</v>
      </c>
      <c r="F380" s="237">
        <f>+F379</f>
        <v>7.1</v>
      </c>
      <c r="G380" s="248">
        <f t="shared" si="227"/>
        <v>171.38423039999998</v>
      </c>
      <c r="H380" s="250">
        <f t="shared" si="228"/>
        <v>7.37</v>
      </c>
      <c r="I380" s="276">
        <f t="shared" si="229"/>
        <v>177.90165888000001</v>
      </c>
      <c r="J380" s="251">
        <f t="shared" si="230"/>
        <v>0.27000000000000046</v>
      </c>
      <c r="K380" s="252">
        <f t="shared" si="230"/>
        <v>6.5174284800000351</v>
      </c>
      <c r="L380" s="253">
        <f t="shared" si="231"/>
        <v>3.8028169014084574E-2</v>
      </c>
      <c r="X380" s="234">
        <v>2</v>
      </c>
    </row>
    <row r="381" spans="1:24">
      <c r="A381" s="282" t="s">
        <v>363</v>
      </c>
      <c r="D381" s="235">
        <f t="shared" si="226"/>
        <v>2.011552</v>
      </c>
      <c r="E381" s="236">
        <v>1</v>
      </c>
      <c r="F381" s="237">
        <f>+F380</f>
        <v>7.1</v>
      </c>
      <c r="G381" s="248">
        <f t="shared" si="227"/>
        <v>171.38423039999998</v>
      </c>
      <c r="H381" s="250">
        <f t="shared" si="228"/>
        <v>7.37</v>
      </c>
      <c r="I381" s="276">
        <f t="shared" si="229"/>
        <v>177.90165888000001</v>
      </c>
      <c r="J381" s="251">
        <f t="shared" si="230"/>
        <v>0.27000000000000046</v>
      </c>
      <c r="K381" s="252">
        <f t="shared" si="230"/>
        <v>6.5174284800000351</v>
      </c>
      <c r="L381" s="253">
        <f t="shared" si="231"/>
        <v>3.8028169014084574E-2</v>
      </c>
      <c r="X381" s="234">
        <v>2</v>
      </c>
    </row>
    <row r="382" spans="1:24">
      <c r="A382" s="234" t="s">
        <v>364</v>
      </c>
      <c r="D382" s="235">
        <f t="shared" si="226"/>
        <v>30.173279999999998</v>
      </c>
      <c r="E382" s="236">
        <v>1</v>
      </c>
      <c r="F382" s="237">
        <f>+F322</f>
        <v>7.7</v>
      </c>
      <c r="G382" s="248">
        <f t="shared" si="227"/>
        <v>2788.0110719999998</v>
      </c>
      <c r="H382" s="250">
        <f t="shared" si="228"/>
        <v>7.99</v>
      </c>
      <c r="I382" s="276">
        <f t="shared" si="229"/>
        <v>2893.0140864</v>
      </c>
      <c r="J382" s="251">
        <f t="shared" si="230"/>
        <v>0.29000000000000004</v>
      </c>
      <c r="K382" s="252">
        <f t="shared" si="230"/>
        <v>105.00301440000021</v>
      </c>
      <c r="L382" s="253">
        <f t="shared" si="231"/>
        <v>3.7662337662337668E-2</v>
      </c>
      <c r="X382" s="234">
        <v>30</v>
      </c>
    </row>
    <row r="383" spans="1:24">
      <c r="A383" s="234" t="s">
        <v>368</v>
      </c>
      <c r="D383" s="235">
        <f t="shared" si="226"/>
        <v>80.46208</v>
      </c>
      <c r="E383" s="236">
        <v>1</v>
      </c>
      <c r="F383" s="237">
        <f>+F326</f>
        <v>7.9</v>
      </c>
      <c r="G383" s="248">
        <f t="shared" si="227"/>
        <v>7627.8051840000007</v>
      </c>
      <c r="H383" s="250">
        <f t="shared" si="228"/>
        <v>8.1999999999999993</v>
      </c>
      <c r="I383" s="276">
        <f t="shared" si="229"/>
        <v>7917.4686719999991</v>
      </c>
      <c r="J383" s="251">
        <f t="shared" si="230"/>
        <v>0.29999999999999893</v>
      </c>
      <c r="K383" s="252">
        <f t="shared" si="230"/>
        <v>289.66348799999832</v>
      </c>
      <c r="L383" s="253">
        <f t="shared" si="231"/>
        <v>3.797468354430366E-2</v>
      </c>
      <c r="X383" s="234">
        <v>80</v>
      </c>
    </row>
    <row r="384" spans="1:24">
      <c r="A384" s="234" t="s">
        <v>370</v>
      </c>
      <c r="D384" s="235">
        <f t="shared" si="226"/>
        <v>3.017328</v>
      </c>
      <c r="E384" s="236">
        <v>1</v>
      </c>
      <c r="F384" s="237">
        <f>+F383</f>
        <v>7.9</v>
      </c>
      <c r="G384" s="248">
        <f t="shared" si="227"/>
        <v>286.04269440000002</v>
      </c>
      <c r="H384" s="250">
        <f t="shared" si="228"/>
        <v>8.1999999999999993</v>
      </c>
      <c r="I384" s="276">
        <f t="shared" si="229"/>
        <v>296.90507519999994</v>
      </c>
      <c r="J384" s="251">
        <f t="shared" si="230"/>
        <v>0.29999999999999893</v>
      </c>
      <c r="K384" s="252">
        <f t="shared" si="230"/>
        <v>10.862380799999926</v>
      </c>
      <c r="L384" s="253">
        <f t="shared" si="231"/>
        <v>3.797468354430366E-2</v>
      </c>
      <c r="X384" s="234">
        <v>3</v>
      </c>
    </row>
    <row r="385" spans="1:24">
      <c r="A385" s="234" t="s">
        <v>374</v>
      </c>
      <c r="D385" s="235">
        <f t="shared" si="226"/>
        <v>63.363888000000003</v>
      </c>
      <c r="E385" s="236">
        <v>1</v>
      </c>
      <c r="F385" s="237">
        <f>+F332</f>
        <v>10.1</v>
      </c>
      <c r="G385" s="248">
        <f t="shared" si="227"/>
        <v>7679.7032256000002</v>
      </c>
      <c r="H385" s="250">
        <f t="shared" si="228"/>
        <v>10.49</v>
      </c>
      <c r="I385" s="276">
        <f t="shared" si="229"/>
        <v>7976.2462214400011</v>
      </c>
      <c r="J385" s="251">
        <f t="shared" si="230"/>
        <v>0.39000000000000057</v>
      </c>
      <c r="K385" s="252">
        <f t="shared" si="230"/>
        <v>296.54299584000091</v>
      </c>
      <c r="L385" s="253">
        <f t="shared" si="231"/>
        <v>3.8613861386138669E-2</v>
      </c>
      <c r="X385" s="234">
        <v>63</v>
      </c>
    </row>
    <row r="386" spans="1:24">
      <c r="A386" s="234" t="s">
        <v>375</v>
      </c>
      <c r="D386" s="235">
        <f t="shared" si="226"/>
        <v>4.023104</v>
      </c>
      <c r="E386" s="236">
        <v>1</v>
      </c>
      <c r="F386" s="237">
        <f>+F385</f>
        <v>10.1</v>
      </c>
      <c r="G386" s="248">
        <f t="shared" si="227"/>
        <v>487.60020479999997</v>
      </c>
      <c r="H386" s="250">
        <f t="shared" si="228"/>
        <v>10.49</v>
      </c>
      <c r="I386" s="276">
        <f t="shared" si="229"/>
        <v>506.42833152000003</v>
      </c>
      <c r="J386" s="251">
        <f t="shared" si="230"/>
        <v>0.39000000000000057</v>
      </c>
      <c r="K386" s="252">
        <f t="shared" si="230"/>
        <v>18.828126720000057</v>
      </c>
      <c r="L386" s="253">
        <f t="shared" si="231"/>
        <v>3.8613861386138669E-2</v>
      </c>
      <c r="X386" s="234">
        <v>4</v>
      </c>
    </row>
    <row r="387" spans="1:24">
      <c r="A387" s="234" t="s">
        <v>408</v>
      </c>
      <c r="D387" s="235">
        <f t="shared" si="226"/>
        <v>5.02888</v>
      </c>
      <c r="E387" s="236">
        <v>1</v>
      </c>
      <c r="F387" s="237">
        <f>+F386</f>
        <v>10.1</v>
      </c>
      <c r="G387" s="248">
        <f t="shared" si="227"/>
        <v>609.50025600000004</v>
      </c>
      <c r="H387" s="250">
        <f t="shared" si="228"/>
        <v>10.49</v>
      </c>
      <c r="I387" s="276">
        <f t="shared" si="229"/>
        <v>633.03541440000004</v>
      </c>
      <c r="J387" s="251">
        <f t="shared" si="230"/>
        <v>0.39000000000000057</v>
      </c>
      <c r="K387" s="252">
        <f t="shared" si="230"/>
        <v>23.5351584</v>
      </c>
      <c r="L387" s="253">
        <f t="shared" si="231"/>
        <v>3.8613861386138669E-2</v>
      </c>
      <c r="X387" s="234">
        <v>5</v>
      </c>
    </row>
    <row r="388" spans="1:24">
      <c r="A388" s="234" t="s">
        <v>380</v>
      </c>
      <c r="D388" s="235">
        <f t="shared" si="226"/>
        <v>98.566047999999995</v>
      </c>
      <c r="E388" s="236">
        <v>1</v>
      </c>
      <c r="F388" s="237">
        <f>+F338</f>
        <v>11.3</v>
      </c>
      <c r="G388" s="248">
        <f t="shared" si="227"/>
        <v>13365.556108799999</v>
      </c>
      <c r="H388" s="250">
        <f t="shared" si="228"/>
        <v>11.73</v>
      </c>
      <c r="I388" s="276">
        <f t="shared" si="229"/>
        <v>13874.156916479998</v>
      </c>
      <c r="J388" s="251">
        <f t="shared" si="230"/>
        <v>0.42999999999999972</v>
      </c>
      <c r="K388" s="252">
        <f t="shared" si="230"/>
        <v>508.60080767999898</v>
      </c>
      <c r="L388" s="253">
        <f t="shared" si="231"/>
        <v>3.8053097345132715E-2</v>
      </c>
      <c r="X388" s="234">
        <v>98</v>
      </c>
    </row>
    <row r="389" spans="1:24">
      <c r="A389" s="234" t="s">
        <v>381</v>
      </c>
      <c r="D389" s="235">
        <f t="shared" si="226"/>
        <v>4.023104</v>
      </c>
      <c r="E389" s="236">
        <v>1</v>
      </c>
      <c r="F389" s="237">
        <f>+F388</f>
        <v>11.3</v>
      </c>
      <c r="G389" s="248">
        <f t="shared" si="227"/>
        <v>545.53290240000001</v>
      </c>
      <c r="H389" s="250">
        <f t="shared" si="228"/>
        <v>11.73</v>
      </c>
      <c r="I389" s="276">
        <f t="shared" si="229"/>
        <v>566.29211903999999</v>
      </c>
      <c r="J389" s="251">
        <f t="shared" si="230"/>
        <v>0.42999999999999972</v>
      </c>
      <c r="K389" s="252">
        <f t="shared" si="230"/>
        <v>20.759216639999977</v>
      </c>
      <c r="L389" s="253">
        <f t="shared" si="231"/>
        <v>3.8053097345132715E-2</v>
      </c>
      <c r="X389" s="234">
        <v>4</v>
      </c>
    </row>
    <row r="390" spans="1:24">
      <c r="A390" s="234" t="s">
        <v>382</v>
      </c>
      <c r="D390" s="235">
        <f t="shared" si="226"/>
        <v>6.034656</v>
      </c>
      <c r="E390" s="236">
        <v>1</v>
      </c>
      <c r="F390" s="237">
        <f>+F389</f>
        <v>11.3</v>
      </c>
      <c r="G390" s="248">
        <f t="shared" si="227"/>
        <v>818.29935360000002</v>
      </c>
      <c r="H390" s="250">
        <f t="shared" si="228"/>
        <v>11.73</v>
      </c>
      <c r="I390" s="276">
        <f t="shared" si="229"/>
        <v>849.43817855999998</v>
      </c>
      <c r="J390" s="251">
        <f t="shared" si="230"/>
        <v>0.42999999999999972</v>
      </c>
      <c r="K390" s="252">
        <f t="shared" si="230"/>
        <v>31.138824959999965</v>
      </c>
      <c r="L390" s="253">
        <f t="shared" si="231"/>
        <v>3.8053097345132715E-2</v>
      </c>
      <c r="X390" s="234">
        <v>6</v>
      </c>
    </row>
    <row r="391" spans="1:24">
      <c r="A391" s="234" t="s">
        <v>383</v>
      </c>
      <c r="D391" s="235">
        <f t="shared" si="226"/>
        <v>8.046208</v>
      </c>
      <c r="E391" s="236">
        <v>1</v>
      </c>
      <c r="F391" s="237">
        <f>+F390</f>
        <v>11.3</v>
      </c>
      <c r="G391" s="248">
        <f t="shared" si="227"/>
        <v>1091.0658048</v>
      </c>
      <c r="H391" s="250">
        <f t="shared" si="228"/>
        <v>11.73</v>
      </c>
      <c r="I391" s="276">
        <f t="shared" si="229"/>
        <v>1132.58423808</v>
      </c>
      <c r="J391" s="251">
        <f t="shared" si="230"/>
        <v>0.42999999999999972</v>
      </c>
      <c r="K391" s="252">
        <f t="shared" si="230"/>
        <v>41.518433279999954</v>
      </c>
      <c r="L391" s="253">
        <f t="shared" si="231"/>
        <v>3.8053097345132715E-2</v>
      </c>
      <c r="X391" s="234">
        <v>8</v>
      </c>
    </row>
    <row r="392" spans="1:24">
      <c r="A392" s="234" t="s">
        <v>385</v>
      </c>
      <c r="D392" s="235">
        <f t="shared" si="226"/>
        <v>7.040432</v>
      </c>
      <c r="E392" s="236">
        <v>1</v>
      </c>
      <c r="F392" s="237">
        <f>+F391</f>
        <v>11.3</v>
      </c>
      <c r="G392" s="248">
        <f t="shared" si="227"/>
        <v>954.68257920000019</v>
      </c>
      <c r="H392" s="250">
        <f t="shared" si="228"/>
        <v>11.73</v>
      </c>
      <c r="I392" s="276">
        <f t="shared" si="229"/>
        <v>991.01120831999992</v>
      </c>
      <c r="J392" s="251">
        <f t="shared" si="230"/>
        <v>0.42999999999999972</v>
      </c>
      <c r="K392" s="252">
        <f t="shared" si="230"/>
        <v>36.328629119999732</v>
      </c>
      <c r="L392" s="253">
        <f t="shared" si="231"/>
        <v>3.8053097345132715E-2</v>
      </c>
      <c r="X392" s="234">
        <v>7</v>
      </c>
    </row>
    <row r="393" spans="1:24">
      <c r="A393" s="234" t="s">
        <v>386</v>
      </c>
      <c r="D393" s="235">
        <f t="shared" si="226"/>
        <v>68.392768000000004</v>
      </c>
      <c r="E393" s="236">
        <v>1</v>
      </c>
      <c r="F393" s="237">
        <f>+F344</f>
        <v>12.8</v>
      </c>
      <c r="G393" s="248">
        <f t="shared" si="227"/>
        <v>10505.129164800001</v>
      </c>
      <c r="H393" s="250">
        <f t="shared" si="228"/>
        <v>13.29</v>
      </c>
      <c r="I393" s="276">
        <f t="shared" si="229"/>
        <v>10907.278640640001</v>
      </c>
      <c r="J393" s="251">
        <f t="shared" si="230"/>
        <v>0.48999999999999844</v>
      </c>
      <c r="K393" s="252">
        <f t="shared" si="230"/>
        <v>402.14947584000038</v>
      </c>
      <c r="L393" s="253">
        <f t="shared" si="231"/>
        <v>3.8281249999999878E-2</v>
      </c>
      <c r="X393" s="234">
        <v>68</v>
      </c>
    </row>
    <row r="394" spans="1:24">
      <c r="A394" s="234" t="s">
        <v>387</v>
      </c>
      <c r="D394" s="235">
        <f t="shared" si="226"/>
        <v>2.011552</v>
      </c>
      <c r="E394" s="236">
        <v>1</v>
      </c>
      <c r="F394" s="237">
        <f>+F393</f>
        <v>12.8</v>
      </c>
      <c r="G394" s="248">
        <f t="shared" si="227"/>
        <v>308.97438720000002</v>
      </c>
      <c r="H394" s="250">
        <f t="shared" si="228"/>
        <v>13.29</v>
      </c>
      <c r="I394" s="276">
        <f t="shared" si="229"/>
        <v>320.80231295999999</v>
      </c>
      <c r="J394" s="251">
        <f t="shared" si="230"/>
        <v>0.48999999999999844</v>
      </c>
      <c r="K394" s="252">
        <f t="shared" si="230"/>
        <v>11.827925759999971</v>
      </c>
      <c r="L394" s="253">
        <f t="shared" si="231"/>
        <v>3.8281249999999878E-2</v>
      </c>
      <c r="X394" s="234">
        <v>2</v>
      </c>
    </row>
    <row r="395" spans="1:24">
      <c r="A395" s="234" t="s">
        <v>388</v>
      </c>
      <c r="D395" s="235">
        <f t="shared" si="226"/>
        <v>6.034656</v>
      </c>
      <c r="E395" s="236">
        <v>1</v>
      </c>
      <c r="F395" s="237">
        <f>+F394</f>
        <v>12.8</v>
      </c>
      <c r="G395" s="248">
        <f t="shared" si="227"/>
        <v>926.92316160000007</v>
      </c>
      <c r="H395" s="250">
        <f t="shared" si="228"/>
        <v>13.29</v>
      </c>
      <c r="I395" s="276">
        <f t="shared" si="229"/>
        <v>962.40693887999998</v>
      </c>
      <c r="J395" s="251">
        <f t="shared" si="230"/>
        <v>0.48999999999999844</v>
      </c>
      <c r="K395" s="252">
        <f t="shared" si="230"/>
        <v>35.483777279999913</v>
      </c>
      <c r="L395" s="253">
        <f t="shared" si="231"/>
        <v>3.8281249999999878E-2</v>
      </c>
      <c r="X395" s="234">
        <v>6</v>
      </c>
    </row>
    <row r="396" spans="1:24">
      <c r="A396" s="234" t="s">
        <v>389</v>
      </c>
      <c r="D396" s="235">
        <f t="shared" si="226"/>
        <v>4.023104</v>
      </c>
      <c r="E396" s="236">
        <v>1</v>
      </c>
      <c r="F396" s="237">
        <f>+F395</f>
        <v>12.8</v>
      </c>
      <c r="G396" s="248">
        <f t="shared" si="227"/>
        <v>617.94877440000005</v>
      </c>
      <c r="H396" s="250">
        <f t="shared" si="228"/>
        <v>13.29</v>
      </c>
      <c r="I396" s="276">
        <f t="shared" si="229"/>
        <v>641.60462591999999</v>
      </c>
      <c r="J396" s="251">
        <f t="shared" si="230"/>
        <v>0.48999999999999844</v>
      </c>
      <c r="K396" s="252">
        <f t="shared" si="230"/>
        <v>23.655851519999942</v>
      </c>
      <c r="L396" s="253">
        <f t="shared" si="231"/>
        <v>3.8281249999999878E-2</v>
      </c>
      <c r="X396" s="234">
        <v>4</v>
      </c>
    </row>
    <row r="397" spans="1:24">
      <c r="A397" s="234" t="s">
        <v>392</v>
      </c>
      <c r="D397" s="235">
        <f t="shared" si="226"/>
        <v>78.450528000000006</v>
      </c>
      <c r="E397" s="236">
        <v>1</v>
      </c>
      <c r="F397" s="237">
        <f>+F350</f>
        <v>15.5</v>
      </c>
      <c r="G397" s="248">
        <f t="shared" si="227"/>
        <v>14591.798208000002</v>
      </c>
      <c r="H397" s="250">
        <f t="shared" si="228"/>
        <v>16.09</v>
      </c>
      <c r="I397" s="276">
        <f t="shared" si="229"/>
        <v>15147.22794624</v>
      </c>
      <c r="J397" s="251">
        <f t="shared" si="230"/>
        <v>0.58999999999999986</v>
      </c>
      <c r="K397" s="252">
        <f t="shared" si="230"/>
        <v>555.42973823999819</v>
      </c>
      <c r="L397" s="253">
        <f t="shared" si="231"/>
        <v>3.806451612903225E-2</v>
      </c>
      <c r="X397" s="234">
        <v>78</v>
      </c>
    </row>
    <row r="398" spans="1:24">
      <c r="A398" s="234" t="s">
        <v>393</v>
      </c>
      <c r="D398" s="235">
        <f t="shared" si="226"/>
        <v>10.05776</v>
      </c>
      <c r="E398" s="236">
        <v>1</v>
      </c>
      <c r="F398" s="237">
        <f>+F397</f>
        <v>15.5</v>
      </c>
      <c r="G398" s="248">
        <f t="shared" si="227"/>
        <v>1870.7433600000002</v>
      </c>
      <c r="H398" s="250">
        <f t="shared" si="228"/>
        <v>16.09</v>
      </c>
      <c r="I398" s="276">
        <f t="shared" si="229"/>
        <v>1941.9523007999999</v>
      </c>
      <c r="J398" s="251">
        <f t="shared" si="230"/>
        <v>0.58999999999999986</v>
      </c>
      <c r="K398" s="252">
        <f t="shared" si="230"/>
        <v>71.208940799999709</v>
      </c>
      <c r="L398" s="253">
        <f t="shared" si="231"/>
        <v>3.806451612903225E-2</v>
      </c>
      <c r="X398" s="234">
        <v>10</v>
      </c>
    </row>
    <row r="399" spans="1:24" ht="16.5">
      <c r="A399" s="234" t="s">
        <v>395</v>
      </c>
      <c r="D399" s="235">
        <f t="shared" si="226"/>
        <v>4.023104</v>
      </c>
      <c r="E399" s="236">
        <v>1</v>
      </c>
      <c r="F399" s="237">
        <f>+F398</f>
        <v>15.5</v>
      </c>
      <c r="G399" s="257">
        <f t="shared" si="227"/>
        <v>748.29734399999995</v>
      </c>
      <c r="H399" s="250">
        <f t="shared" si="228"/>
        <v>16.09</v>
      </c>
      <c r="I399" s="257">
        <f t="shared" si="229"/>
        <v>776.78092031999995</v>
      </c>
      <c r="J399" s="251">
        <f t="shared" si="230"/>
        <v>0.58999999999999986</v>
      </c>
      <c r="K399" s="258">
        <f t="shared" si="230"/>
        <v>28.483576319999997</v>
      </c>
      <c r="L399" s="253">
        <f t="shared" si="231"/>
        <v>3.806451612903225E-2</v>
      </c>
      <c r="X399" s="234">
        <v>4</v>
      </c>
    </row>
    <row r="400" spans="1:24" ht="16.5">
      <c r="G400" s="238">
        <f>SUM(G373:G399)</f>
        <v>76526.67966720002</v>
      </c>
      <c r="H400" s="238"/>
      <c r="I400" s="238">
        <f>SUM(I373:I399)</f>
        <v>79444.797922559999</v>
      </c>
      <c r="J400" s="238"/>
      <c r="K400" s="238">
        <f>SUM(K373:K399)</f>
        <v>2918.1182553599983</v>
      </c>
    </row>
    <row r="403" spans="1:24">
      <c r="A403" s="234" t="s">
        <v>401</v>
      </c>
      <c r="D403" s="235">
        <f>+X403*(1-$C$312)</f>
        <v>1.005776</v>
      </c>
      <c r="E403" s="236">
        <v>1</v>
      </c>
      <c r="F403" s="237">
        <f>+F363</f>
        <v>1.3</v>
      </c>
      <c r="G403" s="248">
        <f>+F403*E403*D403*12*20</f>
        <v>313.80211200000008</v>
      </c>
      <c r="H403" s="250">
        <f>ROUND(F403*(1+$H$10),2)</f>
        <v>1.35</v>
      </c>
      <c r="I403" s="276">
        <f>+H403*D403*E403*12*20</f>
        <v>325.87142400000005</v>
      </c>
      <c r="J403" s="251">
        <f t="shared" ref="J403:K405" si="232">+H403-F403</f>
        <v>5.0000000000000044E-2</v>
      </c>
      <c r="K403" s="252">
        <f t="shared" si="232"/>
        <v>12.069311999999968</v>
      </c>
      <c r="L403" s="253">
        <f>J403/F403</f>
        <v>3.8461538461538491E-2</v>
      </c>
      <c r="X403" s="234">
        <v>1</v>
      </c>
    </row>
    <row r="404" spans="1:24">
      <c r="A404" s="234" t="s">
        <v>403</v>
      </c>
      <c r="D404" s="235">
        <f>+X404*(1-$C$312)</f>
        <v>6.034656</v>
      </c>
      <c r="E404" s="236">
        <v>1</v>
      </c>
      <c r="F404" s="237">
        <f>+F365</f>
        <v>1.4</v>
      </c>
      <c r="G404" s="248">
        <f>+F404*E404*D404*12*20</f>
        <v>2027.6444160000001</v>
      </c>
      <c r="H404" s="250">
        <f>ROUND(F404*(1+$H$10),2)</f>
        <v>1.45</v>
      </c>
      <c r="I404" s="276">
        <f>+H404*D404*E404*12*20</f>
        <v>2100.0602879999997</v>
      </c>
      <c r="J404" s="251">
        <f t="shared" si="232"/>
        <v>5.0000000000000044E-2</v>
      </c>
      <c r="K404" s="252">
        <f t="shared" si="232"/>
        <v>72.415871999999581</v>
      </c>
      <c r="L404" s="253">
        <f>J404/F404</f>
        <v>3.5714285714285747E-2</v>
      </c>
      <c r="X404" s="234">
        <v>6</v>
      </c>
    </row>
    <row r="405" spans="1:24" ht="16.5">
      <c r="A405" s="234" t="s">
        <v>404</v>
      </c>
      <c r="D405" s="235">
        <f>+X405*(1-$C$312)</f>
        <v>12.069312</v>
      </c>
      <c r="E405" s="236">
        <v>1</v>
      </c>
      <c r="F405" s="237">
        <f>+F366</f>
        <v>1.7</v>
      </c>
      <c r="G405" s="257">
        <f>+F405*E405*D405*12*20</f>
        <v>4924.2792960000006</v>
      </c>
      <c r="H405" s="250">
        <f>ROUND(F405*(1+$H$10),2)</f>
        <v>1.76</v>
      </c>
      <c r="I405" s="257">
        <f>+H405*D405*E405*12*20</f>
        <v>5098.0773888000003</v>
      </c>
      <c r="J405" s="251">
        <f t="shared" si="232"/>
        <v>6.0000000000000053E-2</v>
      </c>
      <c r="K405" s="258">
        <f t="shared" si="232"/>
        <v>173.79809279999972</v>
      </c>
      <c r="L405" s="253">
        <f>J405/F405</f>
        <v>3.5294117647058858E-2</v>
      </c>
      <c r="X405" s="234">
        <v>12</v>
      </c>
    </row>
    <row r="406" spans="1:24" ht="16.5">
      <c r="G406" s="238">
        <f>SUM(G403:G405)</f>
        <v>7265.725824000001</v>
      </c>
      <c r="H406" s="238"/>
      <c r="I406" s="238">
        <f>SUM(I403:I405)</f>
        <v>7524.0091007999999</v>
      </c>
      <c r="J406" s="238"/>
      <c r="K406" s="238">
        <f>SUM(K403:K405)</f>
        <v>258.28327679999927</v>
      </c>
    </row>
    <row r="407" spans="1:24">
      <c r="H407" s="248"/>
      <c r="I407" s="248"/>
      <c r="J407" s="248"/>
      <c r="K407" s="248"/>
    </row>
    <row r="408" spans="1:24" ht="16.5">
      <c r="G408" s="272">
        <f>+G406+G400</f>
        <v>83792.405491200014</v>
      </c>
      <c r="H408" s="272"/>
      <c r="I408" s="272">
        <f>+I406+I400</f>
        <v>86968.807023360001</v>
      </c>
      <c r="J408" s="272"/>
      <c r="K408" s="272">
        <f>+K406+K400</f>
        <v>3176.4015321599977</v>
      </c>
    </row>
    <row r="409" spans="1:24">
      <c r="H409" s="248"/>
      <c r="I409" s="248"/>
      <c r="J409" s="248"/>
      <c r="K409" s="248"/>
    </row>
    <row r="410" spans="1:24" ht="16.5">
      <c r="G410" s="272">
        <f>+G408+G370</f>
        <v>541296.57388799998</v>
      </c>
      <c r="H410" s="272"/>
      <c r="I410" s="272">
        <f>+I408+I370</f>
        <v>561846.99143040006</v>
      </c>
      <c r="J410" s="272"/>
      <c r="K410" s="272">
        <f>+K408+K370</f>
        <v>20550.417542399988</v>
      </c>
    </row>
    <row r="412" spans="1:24" ht="16.5">
      <c r="A412" s="278" t="s">
        <v>356</v>
      </c>
      <c r="E412" s="237"/>
      <c r="F412" s="234"/>
      <c r="G412" s="272">
        <f>+[2]WTB!Q14</f>
        <v>541315.12999999954</v>
      </c>
      <c r="I412" s="272">
        <f>+I410/(1+I413)</f>
        <v>561866.25202838366</v>
      </c>
      <c r="K412" s="272">
        <f>+K410/(1+K413)</f>
        <v>20551.122028384103</v>
      </c>
    </row>
    <row r="413" spans="1:24" ht="16.5">
      <c r="A413" s="279"/>
      <c r="E413" s="237"/>
      <c r="F413" s="234"/>
      <c r="G413" s="280">
        <f>(G410-G412)/G412</f>
        <v>-3.4279684736605417E-5</v>
      </c>
      <c r="I413" s="280">
        <f>+G413</f>
        <v>-3.4279684736605417E-5</v>
      </c>
      <c r="K413" s="280">
        <f>+I413</f>
        <v>-3.4279684736605417E-5</v>
      </c>
    </row>
    <row r="416" spans="1:24" ht="16.5">
      <c r="G416" s="272">
        <f>+G410+G307</f>
        <v>12995921.368963974</v>
      </c>
      <c r="H416" s="272"/>
      <c r="I416" s="272">
        <f>+I410+I307</f>
        <v>13492158.413964042</v>
      </c>
      <c r="J416" s="272"/>
      <c r="K416" s="272">
        <f>+K410+K307</f>
        <v>496237.04500006844</v>
      </c>
    </row>
    <row r="417" spans="7:11" ht="16.5">
      <c r="G417" s="272"/>
      <c r="H417" s="272"/>
      <c r="I417" s="272"/>
      <c r="J417" s="272"/>
      <c r="K417" s="272"/>
    </row>
    <row r="418" spans="7:11" ht="16.5">
      <c r="G418" s="272">
        <f>+G412+G309</f>
        <v>12995977.749999892</v>
      </c>
      <c r="H418" s="272"/>
      <c r="I418" s="272">
        <f>+I412+I309</f>
        <v>13492216.944154957</v>
      </c>
      <c r="J418" s="272"/>
      <c r="K418" s="272">
        <f>+K412+K309</f>
        <v>496239.19415506424</v>
      </c>
    </row>
    <row r="419" spans="7:11" ht="16.5">
      <c r="G419" s="280">
        <f>(G416-G418)/G418</f>
        <v>-4.3383450636001865E-6</v>
      </c>
      <c r="I419" s="280">
        <f>+G419</f>
        <v>-4.3383450636001865E-6</v>
      </c>
      <c r="K419" s="280">
        <f>+I419</f>
        <v>-4.3383450636001865E-6</v>
      </c>
    </row>
  </sheetData>
  <mergeCells count="1">
    <mergeCell ref="F1:J1"/>
  </mergeCells>
  <pageMargins left="0.7" right="0.7" top="0.75" bottom="0.75" header="0.3" footer="0.3"/>
  <pageSetup scale="56" fitToHeight="7"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D857407A72DC6419C3B3769E0E6FC2F" ma:contentTypeVersion="24" ma:contentTypeDescription="" ma:contentTypeScope="" ma:versionID="011895e8e53f04d429c48c231a5cfc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2023-11-16T08:00:00+00:00</OpenedDate>
    <Date1 xmlns="dc463f71-b30c-4ab2-9473-d307f9d35888">2023-11-16T08:00:00+00:00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DocketNumber xmlns="dc463f71-b30c-4ab2-9473-d307f9d35888">230970</DocketNumber>
    <DelegatedOrder xmlns="dc463f71-b30c-4ab2-9473-d307f9d35888">false</DelegatedOrder>
    <Visibility xmlns="dc463f71-b30c-4ab2-9473-d307f9d35888">Full Visibility</Visibility>
    <SignificantOrder xmlns="dc463f71-b30c-4ab2-9473-d307f9d35888">false</SignificantOrder>
    <Nickname xmlns="http://schemas.microsoft.com/sharepoint/v3" xsi:nil="true"/>
  </documentManagement>
</p:properties>
</file>

<file path=customXml/itemProps1.xml><?xml version="1.0" encoding="utf-8"?>
<ds:datastoreItem xmlns:ds="http://schemas.openxmlformats.org/officeDocument/2006/customXml" ds:itemID="{EE1B6FD7-AD3F-427B-947F-495570DAED96}"/>
</file>

<file path=customXml/itemProps2.xml><?xml version="1.0" encoding="utf-8"?>
<ds:datastoreItem xmlns:ds="http://schemas.openxmlformats.org/officeDocument/2006/customXml" ds:itemID="{AA97AB11-484B-47EF-8CBF-1D36ECB3F83F}"/>
</file>

<file path=customXml/itemProps3.xml><?xml version="1.0" encoding="utf-8"?>
<ds:datastoreItem xmlns:ds="http://schemas.openxmlformats.org/officeDocument/2006/customXml" ds:itemID="{48F9F2B7-6449-464F-806E-4DC20B6A9AB1}">
  <ds:schemaRefs>
    <ds:schemaRef ds:uri="http://schemas.microsoft.com/sharepoint/v3/contenttype/forms"/>
  </ds:schemaRefs>
</ds:datastoreItem>
</file>

<file path=customXml/itemProps4.xml><?xml version="1.0" encoding="utf-8"?>
<ds:datastoreItem xmlns:ds="http://schemas.openxmlformats.org/officeDocument/2006/customXml" ds:itemID="{25DC83E9-4461-4096-A408-5FE17308A922}">
  <ds:schemaRefs>
    <ds:schemaRef ds:uri="http://purl.org/dc/elements/1.1/"/>
    <ds:schemaRef ds:uri="http://schemas.microsoft.com/office/2006/metadata/properties"/>
    <ds:schemaRef ds:uri="dc463f71-b30c-4ab2-9473-d307f9d35888"/>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Revenue &amp; Expense Adj.</vt:lpstr>
      <vt:lpstr>References</vt:lpstr>
      <vt:lpstr>Priceout</vt:lpstr>
      <vt:lpstr>Com'l Priceout</vt:lpstr>
      <vt:lpstr>Priceout!Print_Area</vt:lpstr>
      <vt:lpstr>'Revenue &amp; Expense Adj.'!Print_Area</vt:lpstr>
      <vt:lpstr>'Com''l Priceout'!Print_Titles</vt:lpstr>
      <vt:lpstr>Priceout!Print_Titles</vt:lpstr>
    </vt:vector>
  </TitlesOfParts>
  <Manager/>
  <Company>Waste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Weinstein, Mike</dc:creator>
  <cp:keywords/>
  <dc:description/>
  <cp:lastModifiedBy>Burmester, Evan</cp:lastModifiedBy>
  <cp:lastPrinted>2018-11-01T17:30:21Z</cp:lastPrinted>
  <dcterms:created xsi:type="dcterms:W3CDTF">2016-09-23T15:16:40Z</dcterms:created>
  <dcterms:modified xsi:type="dcterms:W3CDTF">2023-11-16T21:46:20Z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0x0101006E56B4D1795A2E4DB2F0B01679ED314A00ED857407A72DC6419C3B3769E0E6FC2F</vt:lpwstr>
  </property>
  <property fmtid="{D5CDD505-2E9C-101B-9397-08002B2CF9AE}" pid="3" name="_docset_NoMedatataSyncRequired">
    <vt:lpwstr>False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