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cnx.org\Regions\Western Region\2000 Western Region Office\WUTC\WUTC-Clark County 2009\Dump Fee\DF 1-1-24\"/>
    </mc:Choice>
  </mc:AlternateContent>
  <xr:revisionPtr revIDLastSave="0" documentId="13_ncr:1_{57DA99EA-AAF3-49BB-A68D-C7475E0D33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ferences" sheetId="1" r:id="rId1"/>
    <sheet name="Regulated DF Calc" sheetId="2" r:id="rId2"/>
    <sheet name="Proposed Rates" sheetId="3" r:id="rId3"/>
    <sheet name="Disposal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D">#REF!</definedName>
    <definedName name="\S">#REF!</definedName>
    <definedName name="\Y">#REF!</definedName>
    <definedName name="______________CYA1">[1]Hidden!$N$11</definedName>
    <definedName name="______________CYA10">[1]Hidden!$E$11</definedName>
    <definedName name="______________CYA11">[1]Hidden!$P$11</definedName>
    <definedName name="______________CYA2">[1]Hidden!$M$11</definedName>
    <definedName name="______________CYA3">[1]Hidden!$L$11</definedName>
    <definedName name="______________CYA4">[1]Hidden!$K$11</definedName>
    <definedName name="______________CYA5">[1]Hidden!$J$11</definedName>
    <definedName name="______________CYA6">[1]Hidden!$I$11</definedName>
    <definedName name="______________CYA7">[1]Hidden!$H$11</definedName>
    <definedName name="______________CYA8">[1]Hidden!$G$11</definedName>
    <definedName name="______________CYA9">[1]Hidden!$F$11</definedName>
    <definedName name="______________LYA12">[1]Hidden!$O$11</definedName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">[2]Hidden!$P$11</definedName>
    <definedName name="__LYA10">[2]Hidden!$G$11</definedName>
    <definedName name="__LYA11">[2]Hidden!$F$11</definedName>
    <definedName name="__LYA12">[1]Hidden!$O$11</definedName>
    <definedName name="__LYA2">[2]Hidden!$O$11</definedName>
    <definedName name="__LYA3">[2]Hidden!$N$11</definedName>
    <definedName name="__LYA4">[2]Hidden!$M$11</definedName>
    <definedName name="__LYA5">[2]Hidden!$L$11</definedName>
    <definedName name="__LYA6">[2]Hidden!$K$11</definedName>
    <definedName name="__LYA7">[2]Hidden!$J$11</definedName>
    <definedName name="__LYA8">[2]Hidden!$I$11</definedName>
    <definedName name="__LYA9">[2]Hidden!$H$11</definedName>
    <definedName name="_123Graph_g" hidden="1">'[3]#REF'!$F$9:$F$83</definedName>
    <definedName name="_132" hidden="1">[4]XXXXXX!$B$10:$B$10</definedName>
    <definedName name="_132Graph_h" localSheetId="2" hidden="1">#REF!</definedName>
    <definedName name="_132Graph_h" hidden="1">#REF!</definedName>
    <definedName name="_ACT1" localSheetId="2">[5]Hidden!#REF!</definedName>
    <definedName name="_ACT1">[6]Hidden!#REF!</definedName>
    <definedName name="_ACT2" localSheetId="2">[5]Hidden!#REF!</definedName>
    <definedName name="_ACT2">[6]Hidden!#REF!</definedName>
    <definedName name="_ACT3" localSheetId="2">[5]Hidden!#REF!</definedName>
    <definedName name="_ACT3">[6]Hidden!#REF!</definedName>
    <definedName name="_COS1" localSheetId="2">#REF!</definedName>
    <definedName name="_COS1">#REF!</definedName>
    <definedName name="_COS2" localSheetId="2">#REF!</definedName>
    <definedName name="_COS2">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localSheetId="2" hidden="1">#REF!</definedName>
    <definedName name="_Fill" hidden="1">#REF!</definedName>
    <definedName name="_Key1" localSheetId="2" hidden="1">#REF!</definedName>
    <definedName name="_Key1" hidden="1">#REF!</definedName>
    <definedName name="_Key2" hidden="1">'[3]#REF'!$D$12</definedName>
    <definedName name="_key5" hidden="1">[4]XXXXXX!$H$10</definedName>
    <definedName name="_LYA1">[2]Hidden!$P$11</definedName>
    <definedName name="_LYA10">[2]Hidden!$G$11</definedName>
    <definedName name="_LYA11">[2]Hidden!$F$11</definedName>
    <definedName name="_LYA12">[1]Hidden!$O$11</definedName>
    <definedName name="_LYA2">[2]Hidden!$O$11</definedName>
    <definedName name="_LYA3">[2]Hidden!$N$11</definedName>
    <definedName name="_LYA4">[2]Hidden!$M$11</definedName>
    <definedName name="_LYA5">[2]Hidden!$L$11</definedName>
    <definedName name="_LYA6">[2]Hidden!$K$11</definedName>
    <definedName name="_LYA7">[2]Hidden!$J$11</definedName>
    <definedName name="_LYA8">[2]Hidden!$I$11</definedName>
    <definedName name="_LYA9">[2]Hidden!$H$11</definedName>
    <definedName name="_max" localSheetId="2" hidden="1">#REF!</definedName>
    <definedName name="_max" hidden="1">#REF!</definedName>
    <definedName name="_Mon" localSheetId="2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localSheetId="2" hidden="1">#REF!</definedName>
    <definedName name="_Sort" hidden="1">#REF!</definedName>
    <definedName name="_Sort1" hidden="1">'[3]#REF'!$A$10:$Z$281</definedName>
    <definedName name="_sort3" hidden="1">[4]XXXXXX!$G$10:$J$11</definedName>
    <definedName name="Accounts">#REF!</definedName>
    <definedName name="ACCT" localSheetId="3">[1]Hidden!$D$11</definedName>
    <definedName name="ACCT" localSheetId="2">[5]Hidden!#REF!</definedName>
    <definedName name="ACCT">[6]Hidden!#REF!</definedName>
    <definedName name="ACCT.ConsolSum">[1]Hidden!$Q$11</definedName>
    <definedName name="ACT_CUR" localSheetId="2">[5]Hidden!#REF!</definedName>
    <definedName name="ACT_CUR">[6]Hidden!#REF!</definedName>
    <definedName name="ACT_YTD" localSheetId="2">[5]Hidden!#REF!</definedName>
    <definedName name="ACT_YTD">[6]Hidden!#REF!</definedName>
    <definedName name="AmountCount" localSheetId="2">#REF!</definedName>
    <definedName name="AmountCount">#REF!</definedName>
    <definedName name="AmountCount1">#REF!</definedName>
    <definedName name="AmountFrom">#REF!</definedName>
    <definedName name="AmountTo">#REF!</definedName>
    <definedName name="AmountTotal" localSheetId="2">#REF!</definedName>
    <definedName name="AmountTotal">#REF!</definedName>
    <definedName name="AmountTotal1">#REF!</definedName>
    <definedName name="BookRev" localSheetId="2">'[7]Pacific Regulated - Price Out'!$F$50</definedName>
    <definedName name="BookRev">'[8]Pacific Regulated - Price Out'!$F$50</definedName>
    <definedName name="BookRev_com" localSheetId="2">'[7]Pacific Regulated - Price Out'!$F$214</definedName>
    <definedName name="BookRev_com">'[8]Pacific Regulated - Price Out'!$F$214</definedName>
    <definedName name="BookRev_mfr" localSheetId="2">'[7]Pacific Regulated - Price Out'!$F$222</definedName>
    <definedName name="BookRev_mfr">'[8]Pacific Regulated - Price Out'!$F$222</definedName>
    <definedName name="BookRev_ro" localSheetId="2">'[7]Pacific Regulated - Price Out'!$F$282</definedName>
    <definedName name="BookRev_ro">'[8]Pacific Regulated - Price Out'!$F$282</definedName>
    <definedName name="BookRev_rr" localSheetId="2">'[7]Pacific Regulated - Price Out'!$F$59</definedName>
    <definedName name="BookRev_rr">'[8]Pacific Regulated - Price Out'!$F$59</definedName>
    <definedName name="BookRev_yw" localSheetId="2">'[7]Pacific Regulated - Price Out'!$F$70</definedName>
    <definedName name="BookRev_yw">'[8]Pacific Regulated - Price Out'!$F$70</definedName>
    <definedName name="BREMAIR_COST_of_SERVICE_STUDY" localSheetId="2">#REF!</definedName>
    <definedName name="BREMAIR_COST_of_SERVICE_STUDY">#REF!</definedName>
    <definedName name="BUD_CUR" localSheetId="2">[5]Hidden!#REF!</definedName>
    <definedName name="BUD_CUR">[6]Hidden!#REF!</definedName>
    <definedName name="BUD_YTD" localSheetId="2">[5]Hidden!#REF!</definedName>
    <definedName name="BUD_YTD">[6]Hidden!#REF!</definedName>
    <definedName name="CalRecyTons" localSheetId="2">'[9]Recycl Tons, Commodity Value'!$L$23</definedName>
    <definedName name="CalRecyTons">'[10]Recycl Tons, Commodity Value'!$L$23</definedName>
    <definedName name="CanCartTons">[11]CanCartTonsAllocate!$E$3</definedName>
    <definedName name="CheckTotals" localSheetId="2">#REF!</definedName>
    <definedName name="CheckTotals">#REF!</definedName>
    <definedName name="CoCanTons">[12]Cust_Count1!$M$28</definedName>
    <definedName name="CoComYd">'[12]Gross Yardage Worksheet'!$L$16</definedName>
    <definedName name="colgroup">[1]Orientation!$G$6</definedName>
    <definedName name="colsegment">[1]Orientation!$F$6</definedName>
    <definedName name="CommlStaffPriceOut" localSheetId="2">'[13]Price Out-Reg EASTSIDE-Resi'!#REF!</definedName>
    <definedName name="CommlStaffPriceOut">'[13]Price Out-Reg EASTSIDE-Resi'!#REF!</definedName>
    <definedName name="CoMultiYd">'[12]Gross Yardage Worksheet'!$L$31</definedName>
    <definedName name="ContainerTons">[11]ContainerTonsAllocation!$E$2</definedName>
    <definedName name="CRCTable" localSheetId="2">#REF!</definedName>
    <definedName name="CRCTable">#REF!</definedName>
    <definedName name="CRCTableOLD" localSheetId="2">#REF!</definedName>
    <definedName name="CRCTableOLD">#REF!</definedName>
    <definedName name="CriteriaType">[14]ControlPanel!$Z$2:$Z$5</definedName>
    <definedName name="CtyCanTons">[12]Cust_Count1!$N$28</definedName>
    <definedName name="CtyComYd">'[12]Gross Yardage Worksheet'!$L$49</definedName>
    <definedName name="CtyMultiYd">'[12]Gross Yardage Worksheet'!$L$64</definedName>
    <definedName name="CurrentMonth">'[15]38000 Other Rev'!$H$8</definedName>
    <definedName name="Cutomers" localSheetId="2">#REF!</definedName>
    <definedName name="Cutomers">#REF!</definedName>
    <definedName name="_xlnm.Database" localSheetId="3">#REF!</definedName>
    <definedName name="_xlnm.Database" localSheetId="2">#REF!</definedName>
    <definedName name="_xlnm.Database">#REF!</definedName>
    <definedName name="Database1" localSheetId="2">#REF!</definedName>
    <definedName name="Database1">#REF!</definedName>
    <definedName name="DateFrom" localSheetId="3">'[16]41201 JE Query'!$I$12</definedName>
    <definedName name="DateFrom">'[15]38000 Other Rev'!$G$12</definedName>
    <definedName name="DateTo" localSheetId="3">'[16]41201 JE Query'!$I$13</definedName>
    <definedName name="DateTo">'[15]38000 Other Rev'!$G$13</definedName>
    <definedName name="DBxStaffPriceOut" localSheetId="2">'[13]Price Out-Reg EASTSIDE-Resi'!#REF!</definedName>
    <definedName name="DBxStaffPriceOut">'[13]Price Out-Reg EASTSIDE-Resi'!#REF!</definedName>
    <definedName name="DEPT" localSheetId="2">[5]Hidden!#REF!</definedName>
    <definedName name="DEPT">[6]Hidden!#REF!</definedName>
    <definedName name="Dist" localSheetId="2">[17]Data!$E$3</definedName>
    <definedName name="Dist">[18]Data!$E$3</definedName>
    <definedName name="District" localSheetId="2">'[19]Vashon BS'!#REF!</definedName>
    <definedName name="District">'[20]Vashon BS'!#REF!</definedName>
    <definedName name="DistrictNum" localSheetId="2">#REF!</definedName>
    <definedName name="DistrictNum">#REF!</definedName>
    <definedName name="Districts">#REF!</definedName>
    <definedName name="dOG" localSheetId="2">#REF!</definedName>
    <definedName name="dOG">#REF!</definedName>
    <definedName name="drlFilter">[1]Settings!$D$27</definedName>
    <definedName name="End" localSheetId="2">#REF!</definedName>
    <definedName name="End">#REF!</definedName>
    <definedName name="EntrieShownLimit" localSheetId="3">'[16]41201 JE Query'!$D$6</definedName>
    <definedName name="EntrieShownLimit">'[15]38000 Other Rev'!$D$6</definedName>
    <definedName name="ExcludeIC" localSheetId="2">'[21]2009 BS'!#REF!</definedName>
    <definedName name="ExcludeIC">'[20]Vashon BS'!#REF!</definedName>
    <definedName name="EXT" localSheetId="2">#REF!</definedName>
    <definedName name="EXT">#REF!</definedName>
    <definedName name="FBTable" localSheetId="2">#REF!</definedName>
    <definedName name="FBTable">#REF!</definedName>
    <definedName name="FBTableOld" localSheetId="2">#REF!</definedName>
    <definedName name="FBTableOld">#REF!</definedName>
    <definedName name="filter">[1]Settings!$B$14:$H$25</definedName>
    <definedName name="FromMonth">#REF!</definedName>
    <definedName name="FundsApprPend" localSheetId="2">[17]Data!#REF!</definedName>
    <definedName name="FundsApprPend">[18]Data!#REF!</definedName>
    <definedName name="FundsBudUnbud" localSheetId="2">[17]Data!#REF!</definedName>
    <definedName name="FundsBudUnbud">[18]Data!#REF!</definedName>
    <definedName name="GLMappingStart" localSheetId="2">#REF!</definedName>
    <definedName name="GLMappingStart">#REF!</definedName>
    <definedName name="GLMappingStart1">#REF!</definedName>
    <definedName name="GRETABLE">[22]Gresham!$E$12:$AI$261</definedName>
    <definedName name="Import_Range" localSheetId="2">[17]Data!#REF!</definedName>
    <definedName name="Import_Range">[18]Data!#REF!</definedName>
    <definedName name="IncomeStmnt" localSheetId="2">#REF!</definedName>
    <definedName name="IncomeStmnt">#REF!</definedName>
    <definedName name="INPUT" localSheetId="2">#REF!</definedName>
    <definedName name="INPUT">#REF!</definedName>
    <definedName name="Insurance" localSheetId="2">#REF!</definedName>
    <definedName name="Insurance">#REF!</definedName>
    <definedName name="Interject_LastPulledValues_BalanceRange" localSheetId="3">#REF!</definedName>
    <definedName name="Interject_LastPulledValues_BalanceRange">#REF!</definedName>
    <definedName name="Interject_LastPulledValues_DescriptionRange" localSheetId="3">#REF!</definedName>
    <definedName name="Interject_LastPulledValues_DescriptionRange">#REF!</definedName>
    <definedName name="Interject_LastPulledValues_LastChangeGUID" localSheetId="3">#REF!</definedName>
    <definedName name="Interject_LastPulledValues_LastChangeGUID">#REF!</definedName>
    <definedName name="Interject_LastPulledValues_PreviousLastChangeGUID" localSheetId="3">#REF!</definedName>
    <definedName name="Interject_LastPulledValues_PreviousLastChangeGUID">#REF!</definedName>
    <definedName name="Invoice_Start" localSheetId="2">[17]Invoice_Drill!#REF!</definedName>
    <definedName name="Invoice_Start">[18]Invoice_Drill!#REF!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EDetail" localSheetId="2">#REF!</definedName>
    <definedName name="JEDetail">#REF!</definedName>
    <definedName name="JEDetail1">#REF!</definedName>
    <definedName name="JEType" localSheetId="2">#REF!</definedName>
    <definedName name="JEType">#REF!</definedName>
    <definedName name="JEType1">#REF!</definedName>
    <definedName name="Juris1CanCount">[11]Cust_Count1!$C$60</definedName>
    <definedName name="Juris1CanTons">[11]Cust_Count1!$C$30</definedName>
    <definedName name="Juris1ComYd">'[11]Gross Yardage Worksheet'!$L$16</definedName>
    <definedName name="Juris1CustCnt">[11]Cust_Count2!$E$39</definedName>
    <definedName name="Juris1MultiYd">'[11]Gross Yardage Worksheet'!$X$16</definedName>
    <definedName name="Juris1SeasonalYds">'[11]Gross Yardage Worksheet'!$R$18</definedName>
    <definedName name="Juris1XtraYds">[11]Cust_Count2!$E$28</definedName>
    <definedName name="Juris2CanCount">[11]Cust_Count1!$D$60</definedName>
    <definedName name="Juris2CanTons">[11]Cust_Count1!$D$30</definedName>
    <definedName name="Juris2ComYd">'[11]Gross Yardage Worksheet'!$L$33</definedName>
    <definedName name="Juris2CustCnt">[11]Cust_Count2!$F$39</definedName>
    <definedName name="Juris2MultiYd">'[11]Gross Yardage Worksheet'!$X$33</definedName>
    <definedName name="Juris2SeasonalYds">'[11]Gross Yardage Worksheet'!$R$35</definedName>
    <definedName name="Juris2XtraYds">[11]Cust_Count2!$F$28</definedName>
    <definedName name="Juris3CanCount">[11]Cust_Count1!$E$60</definedName>
    <definedName name="Juris3CanTons">[11]Cust_Count1!$E$30</definedName>
    <definedName name="Juris3ComYd">'[11]Gross Yardage Worksheet'!$L$51</definedName>
    <definedName name="Juris3CustCnt">[11]Cust_Count2!$G$39</definedName>
    <definedName name="Juris3MultiYd">'[11]Gross Yardage Worksheet'!$X$51</definedName>
    <definedName name="Juris3SeasonalYds">'[11]Gross Yardage Worksheet'!$R$53</definedName>
    <definedName name="Juris3XtraYds">[11]Cust_Count2!$G$28</definedName>
    <definedName name="Juris4CanCount">[11]Cust_Count1!$F$60</definedName>
    <definedName name="Juris4CanTons">[11]Cust_Count1!$F$30</definedName>
    <definedName name="Juris4ComYd">'[11]Gross Yardage Worksheet'!$L$68</definedName>
    <definedName name="Juris4CustCnt">[11]Cust_Count2!$H$39</definedName>
    <definedName name="Juris4MultiYd">'[11]Gross Yardage Worksheet'!$X$68</definedName>
    <definedName name="Juris4SeasonalYds">'[11]Gross Yardage Worksheet'!$R$70</definedName>
    <definedName name="Juris4XtraYds">[11]Cust_Count2!$H$28</definedName>
    <definedName name="Juris5CanCount">[11]Cust_Count1!$G$60</definedName>
    <definedName name="Juris5CanTons">[11]Cust_Count1!$G$30</definedName>
    <definedName name="Juris5ComYD">'[11]Gross Yardage Worksheet'!$L$85</definedName>
    <definedName name="Juris5CustCnt">[11]Cust_Count2!$I$39</definedName>
    <definedName name="Juris5MultiYd">'[11]Gross Yardage Worksheet'!$X$85</definedName>
    <definedName name="Juris5SeasonalYds">'[11]Gross Yardage Worksheet'!$R$87</definedName>
    <definedName name="Juris5XtraYds">[11]Cust_Count2!$I$28</definedName>
    <definedName name="Jurisdiction_1">'[11]Title Inputs'!$C$5</definedName>
    <definedName name="Jurisdiction_2">'[11]Title Inputs'!$C$6</definedName>
    <definedName name="Jurisdiction_3">'[11]Title Inputs'!$C$7</definedName>
    <definedName name="Jurisdiction_4">'[11]Title Inputs'!$C$8</definedName>
    <definedName name="Jurisdiction_5">'[11]Title Inputs'!$C$9</definedName>
    <definedName name="lblBillAreaStatus" localSheetId="2">#REF!</definedName>
    <definedName name="lblBillAreaStatus">#REF!</definedName>
    <definedName name="lblBillCycleStatus" localSheetId="2">#REF!</definedName>
    <definedName name="lblBillCycleStatus">#REF!</definedName>
    <definedName name="lblCategoryStatus" localSheetId="2">#REF!</definedName>
    <definedName name="lblCategoryStatus">#REF!</definedName>
    <definedName name="lblCompanyStatus" localSheetId="2">#REF!</definedName>
    <definedName name="lblCompanyStatus">#REF!</definedName>
    <definedName name="lblDatabaseStatus" localSheetId="2">#REF!</definedName>
    <definedName name="lblDatabaseStatus">#REF!</definedName>
    <definedName name="lblPullStatus" localSheetId="2">#REF!</definedName>
    <definedName name="lblPullStatus">#REF!</definedName>
    <definedName name="lllllllllllllllllllll" localSheetId="2">#REF!</definedName>
    <definedName name="lllllllllllllllllllll">#REF!</definedName>
    <definedName name="LOB">[23]DropDownRanges!$B$4:$B$37</definedName>
    <definedName name="MainDataEnd" localSheetId="2">#REF!</definedName>
    <definedName name="MainDataEnd">#REF!</definedName>
    <definedName name="MainDataStart" localSheetId="2">#REF!</definedName>
    <definedName name="MainDataStart">#REF!</definedName>
    <definedName name="MapKeyStart" localSheetId="2">#REF!</definedName>
    <definedName name="MapKeyStart">#REF!</definedName>
    <definedName name="master_def" localSheetId="2">#REF!</definedName>
    <definedName name="master_def">#REF!</definedName>
    <definedName name="MATRIX" localSheetId="2">#REF!</definedName>
    <definedName name="MATRIX">#REF!</definedName>
    <definedName name="MemoAttachment" localSheetId="2">#REF!</definedName>
    <definedName name="MemoAttachment">#REF!</definedName>
    <definedName name="MetaSet">[1]Orientation!$C$22</definedName>
    <definedName name="MFStaffPriceOut" localSheetId="2">'[13]Price Out-Reg EASTSIDE-Resi'!#REF!</definedName>
    <definedName name="MFStaffPriceOut">'[13]Price Out-Reg EASTSIDE-Resi'!#REF!</definedName>
    <definedName name="MILTON">#REF!</definedName>
    <definedName name="MonthList" localSheetId="2">'[17]Lookup Tables'!$A$1:$A$13</definedName>
    <definedName name="MonthList">'[18]Lookup Tables'!$A$1:$A$13</definedName>
    <definedName name="NewLob">[23]DropDownRanges!$B$4:$B$37</definedName>
    <definedName name="NewOnlyOrg">#N/A</definedName>
    <definedName name="NewSource">[23]DropDownRanges!$D$4:$D$7</definedName>
    <definedName name="nn" localSheetId="2">#REF!</definedName>
    <definedName name="nn">#REF!</definedName>
    <definedName name="NOTES" localSheetId="2">#REF!</definedName>
    <definedName name="NOTES">#REF!</definedName>
    <definedName name="NR" localSheetId="2">#REF!</definedName>
    <definedName name="NR">#REF!</definedName>
    <definedName name="OfficerSalary">#N/A</definedName>
    <definedName name="OffsetAcctBil">[24]JEexport!$L$10</definedName>
    <definedName name="OffsetAcctPmt">[24]JEexport!$L$9</definedName>
    <definedName name="Org11_13">#N/A</definedName>
    <definedName name="Org7_10">#N/A</definedName>
    <definedName name="OthCanTons">[12]Cust_Count1!$O$28</definedName>
    <definedName name="OthComYd">'[12]Gross Yardage Worksheet'!$L$82</definedName>
    <definedName name="OthMultiYd">'[12]Gross Yardage Worksheet'!$L$98</definedName>
    <definedName name="p" localSheetId="2">#REF!</definedName>
    <definedName name="p">#REF!</definedName>
    <definedName name="PAGE_1" localSheetId="2">#REF!</definedName>
    <definedName name="PAGE_1">#REF!</definedName>
    <definedName name="Page10">#REF!</definedName>
    <definedName name="Page10a">#REF!</definedName>
    <definedName name="page11">#REF!</definedName>
    <definedName name="page12">#REF!</definedName>
    <definedName name="Page16" localSheetId="2">#REF!</definedName>
    <definedName name="Page16">#REF!</definedName>
    <definedName name="Page17" localSheetId="2">#REF!</definedName>
    <definedName name="Page17">#REF!</definedName>
    <definedName name="Page18" localSheetId="2">#REF!</definedName>
    <definedName name="Page18">#REF!</definedName>
    <definedName name="Page20">#REF!</definedName>
    <definedName name="page7">#REF!</definedName>
    <definedName name="Page7a" localSheetId="2">#REF!</definedName>
    <definedName name="Page7a">#REF!</definedName>
    <definedName name="pBatchID" localSheetId="2">#REF!</definedName>
    <definedName name="pBatchID">#REF!</definedName>
    <definedName name="pBillArea" localSheetId="2">#REF!</definedName>
    <definedName name="pBillArea">#REF!</definedName>
    <definedName name="pBillCycle" localSheetId="2">#REF!</definedName>
    <definedName name="pBillCycle">#REF!</definedName>
    <definedName name="pCategory" localSheetId="2">#REF!</definedName>
    <definedName name="pCategory">#REF!</definedName>
    <definedName name="pCompany" localSheetId="2">#REF!</definedName>
    <definedName name="pCompany">#REF!</definedName>
    <definedName name="pCustomerNumber" localSheetId="2">#REF!</definedName>
    <definedName name="pCustomerNumber">#REF!</definedName>
    <definedName name="pDatabase" localSheetId="2">#REF!</definedName>
    <definedName name="pDatabase">#REF!</definedName>
    <definedName name="pEndPostDate" localSheetId="2">#REF!</definedName>
    <definedName name="pEndPostDate">#REF!</definedName>
    <definedName name="Period" localSheetId="2">#REF!</definedName>
    <definedName name="Period">#REF!</definedName>
    <definedName name="pMonth" localSheetId="2">#REF!</definedName>
    <definedName name="pMonth">#REF!</definedName>
    <definedName name="pOnlyShowLastTranx" localSheetId="2">#REF!</definedName>
    <definedName name="pOnlyShowLastTranx">#REF!</definedName>
    <definedName name="Posting">#REF!</definedName>
    <definedName name="primtbl">[1]Orientation!$C$23</definedName>
    <definedName name="_xlnm.Print_Area" localSheetId="3">#REF!</definedName>
    <definedName name="_xlnm.Print_Area" localSheetId="2">'Proposed Rates'!$A$1:$H$173</definedName>
    <definedName name="_xlnm.Print_Area" localSheetId="0">References!$A$1:$J$94</definedName>
    <definedName name="_xlnm.Print_Area" localSheetId="1">'Regulated DF Calc'!$A$1:$T$137</definedName>
    <definedName name="_xlnm.Print_Area">#REF!</definedName>
    <definedName name="Print_Area_MI" localSheetId="2">#REF!</definedName>
    <definedName name="Print_Area_MI">#REF!</definedName>
    <definedName name="Print_Area1" localSheetId="2">#REF!</definedName>
    <definedName name="Print_Area1">#REF!</definedName>
    <definedName name="Print_Area2" localSheetId="2">#REF!</definedName>
    <definedName name="Print_Area2">#REF!</definedName>
    <definedName name="Print_Area3" localSheetId="2">#REF!</definedName>
    <definedName name="Print_Area3">#REF!</definedName>
    <definedName name="Print_Area5" localSheetId="2">#REF!</definedName>
    <definedName name="Print_Area5">#REF!</definedName>
    <definedName name="_xlnm.Print_Titles" localSheetId="2">'Proposed Rates'!$5:$7</definedName>
    <definedName name="_xlnm.Print_Titles" localSheetId="1">'Regulated DF Calc'!$A:$B,'Regulated DF Calc'!$5:$6</definedName>
    <definedName name="Print1" localSheetId="2">#REF!</definedName>
    <definedName name="Print1">#REF!</definedName>
    <definedName name="Print2" localSheetId="2">#REF!</definedName>
    <definedName name="Print2">#REF!</definedName>
    <definedName name="Print5" localSheetId="2">#REF!</definedName>
    <definedName name="Print5">#REF!</definedName>
    <definedName name="ProRev" localSheetId="2">'[7]Pacific Regulated - Price Out'!$M$49</definedName>
    <definedName name="ProRev">'[8]Pacific Regulated - Price Out'!$M$49</definedName>
    <definedName name="ProRev_com" localSheetId="2">'[7]Pacific Regulated - Price Out'!$M$213</definedName>
    <definedName name="ProRev_com">'[8]Pacific Regulated - Price Out'!$M$213</definedName>
    <definedName name="ProRev_mfr" localSheetId="2">'[7]Pacific Regulated - Price Out'!$M$221</definedName>
    <definedName name="ProRev_mfr">'[8]Pacific Regulated - Price Out'!$M$221</definedName>
    <definedName name="ProRev_ro" localSheetId="2">'[7]Pacific Regulated - Price Out'!$M$281</definedName>
    <definedName name="ProRev_ro">'[8]Pacific Regulated - Price Out'!$M$281</definedName>
    <definedName name="ProRev_rr" localSheetId="2">'[7]Pacific Regulated - Price Out'!$M$58</definedName>
    <definedName name="ProRev_rr">'[8]Pacific Regulated - Price Out'!$M$58</definedName>
    <definedName name="ProRev_yw" localSheetId="2">'[7]Pacific Regulated - Price Out'!$M$69</definedName>
    <definedName name="ProRev_yw">'[8]Pacific Regulated - Price Out'!$M$69</definedName>
    <definedName name="pServer" localSheetId="2">#REF!</definedName>
    <definedName name="pServer">#REF!</definedName>
    <definedName name="pServiceCode" localSheetId="2">#REF!</definedName>
    <definedName name="pServiceCode">#REF!</definedName>
    <definedName name="pShowAllUnposted" localSheetId="2">#REF!</definedName>
    <definedName name="pShowAllUnposted">#REF!</definedName>
    <definedName name="pShowCustomerDetail" localSheetId="2">#REF!</definedName>
    <definedName name="pShowCustomerDetail">#REF!</definedName>
    <definedName name="pSortOption" localSheetId="2">#REF!</definedName>
    <definedName name="pSortOption">#REF!</definedName>
    <definedName name="pStartPostDate" localSheetId="2">#REF!</definedName>
    <definedName name="pStartPostDate">#REF!</definedName>
    <definedName name="pTransType" localSheetId="2">#REF!</definedName>
    <definedName name="pTransType">#REF!</definedName>
    <definedName name="RCW_81.04.080">#N/A</definedName>
    <definedName name="RecyDisposal">#N/A</definedName>
    <definedName name="Reg_Cust_Billed_Percent" localSheetId="2">'[25]Consolidated IS 2009 2010'!$AK$20</definedName>
    <definedName name="Reg_Cust_Billed_Percent">'[26]Consolidated IS 2009 2010'!$AK$20</definedName>
    <definedName name="Reg_Cust_Percent" localSheetId="2">'[25]Consolidated IS 2009 2010'!$AC$20</definedName>
    <definedName name="Reg_Cust_Percent">'[26]Consolidated IS 2009 2010'!$AC$20</definedName>
    <definedName name="Reg_Drive_Percent" localSheetId="2">'[25]Consolidated IS 2009 2010'!$AC$40</definedName>
    <definedName name="Reg_Drive_Percent">'[26]Consolidated IS 2009 2010'!$AC$40</definedName>
    <definedName name="Reg_Haul_Rev_Percent" localSheetId="2">'[25]Consolidated IS 2009 2010'!$Z$18</definedName>
    <definedName name="Reg_Haul_Rev_Percent">'[26]Consolidated IS 2009 2010'!$Z$18</definedName>
    <definedName name="Reg_Lab_Percent" localSheetId="2">'[25]Consolidated IS 2009 2010'!$AC$39</definedName>
    <definedName name="Reg_Lab_Percent">'[26]Consolidated IS 2009 2010'!$AC$39</definedName>
    <definedName name="Reg_Steel_Cont_Percent" localSheetId="2">'[25]Consolidated IS 2009 2010'!$AE$120</definedName>
    <definedName name="Reg_Steel_Cont_Percent">'[26]Consolidated IS 2009 2010'!$AE$120</definedName>
    <definedName name="RegulatedIS" localSheetId="2">'[25]2009 IS'!$A$12:$Q$655</definedName>
    <definedName name="RegulatedIS">'[26]2009 IS'!$A$12:$Q$655</definedName>
    <definedName name="RelatedSalary">#N/A</definedName>
    <definedName name="report_type">[1]Orientation!$C$24</definedName>
    <definedName name="Reporting_Jurisdiction">'[11]Title Inputs'!$C$4</definedName>
    <definedName name="ReportNames">[27]ControlPanel!$S$2:$S$16</definedName>
    <definedName name="ReportVersion">[1]Settings!$D$5</definedName>
    <definedName name="ReslStaffPriceOut" localSheetId="2">'[13]Price Out-Reg EASTSIDE-Resi'!#REF!</definedName>
    <definedName name="ReslStaffPriceOut">'[13]Price Out-Reg EASTSIDE-Resi'!#REF!</definedName>
    <definedName name="RetainedEarnings" localSheetId="2">#REF!</definedName>
    <definedName name="RetainedEarnings">#REF!</definedName>
    <definedName name="RevCust" localSheetId="2">[28]RevenuesCust!#REF!</definedName>
    <definedName name="RevCust">[29]RevenuesCust!#REF!</definedName>
    <definedName name="RevCustomer" localSheetId="2">#REF!</definedName>
    <definedName name="RevCustomer">#REF!</definedName>
    <definedName name="rngBodyText">[2]Delivery!$B$15</definedName>
    <definedName name="RngBottomRight">[2]Delivery!$B$23</definedName>
    <definedName name="rngColDelChars">[2]Delivery!$B$26</definedName>
    <definedName name="rngColumnDelete">[2]Delivery!$B$26</definedName>
    <definedName name="rngCreateLog">[1]Delivery!$B$12</definedName>
    <definedName name="rngDeleteColumns">[2]Delivery!$A$29:$A$38</definedName>
    <definedName name="rngDeleteRows">[2]Delivery!$B$29:$B$38</definedName>
    <definedName name="rngEmail">[2]Delivery!$B$9</definedName>
    <definedName name="rngFileDir">[2]Delivery!$B$6</definedName>
    <definedName name="rngFileFormat">[2]Delivery!$B$4</definedName>
    <definedName name="rngFileName">[2]Delivery!$B$5</definedName>
    <definedName name="rngFilePassword">[1]Delivery!$B$6</definedName>
    <definedName name="rngPassword">[2]Delivery!$B$21</definedName>
    <definedName name="rngPasswordProtect">[2]Delivery!$B$20</definedName>
    <definedName name="rngPrint">[2]Delivery!$B$11</definedName>
    <definedName name="rngRetainFormulas">[2]Delivery!$B$19</definedName>
    <definedName name="rngSaveFile">[2]Delivery!$B$10</definedName>
    <definedName name="rngSourceTab">[1]Delivery!$E$8</definedName>
    <definedName name="rngSubjectLine">[2]Delivery!$B$14</definedName>
    <definedName name="rngTabName">[2]Delivery!$B$18</definedName>
    <definedName name="rngTopLeft">[2]Delivery!$B$22</definedName>
    <definedName name="rowgroup">[1]Orientation!$C$17</definedName>
    <definedName name="rowsegment">[1]Orientation!$B$17</definedName>
    <definedName name="RptEmailAddress">[2]Delivery!$D$4:$D$1005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2">#REF!</definedName>
    <definedName name="sortcol">#REF!</definedName>
    <definedName name="Source">[23]DropDownRanges!$D$4:$D$7</definedName>
    <definedName name="SPWS_WBID">"115966228744984"</definedName>
    <definedName name="sSRCDate" localSheetId="2">'[30]Feb''12 FAR Data'!#REF!</definedName>
    <definedName name="sSRCDate">'[31]Feb''12 FAR Data'!#REF!</definedName>
    <definedName name="SubSystems">#REF!</definedName>
    <definedName name="Supplemental_filter">[1]Settings!$C$31</definedName>
    <definedName name="SWDisposal">#N/A</definedName>
    <definedName name="System" localSheetId="2">[32]BS_Close!$V$8</definedName>
    <definedName name="System">[32]BS_Close!$V$8</definedName>
    <definedName name="Systems">#REF!</definedName>
    <definedName name="TemplateEnd" localSheetId="2">#REF!</definedName>
    <definedName name="TemplateEnd">#REF!</definedName>
    <definedName name="TemplateStart" localSheetId="2">#REF!</definedName>
    <definedName name="TemplateStart">#REF!</definedName>
    <definedName name="TheTable" localSheetId="2">#REF!</definedName>
    <definedName name="TheTable">#REF!</definedName>
    <definedName name="TheTableOLD" localSheetId="2">#REF!</definedName>
    <definedName name="TheTableOLD">#REF!</definedName>
    <definedName name="timeseries">[1]Orientation!$B$6:$C$13</definedName>
    <definedName name="ToMonth">#REF!</definedName>
    <definedName name="Tons" localSheetId="2">#REF!</definedName>
    <definedName name="Tons">#REF!</definedName>
    <definedName name="Total_Comm" localSheetId="2">'[9]Tariff Rate Sheet'!$L$214</definedName>
    <definedName name="Total_Comm">'[10]Tariff Rate Sheet'!$L$214</definedName>
    <definedName name="Total_DB" localSheetId="2">'[9]Tariff Rate Sheet'!$L$278</definedName>
    <definedName name="Total_DB">'[10]Tariff Rate Sheet'!$L$278</definedName>
    <definedName name="Total_Resi" localSheetId="2">'[9]Tariff Rate Sheet'!$L$107</definedName>
    <definedName name="Total_Resi">'[10]Tariff Rate Sheet'!$L$107</definedName>
    <definedName name="TotalYards">'[12]Gross Yardage Worksheet'!$N$101</definedName>
    <definedName name="TOTCONT">'[22]Sorted Master'!$K$9</definedName>
    <definedName name="TOTCRECCONT">'[22]Sorted Master'!$Z$9</definedName>
    <definedName name="TOTCRECTH">'[22]Sorted Master'!$Z$8</definedName>
    <definedName name="TOTDEBTH">'[22]Sorted Master'!$AD$8</definedName>
    <definedName name="Transactions" localSheetId="2">#REF!</definedName>
    <definedName name="Transactions">#REF!</definedName>
    <definedName name="UnregulatedIS" localSheetId="2">'[25]2010 IS'!$A$12:$Q$654</definedName>
    <definedName name="UnregulatedIS">'[26]2010 IS'!$A$12:$Q$654</definedName>
    <definedName name="ValidFormats">[2]Delivery!$AA$4:$AA$10</definedName>
    <definedName name="VendorCode">#REF!</definedName>
    <definedName name="Version" localSheetId="2">[17]Data!#REF!</definedName>
    <definedName name="Version">[18]Data!#REF!</definedName>
    <definedName name="wrn.PrintReview." localSheetId="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2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2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2">#REF!</definedName>
    <definedName name="WTable">#REF!</definedName>
    <definedName name="WTableOld" localSheetId="2">#REF!</definedName>
    <definedName name="WTableOld">#REF!</definedName>
    <definedName name="ww" localSheetId="2">#REF!</definedName>
    <definedName name="ww">#REF!</definedName>
    <definedName name="xperiod">[1]Orientation!$G$15</definedName>
    <definedName name="xtabin" localSheetId="2">[5]Hidden!#REF!</definedName>
    <definedName name="xtabin">[6]Hidden!#REF!</definedName>
    <definedName name="xx" localSheetId="2">#REF!</definedName>
    <definedName name="xx">#REF!</definedName>
    <definedName name="xxx" localSheetId="2">#REF!</definedName>
    <definedName name="xxx">#REF!</definedName>
    <definedName name="xxxx" localSheetId="2">#REF!</definedName>
    <definedName name="xxxx">#REF!</definedName>
    <definedName name="Year_of_Review">'[11]Title Inputs'!$C$3</definedName>
    <definedName name="YearMonth" localSheetId="2">'[19]Vashon BS'!#REF!</definedName>
    <definedName name="YearMonth">'[20]Vashon BS'!#REF!</definedName>
    <definedName name="YWMedWasteDisp">#N/A</definedName>
    <definedName name="yy" localSheetId="2">#REF!</definedName>
    <definedName name="y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5" i="1" l="1"/>
  <c r="B88" i="1" s="1"/>
  <c r="C85" i="1"/>
  <c r="C88" i="1" s="1"/>
  <c r="A2" i="3" l="1"/>
  <c r="J123" i="2"/>
  <c r="R123" i="2"/>
  <c r="R124" i="2"/>
  <c r="R125" i="2"/>
  <c r="R126" i="2"/>
  <c r="R127" i="2"/>
  <c r="R128" i="2"/>
  <c r="R129" i="2"/>
  <c r="R130" i="2"/>
  <c r="R131" i="2"/>
  <c r="R132" i="2"/>
  <c r="I30" i="2" l="1"/>
  <c r="H30" i="2"/>
  <c r="R30" i="2" s="1"/>
  <c r="J30" i="2" l="1"/>
  <c r="I29" i="2" l="1"/>
  <c r="I15" i="2" l="1"/>
  <c r="O101" i="2"/>
  <c r="I101" i="2"/>
  <c r="O97" i="2"/>
  <c r="I97" i="2"/>
  <c r="I75" i="2"/>
  <c r="O75" i="2"/>
  <c r="I69" i="2"/>
  <c r="O69" i="2"/>
  <c r="I55" i="2"/>
  <c r="O55" i="2"/>
  <c r="U105" i="2"/>
  <c r="O51" i="2"/>
  <c r="I51" i="2"/>
  <c r="E104" i="2"/>
  <c r="E15" i="2"/>
  <c r="H15" i="2" l="1"/>
  <c r="P115" i="2"/>
  <c r="D42" i="8" l="1"/>
  <c r="D41" i="8"/>
  <c r="E27" i="8"/>
  <c r="D27" i="8"/>
  <c r="E24" i="8"/>
  <c r="D24" i="8"/>
  <c r="I23" i="8"/>
  <c r="E23" i="8"/>
  <c r="D23" i="8"/>
  <c r="E22" i="8"/>
  <c r="D22" i="8"/>
  <c r="E21" i="8"/>
  <c r="D21" i="8"/>
  <c r="D33" i="8" s="1"/>
  <c r="E17" i="8"/>
  <c r="D17" i="8"/>
  <c r="E14" i="8"/>
  <c r="D14" i="8"/>
  <c r="E13" i="8"/>
  <c r="D13" i="8"/>
  <c r="E12" i="8"/>
  <c r="D12" i="8"/>
  <c r="I11" i="8"/>
  <c r="D43" i="8" l="1"/>
  <c r="F14" i="8"/>
  <c r="H113" i="2"/>
  <c r="E15" i="8"/>
  <c r="I24" i="8" s="1"/>
  <c r="I25" i="8" s="1"/>
  <c r="D34" i="8"/>
  <c r="E34" i="8"/>
  <c r="I15" i="8" s="1"/>
  <c r="D15" i="8"/>
  <c r="D18" i="8" s="1"/>
  <c r="F23" i="8"/>
  <c r="E25" i="8"/>
  <c r="E28" i="8" s="1"/>
  <c r="F24" i="8"/>
  <c r="F22" i="8"/>
  <c r="E33" i="8"/>
  <c r="I14" i="8" s="1"/>
  <c r="F21" i="8"/>
  <c r="D32" i="8"/>
  <c r="D35" i="8" s="1"/>
  <c r="F12" i="8"/>
  <c r="D25" i="8"/>
  <c r="D28" i="8" s="1"/>
  <c r="E32" i="8"/>
  <c r="E18" i="8" l="1"/>
  <c r="E35" i="8"/>
  <c r="I13" i="8"/>
  <c r="I16" i="8" s="1"/>
  <c r="I17" i="8" s="1"/>
  <c r="I18" i="8" s="1"/>
  <c r="O29" i="2" l="1"/>
  <c r="G29" i="2"/>
  <c r="H29" i="2" s="1"/>
  <c r="O26" i="2"/>
  <c r="G26" i="2"/>
  <c r="H26" i="2" s="1"/>
  <c r="I26" i="2"/>
  <c r="O23" i="2"/>
  <c r="R23" i="2" s="1"/>
  <c r="O15" i="2"/>
  <c r="R15" i="2" s="1"/>
  <c r="R26" i="2" l="1"/>
  <c r="R29" i="2"/>
  <c r="J29" i="2"/>
  <c r="J26" i="2"/>
  <c r="J15" i="2"/>
  <c r="E32" i="2" l="1"/>
  <c r="U31" i="2"/>
  <c r="U32" i="2"/>
  <c r="U33" i="2"/>
  <c r="U34" i="2"/>
  <c r="U35" i="2"/>
  <c r="U36" i="2"/>
  <c r="F73" i="1"/>
  <c r="F76" i="1" l="1"/>
  <c r="F78" i="1" s="1"/>
  <c r="C91" i="1" l="1"/>
  <c r="B91" i="1"/>
  <c r="B93" i="1" l="1"/>
  <c r="B95" i="1" s="1"/>
  <c r="C93" i="1"/>
  <c r="C95" i="1" s="1"/>
  <c r="H83" i="1" l="1"/>
  <c r="H85" i="1" s="1"/>
  <c r="H87" i="1" s="1"/>
  <c r="C97" i="1"/>
  <c r="G83" i="1"/>
  <c r="G85" i="1" s="1"/>
  <c r="G87" i="1" s="1"/>
  <c r="B97" i="1"/>
  <c r="E67" i="1"/>
  <c r="C67" i="1"/>
  <c r="D67" i="1" s="1"/>
  <c r="O103" i="2"/>
  <c r="H91" i="1" l="1"/>
  <c r="G91" i="1"/>
  <c r="I92" i="2"/>
  <c r="O92" i="2"/>
  <c r="R92" i="2" s="1"/>
  <c r="I21" i="2"/>
  <c r="C68" i="1" l="1"/>
  <c r="C69" i="1" s="1"/>
  <c r="C70" i="1" s="1"/>
  <c r="E68" i="1"/>
  <c r="E69" i="1" s="1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2" i="2"/>
  <c r="O53" i="2"/>
  <c r="O54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70" i="2"/>
  <c r="O71" i="2"/>
  <c r="O72" i="2"/>
  <c r="O73" i="2"/>
  <c r="O74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3" i="2"/>
  <c r="O94" i="2"/>
  <c r="O95" i="2"/>
  <c r="O96" i="2"/>
  <c r="O98" i="2"/>
  <c r="O99" i="2"/>
  <c r="O100" i="2"/>
  <c r="O102" i="2"/>
  <c r="O104" i="2"/>
  <c r="O10" i="2"/>
  <c r="R10" i="2" s="1"/>
  <c r="O11" i="2"/>
  <c r="R11" i="2" s="1"/>
  <c r="O12" i="2"/>
  <c r="R12" i="2" s="1"/>
  <c r="O13" i="2"/>
  <c r="R13" i="2" s="1"/>
  <c r="O14" i="2"/>
  <c r="R14" i="2" s="1"/>
  <c r="O16" i="2"/>
  <c r="R16" i="2" s="1"/>
  <c r="O17" i="2"/>
  <c r="R17" i="2" s="1"/>
  <c r="O18" i="2"/>
  <c r="R18" i="2" s="1"/>
  <c r="O19" i="2"/>
  <c r="R19" i="2" s="1"/>
  <c r="O20" i="2"/>
  <c r="R20" i="2" s="1"/>
  <c r="O21" i="2"/>
  <c r="R21" i="2" s="1"/>
  <c r="O22" i="2"/>
  <c r="R22" i="2" s="1"/>
  <c r="O24" i="2"/>
  <c r="O25" i="2"/>
  <c r="O27" i="2"/>
  <c r="O28" i="2"/>
  <c r="C55" i="1" l="1"/>
  <c r="C56" i="1"/>
  <c r="I129" i="2" s="1"/>
  <c r="J129" i="2" s="1"/>
  <c r="C50" i="1"/>
  <c r="I77" i="2" l="1"/>
  <c r="C12" i="1" l="1"/>
  <c r="C13" i="1"/>
  <c r="G10" i="2" l="1"/>
  <c r="H10" i="2" s="1"/>
  <c r="G101" i="2"/>
  <c r="G23" i="2"/>
  <c r="G55" i="2"/>
  <c r="G62" i="2"/>
  <c r="G75" i="2"/>
  <c r="C11" i="1"/>
  <c r="G51" i="2" s="1"/>
  <c r="G92" i="2"/>
  <c r="C8" i="1"/>
  <c r="C9" i="1"/>
  <c r="G69" i="2" s="1"/>
  <c r="C10" i="1"/>
  <c r="H75" i="2" l="1"/>
  <c r="J75" i="2" s="1"/>
  <c r="R75" i="2"/>
  <c r="H62" i="2"/>
  <c r="R62" i="2"/>
  <c r="H69" i="2"/>
  <c r="J69" i="2" s="1"/>
  <c r="R69" i="2"/>
  <c r="H101" i="2"/>
  <c r="J101" i="2" s="1"/>
  <c r="R101" i="2"/>
  <c r="H51" i="2"/>
  <c r="J51" i="2" s="1"/>
  <c r="R51" i="2"/>
  <c r="H55" i="2"/>
  <c r="R55" i="2"/>
  <c r="H92" i="2"/>
  <c r="J92" i="2" s="1"/>
  <c r="H23" i="2"/>
  <c r="J23" i="2" s="1"/>
  <c r="J55" i="2"/>
  <c r="G46" i="2"/>
  <c r="G45" i="2"/>
  <c r="D8" i="1"/>
  <c r="E8" i="1"/>
  <c r="I13" i="1"/>
  <c r="I12" i="1"/>
  <c r="G97" i="2" s="1"/>
  <c r="I11" i="1"/>
  <c r="I10" i="1"/>
  <c r="I9" i="1"/>
  <c r="I8" i="1"/>
  <c r="H13" i="1"/>
  <c r="H12" i="1"/>
  <c r="H11" i="1"/>
  <c r="H10" i="1"/>
  <c r="H9" i="1"/>
  <c r="H8" i="1"/>
  <c r="G13" i="1"/>
  <c r="G12" i="1"/>
  <c r="G11" i="1"/>
  <c r="G10" i="1"/>
  <c r="G9" i="1"/>
  <c r="G8" i="1"/>
  <c r="F13" i="1"/>
  <c r="F12" i="1"/>
  <c r="F11" i="1"/>
  <c r="F10" i="1"/>
  <c r="F9" i="1"/>
  <c r="F8" i="1"/>
  <c r="E13" i="1"/>
  <c r="E12" i="1"/>
  <c r="E11" i="1"/>
  <c r="E10" i="1"/>
  <c r="E9" i="1"/>
  <c r="D13" i="1"/>
  <c r="D12" i="1"/>
  <c r="D11" i="1"/>
  <c r="D10" i="1"/>
  <c r="D9" i="1"/>
  <c r="H46" i="2" l="1"/>
  <c r="R46" i="2"/>
  <c r="H45" i="2"/>
  <c r="R45" i="2"/>
  <c r="H97" i="2"/>
  <c r="J97" i="2" s="1"/>
  <c r="R97" i="2"/>
  <c r="F68" i="1" l="1"/>
  <c r="F67" i="1"/>
  <c r="G104" i="2"/>
  <c r="I103" i="2"/>
  <c r="G103" i="2"/>
  <c r="I102" i="2"/>
  <c r="G102" i="2"/>
  <c r="I100" i="2"/>
  <c r="I99" i="2"/>
  <c r="I98" i="2"/>
  <c r="I96" i="2"/>
  <c r="I95" i="2"/>
  <c r="I94" i="2"/>
  <c r="I93" i="2"/>
  <c r="I91" i="2"/>
  <c r="G91" i="2"/>
  <c r="R91" i="2" s="1"/>
  <c r="I90" i="2"/>
  <c r="G90" i="2"/>
  <c r="I89" i="2"/>
  <c r="G89" i="2"/>
  <c r="I88" i="2"/>
  <c r="G88" i="2"/>
  <c r="I87" i="2"/>
  <c r="G87" i="2"/>
  <c r="I86" i="2"/>
  <c r="G86" i="2"/>
  <c r="I85" i="2"/>
  <c r="G85" i="2"/>
  <c r="I84" i="2"/>
  <c r="G84" i="2"/>
  <c r="G83" i="2"/>
  <c r="I82" i="2"/>
  <c r="G82" i="2"/>
  <c r="I81" i="2"/>
  <c r="G81" i="2"/>
  <c r="I80" i="2"/>
  <c r="G80" i="2"/>
  <c r="I79" i="2"/>
  <c r="G79" i="2"/>
  <c r="I76" i="2"/>
  <c r="I74" i="2"/>
  <c r="I73" i="2"/>
  <c r="I72" i="2"/>
  <c r="I71" i="2"/>
  <c r="I70" i="2"/>
  <c r="I68" i="2"/>
  <c r="I67" i="2"/>
  <c r="I66" i="2"/>
  <c r="I63" i="2"/>
  <c r="I62" i="2"/>
  <c r="I61" i="2"/>
  <c r="I60" i="2"/>
  <c r="I59" i="2"/>
  <c r="I58" i="2"/>
  <c r="I57" i="2"/>
  <c r="I56" i="2"/>
  <c r="I54" i="2"/>
  <c r="I53" i="2"/>
  <c r="I52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G28" i="2"/>
  <c r="H28" i="2" s="1"/>
  <c r="R28" i="2" s="1"/>
  <c r="G27" i="2"/>
  <c r="H27" i="2" s="1"/>
  <c r="R27" i="2" s="1"/>
  <c r="I25" i="2"/>
  <c r="G25" i="2"/>
  <c r="H25" i="2" s="1"/>
  <c r="R25" i="2" s="1"/>
  <c r="I24" i="2"/>
  <c r="G24" i="2"/>
  <c r="H24" i="2" s="1"/>
  <c r="R24" i="2" s="1"/>
  <c r="I20" i="2"/>
  <c r="I19" i="2"/>
  <c r="I18" i="2"/>
  <c r="I17" i="2"/>
  <c r="I16" i="2"/>
  <c r="I14" i="2"/>
  <c r="I13" i="2"/>
  <c r="I12" i="2"/>
  <c r="I11" i="2"/>
  <c r="I10" i="2"/>
  <c r="J10" i="2" s="1"/>
  <c r="D68" i="1"/>
  <c r="C62" i="1"/>
  <c r="C61" i="1"/>
  <c r="I128" i="2" s="1"/>
  <c r="J128" i="2" s="1"/>
  <c r="C59" i="1"/>
  <c r="C58" i="1"/>
  <c r="I131" i="2" s="1"/>
  <c r="J131" i="2" s="1"/>
  <c r="C57" i="1"/>
  <c r="C53" i="1"/>
  <c r="C52" i="1"/>
  <c r="C51" i="1"/>
  <c r="C48" i="1"/>
  <c r="C47" i="1"/>
  <c r="C46" i="1"/>
  <c r="C42" i="1"/>
  <c r="I124" i="2" s="1"/>
  <c r="J124" i="2" s="1"/>
  <c r="C31" i="1"/>
  <c r="C29" i="1"/>
  <c r="C26" i="1"/>
  <c r="C14" i="1"/>
  <c r="I125" i="2" l="1"/>
  <c r="J125" i="2" s="1"/>
  <c r="I130" i="2"/>
  <c r="J130" i="2" s="1"/>
  <c r="I127" i="2"/>
  <c r="J127" i="2" s="1"/>
  <c r="I132" i="2"/>
  <c r="J132" i="2" s="1"/>
  <c r="I126" i="2"/>
  <c r="J126" i="2" s="1"/>
  <c r="H87" i="2"/>
  <c r="R87" i="2"/>
  <c r="H91" i="2"/>
  <c r="H84" i="2"/>
  <c r="R84" i="2"/>
  <c r="H88" i="2"/>
  <c r="R88" i="2"/>
  <c r="H80" i="2"/>
  <c r="R80" i="2"/>
  <c r="H103" i="2"/>
  <c r="R103" i="2"/>
  <c r="H102" i="2"/>
  <c r="R102" i="2"/>
  <c r="H85" i="2"/>
  <c r="R85" i="2"/>
  <c r="H89" i="2"/>
  <c r="R89" i="2"/>
  <c r="H83" i="2"/>
  <c r="R83" i="2"/>
  <c r="H81" i="2"/>
  <c r="R81" i="2"/>
  <c r="H104" i="2"/>
  <c r="J104" i="2" s="1"/>
  <c r="R104" i="2"/>
  <c r="H79" i="2"/>
  <c r="R79" i="2"/>
  <c r="H86" i="2"/>
  <c r="R86" i="2"/>
  <c r="H90" i="2"/>
  <c r="R90" i="2"/>
  <c r="H82" i="2"/>
  <c r="R82" i="2"/>
  <c r="P116" i="2"/>
  <c r="E70" i="1"/>
  <c r="Q116" i="2" s="1"/>
  <c r="E69" i="3"/>
  <c r="C73" i="1"/>
  <c r="C74" i="1" s="1"/>
  <c r="E68" i="3"/>
  <c r="G14" i="1"/>
  <c r="G58" i="2"/>
  <c r="F69" i="1"/>
  <c r="I14" i="1"/>
  <c r="D14" i="1"/>
  <c r="D69" i="1"/>
  <c r="H14" i="1"/>
  <c r="E14" i="1"/>
  <c r="G13" i="2"/>
  <c r="H13" i="2" s="1"/>
  <c r="F14" i="1"/>
  <c r="I22" i="2"/>
  <c r="G74" i="2"/>
  <c r="G60" i="2"/>
  <c r="G76" i="2"/>
  <c r="G70" i="2"/>
  <c r="G65" i="2"/>
  <c r="G63" i="2"/>
  <c r="G61" i="2"/>
  <c r="G100" i="2"/>
  <c r="G99" i="2"/>
  <c r="G78" i="2"/>
  <c r="G77" i="2"/>
  <c r="G71" i="2"/>
  <c r="G66" i="2"/>
  <c r="G64" i="2"/>
  <c r="I64" i="2"/>
  <c r="G38" i="2"/>
  <c r="G40" i="2"/>
  <c r="G42" i="2"/>
  <c r="G44" i="2"/>
  <c r="G48" i="2"/>
  <c r="G50" i="2"/>
  <c r="G53" i="2"/>
  <c r="G56" i="2"/>
  <c r="G72" i="2"/>
  <c r="G67" i="2"/>
  <c r="I78" i="2"/>
  <c r="I83" i="2"/>
  <c r="G11" i="2"/>
  <c r="H11" i="2" s="1"/>
  <c r="G12" i="2"/>
  <c r="H12" i="2" s="1"/>
  <c r="G14" i="2"/>
  <c r="H14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73" i="2"/>
  <c r="G68" i="2"/>
  <c r="G59" i="2"/>
  <c r="G37" i="2"/>
  <c r="R37" i="2" s="1"/>
  <c r="G39" i="2"/>
  <c r="G41" i="2"/>
  <c r="G43" i="2"/>
  <c r="G47" i="2"/>
  <c r="G49" i="2"/>
  <c r="G52" i="2"/>
  <c r="G54" i="2"/>
  <c r="G57" i="2"/>
  <c r="I65" i="2"/>
  <c r="H72" i="2" l="1"/>
  <c r="R72" i="2"/>
  <c r="H38" i="2"/>
  <c r="R38" i="2"/>
  <c r="H100" i="2"/>
  <c r="R100" i="2"/>
  <c r="H61" i="2"/>
  <c r="R61" i="2"/>
  <c r="H58" i="2"/>
  <c r="R58" i="2"/>
  <c r="H52" i="2"/>
  <c r="R52" i="2"/>
  <c r="H73" i="2"/>
  <c r="R73" i="2"/>
  <c r="H53" i="2"/>
  <c r="R53" i="2"/>
  <c r="H64" i="2"/>
  <c r="R64" i="2"/>
  <c r="H63" i="2"/>
  <c r="R63" i="2"/>
  <c r="H47" i="2"/>
  <c r="R47" i="2"/>
  <c r="H50" i="2"/>
  <c r="R50" i="2"/>
  <c r="H66" i="2"/>
  <c r="R66" i="2"/>
  <c r="H65" i="2"/>
  <c r="R65" i="2"/>
  <c r="H48" i="2"/>
  <c r="R48" i="2"/>
  <c r="H71" i="2"/>
  <c r="R71" i="2"/>
  <c r="H70" i="2"/>
  <c r="R70" i="2"/>
  <c r="H54" i="2"/>
  <c r="R54" i="2"/>
  <c r="H68" i="2"/>
  <c r="R68" i="2"/>
  <c r="H77" i="2"/>
  <c r="R77" i="2"/>
  <c r="H59" i="2"/>
  <c r="R59" i="2"/>
  <c r="H43" i="2"/>
  <c r="R43" i="2"/>
  <c r="H76" i="2"/>
  <c r="R76" i="2"/>
  <c r="H39" i="2"/>
  <c r="R39" i="2"/>
  <c r="H42" i="2"/>
  <c r="R42" i="2"/>
  <c r="H78" i="2"/>
  <c r="R78" i="2"/>
  <c r="H60" i="2"/>
  <c r="R60" i="2"/>
  <c r="H56" i="2"/>
  <c r="R56" i="2"/>
  <c r="H49" i="2"/>
  <c r="R49" i="2"/>
  <c r="H41" i="2"/>
  <c r="R41" i="2"/>
  <c r="H44" i="2"/>
  <c r="R44" i="2"/>
  <c r="H57" i="2"/>
  <c r="R57" i="2"/>
  <c r="H67" i="2"/>
  <c r="R67" i="2"/>
  <c r="H40" i="2"/>
  <c r="R40" i="2"/>
  <c r="H99" i="2"/>
  <c r="R99" i="2"/>
  <c r="H74" i="2"/>
  <c r="R74" i="2"/>
  <c r="H37" i="2"/>
  <c r="I32" i="2"/>
  <c r="G68" i="3"/>
  <c r="G69" i="3"/>
  <c r="J25" i="2"/>
  <c r="J79" i="2"/>
  <c r="J27" i="2"/>
  <c r="J87" i="2"/>
  <c r="J103" i="2"/>
  <c r="J24" i="2"/>
  <c r="J91" i="2"/>
  <c r="J86" i="2"/>
  <c r="J102" i="2"/>
  <c r="J81" i="2"/>
  <c r="J83" i="2"/>
  <c r="J88" i="2"/>
  <c r="J90" i="2"/>
  <c r="J85" i="2"/>
  <c r="J80" i="2"/>
  <c r="J28" i="2"/>
  <c r="J84" i="2"/>
  <c r="J82" i="2"/>
  <c r="J89" i="2"/>
  <c r="G98" i="2"/>
  <c r="G96" i="2"/>
  <c r="G95" i="2"/>
  <c r="G94" i="2"/>
  <c r="G93" i="2"/>
  <c r="R93" i="2" s="1"/>
  <c r="J76" i="2"/>
  <c r="J18" i="2"/>
  <c r="J12" i="2"/>
  <c r="J14" i="2"/>
  <c r="J17" i="2"/>
  <c r="J22" i="2"/>
  <c r="J20" i="2"/>
  <c r="J19" i="2"/>
  <c r="J21" i="2"/>
  <c r="J13" i="2"/>
  <c r="J16" i="2"/>
  <c r="J11" i="2"/>
  <c r="H94" i="2" l="1"/>
  <c r="R94" i="2"/>
  <c r="H93" i="2"/>
  <c r="H95" i="2"/>
  <c r="R95" i="2"/>
  <c r="H96" i="2"/>
  <c r="R96" i="2"/>
  <c r="H98" i="2"/>
  <c r="R98" i="2"/>
  <c r="J32" i="2"/>
  <c r="E55" i="3"/>
  <c r="E61" i="3"/>
  <c r="E60" i="3"/>
  <c r="E59" i="3"/>
  <c r="E58" i="3"/>
  <c r="E56" i="3"/>
  <c r="E57" i="3"/>
  <c r="R32" i="2"/>
  <c r="J64" i="2"/>
  <c r="J44" i="2"/>
  <c r="J67" i="2"/>
  <c r="J57" i="2"/>
  <c r="J74" i="2"/>
  <c r="J58" i="2"/>
  <c r="J62" i="2"/>
  <c r="J47" i="2"/>
  <c r="J71" i="2"/>
  <c r="J59" i="2"/>
  <c r="J40" i="2"/>
  <c r="J72" i="2"/>
  <c r="J46" i="2"/>
  <c r="J52" i="2"/>
  <c r="J41" i="2"/>
  <c r="J73" i="2"/>
  <c r="J49" i="2"/>
  <c r="J78" i="2"/>
  <c r="J54" i="2"/>
  <c r="J43" i="2"/>
  <c r="J68" i="2"/>
  <c r="J100" i="2"/>
  <c r="J99" i="2"/>
  <c r="J66" i="2"/>
  <c r="J45" i="2"/>
  <c r="J60" i="2"/>
  <c r="J50" i="2"/>
  <c r="J77" i="2"/>
  <c r="J61" i="2"/>
  <c r="J53" i="2"/>
  <c r="J38" i="2"/>
  <c r="H32" i="2"/>
  <c r="J39" i="2"/>
  <c r="J63" i="2"/>
  <c r="J48" i="2"/>
  <c r="J42" i="2"/>
  <c r="J65" i="2"/>
  <c r="J56" i="2"/>
  <c r="J70" i="2"/>
  <c r="J37" i="2"/>
  <c r="J96" i="2" l="1"/>
  <c r="J93" i="2"/>
  <c r="J94" i="2"/>
  <c r="J98" i="2"/>
  <c r="J95" i="2"/>
  <c r="E106" i="2"/>
  <c r="E108" i="2" s="1"/>
  <c r="H118" i="2"/>
  <c r="J106" i="2" l="1"/>
  <c r="J108" i="2" s="1"/>
  <c r="H106" i="2"/>
  <c r="H108" i="2" s="1"/>
  <c r="R106" i="2"/>
  <c r="R108" i="2" s="1"/>
  <c r="H119" i="2" l="1"/>
  <c r="H120" i="2" s="1"/>
  <c r="C75" i="1" l="1"/>
  <c r="C76" i="1" s="1"/>
  <c r="H114" i="2" l="1"/>
  <c r="H115" i="2" s="1"/>
  <c r="V10" i="2" s="1"/>
  <c r="K127" i="2" l="1"/>
  <c r="L127" i="2" s="1"/>
  <c r="M127" i="2" s="1"/>
  <c r="N127" i="2" s="1"/>
  <c r="P127" i="2" s="1"/>
  <c r="S127" i="2" s="1"/>
  <c r="T127" i="2" s="1"/>
  <c r="K131" i="2"/>
  <c r="L131" i="2" s="1"/>
  <c r="M131" i="2" s="1"/>
  <c r="N131" i="2" s="1"/>
  <c r="P131" i="2" s="1"/>
  <c r="S131" i="2" s="1"/>
  <c r="T131" i="2" s="1"/>
  <c r="K123" i="2"/>
  <c r="L123" i="2" s="1"/>
  <c r="M123" i="2" s="1"/>
  <c r="N123" i="2" s="1"/>
  <c r="P123" i="2" s="1"/>
  <c r="S123" i="2" s="1"/>
  <c r="T123" i="2" s="1"/>
  <c r="K132" i="2"/>
  <c r="L132" i="2" s="1"/>
  <c r="M132" i="2" s="1"/>
  <c r="N132" i="2" s="1"/>
  <c r="P132" i="2" s="1"/>
  <c r="S132" i="2" s="1"/>
  <c r="T132" i="2" s="1"/>
  <c r="K128" i="2"/>
  <c r="L128" i="2" s="1"/>
  <c r="M128" i="2" s="1"/>
  <c r="N128" i="2" s="1"/>
  <c r="P128" i="2" s="1"/>
  <c r="S128" i="2" s="1"/>
  <c r="T128" i="2" s="1"/>
  <c r="K129" i="2"/>
  <c r="L129" i="2" s="1"/>
  <c r="M129" i="2" s="1"/>
  <c r="N129" i="2" s="1"/>
  <c r="P129" i="2" s="1"/>
  <c r="S129" i="2" s="1"/>
  <c r="T129" i="2" s="1"/>
  <c r="K130" i="2"/>
  <c r="L130" i="2" s="1"/>
  <c r="M130" i="2" s="1"/>
  <c r="N130" i="2" s="1"/>
  <c r="P130" i="2" s="1"/>
  <c r="S130" i="2" s="1"/>
  <c r="T130" i="2" s="1"/>
  <c r="K125" i="2"/>
  <c r="L125" i="2" s="1"/>
  <c r="M125" i="2" s="1"/>
  <c r="N125" i="2" s="1"/>
  <c r="P125" i="2" s="1"/>
  <c r="S125" i="2" s="1"/>
  <c r="T125" i="2" s="1"/>
  <c r="K126" i="2"/>
  <c r="L126" i="2" s="1"/>
  <c r="M126" i="2" s="1"/>
  <c r="N126" i="2" s="1"/>
  <c r="P126" i="2" s="1"/>
  <c r="S126" i="2" s="1"/>
  <c r="T126" i="2" s="1"/>
  <c r="K124" i="2"/>
  <c r="L124" i="2" s="1"/>
  <c r="M124" i="2" s="1"/>
  <c r="N124" i="2" s="1"/>
  <c r="P124" i="2" s="1"/>
  <c r="S124" i="2" s="1"/>
  <c r="T124" i="2" s="1"/>
  <c r="J151" i="3"/>
  <c r="K151" i="3" s="1"/>
  <c r="E151" i="3" s="1"/>
  <c r="K30" i="2"/>
  <c r="L30" i="2" s="1"/>
  <c r="M30" i="2" s="1"/>
  <c r="N30" i="2" s="1"/>
  <c r="V92" i="2"/>
  <c r="E33" i="3"/>
  <c r="E32" i="3"/>
  <c r="V37" i="2"/>
  <c r="V66" i="2"/>
  <c r="V96" i="2"/>
  <c r="V91" i="2"/>
  <c r="V67" i="2"/>
  <c r="V45" i="2"/>
  <c r="V40" i="2"/>
  <c r="V72" i="2"/>
  <c r="V53" i="2"/>
  <c r="V15" i="2"/>
  <c r="V16" i="2"/>
  <c r="V14" i="2"/>
  <c r="V38" i="2"/>
  <c r="V70" i="2"/>
  <c r="V100" i="2"/>
  <c r="V39" i="2"/>
  <c r="V71" i="2"/>
  <c r="V57" i="2"/>
  <c r="V44" i="2"/>
  <c r="V76" i="2"/>
  <c r="V69" i="2"/>
  <c r="V19" i="2"/>
  <c r="V24" i="2"/>
  <c r="V22" i="2"/>
  <c r="V59" i="2"/>
  <c r="V18" i="2"/>
  <c r="V42" i="2"/>
  <c r="V74" i="2"/>
  <c r="V104" i="2"/>
  <c r="V43" i="2"/>
  <c r="V75" i="2"/>
  <c r="V81" i="2"/>
  <c r="V48" i="2"/>
  <c r="V80" i="2"/>
  <c r="V87" i="2"/>
  <c r="V23" i="2"/>
  <c r="V26" i="2"/>
  <c r="V49" i="2"/>
  <c r="V25" i="2"/>
  <c r="V46" i="2"/>
  <c r="V78" i="2"/>
  <c r="V103" i="2"/>
  <c r="V47" i="2"/>
  <c r="V79" i="2"/>
  <c r="V99" i="2"/>
  <c r="V52" i="2"/>
  <c r="V83" i="2"/>
  <c r="V41" i="2"/>
  <c r="V27" i="2"/>
  <c r="V13" i="2"/>
  <c r="V93" i="2"/>
  <c r="V77" i="2"/>
  <c r="V94" i="2"/>
  <c r="V50" i="2"/>
  <c r="V82" i="2"/>
  <c r="V97" i="2"/>
  <c r="V51" i="2"/>
  <c r="V85" i="2"/>
  <c r="V102" i="2"/>
  <c r="V56" i="2"/>
  <c r="V86" i="2"/>
  <c r="V61" i="2"/>
  <c r="V20" i="2"/>
  <c r="V17" i="2"/>
  <c r="V58" i="2"/>
  <c r="V64" i="2"/>
  <c r="V54" i="2"/>
  <c r="V105" i="2"/>
  <c r="W105" i="2" s="1"/>
  <c r="V55" i="2"/>
  <c r="V89" i="2"/>
  <c r="V65" i="2"/>
  <c r="V60" i="2"/>
  <c r="V90" i="2"/>
  <c r="V84" i="2"/>
  <c r="V28" i="2"/>
  <c r="V21" i="2"/>
  <c r="V88" i="2"/>
  <c r="V62" i="2"/>
  <c r="V73" i="2"/>
  <c r="V63" i="2"/>
  <c r="V101" i="2"/>
  <c r="V95" i="2"/>
  <c r="V68" i="2"/>
  <c r="V98" i="2"/>
  <c r="V11" i="2"/>
  <c r="V12" i="2"/>
  <c r="V29" i="2"/>
  <c r="K97" i="2"/>
  <c r="L97" i="2" s="1"/>
  <c r="M97" i="2" s="1"/>
  <c r="N97" i="2" s="1"/>
  <c r="K101" i="2"/>
  <c r="L101" i="2" s="1"/>
  <c r="M101" i="2" s="1"/>
  <c r="N101" i="2" s="1"/>
  <c r="K75" i="2"/>
  <c r="L75" i="2" s="1"/>
  <c r="M75" i="2" s="1"/>
  <c r="N75" i="2" s="1"/>
  <c r="K69" i="2"/>
  <c r="L69" i="2" s="1"/>
  <c r="M69" i="2" s="1"/>
  <c r="N69" i="2" s="1"/>
  <c r="K55" i="2"/>
  <c r="L55" i="2" s="1"/>
  <c r="M55" i="2" s="1"/>
  <c r="N55" i="2" s="1"/>
  <c r="K10" i="2"/>
  <c r="L10" i="2" s="1"/>
  <c r="K51" i="2"/>
  <c r="L51" i="2" s="1"/>
  <c r="M51" i="2" s="1"/>
  <c r="N51" i="2" s="1"/>
  <c r="K29" i="2"/>
  <c r="L29" i="2" s="1"/>
  <c r="K26" i="2"/>
  <c r="L26" i="2" s="1"/>
  <c r="M26" i="2" s="1"/>
  <c r="N26" i="2" s="1"/>
  <c r="K15" i="2"/>
  <c r="L15" i="2" s="1"/>
  <c r="M15" i="2" s="1"/>
  <c r="N15" i="2" s="1"/>
  <c r="K23" i="2"/>
  <c r="L23" i="2" s="1"/>
  <c r="K38" i="2"/>
  <c r="L38" i="2" s="1"/>
  <c r="M38" i="2" s="1"/>
  <c r="N38" i="2" s="1"/>
  <c r="K90" i="2"/>
  <c r="L90" i="2" s="1"/>
  <c r="M90" i="2" s="1"/>
  <c r="N90" i="2" s="1"/>
  <c r="K42" i="2"/>
  <c r="L42" i="2" s="1"/>
  <c r="M42" i="2" s="1"/>
  <c r="N42" i="2" s="1"/>
  <c r="K54" i="2"/>
  <c r="L54" i="2" s="1"/>
  <c r="M54" i="2" s="1"/>
  <c r="N54" i="2" s="1"/>
  <c r="K48" i="2"/>
  <c r="L48" i="2" s="1"/>
  <c r="M48" i="2" s="1"/>
  <c r="N48" i="2" s="1"/>
  <c r="K72" i="2"/>
  <c r="L72" i="2" s="1"/>
  <c r="M72" i="2" s="1"/>
  <c r="N72" i="2" s="1"/>
  <c r="K49" i="2"/>
  <c r="L49" i="2" s="1"/>
  <c r="M49" i="2" s="1"/>
  <c r="N49" i="2" s="1"/>
  <c r="K100" i="2"/>
  <c r="L100" i="2" s="1"/>
  <c r="M100" i="2" s="1"/>
  <c r="N100" i="2" s="1"/>
  <c r="K89" i="2"/>
  <c r="L89" i="2" s="1"/>
  <c r="M89" i="2" s="1"/>
  <c r="N89" i="2" s="1"/>
  <c r="K77" i="2"/>
  <c r="L77" i="2" s="1"/>
  <c r="M77" i="2" s="1"/>
  <c r="N77" i="2" s="1"/>
  <c r="K66" i="2"/>
  <c r="L66" i="2" s="1"/>
  <c r="M66" i="2" s="1"/>
  <c r="N66" i="2" s="1"/>
  <c r="K83" i="2"/>
  <c r="L83" i="2" s="1"/>
  <c r="M83" i="2" s="1"/>
  <c r="N83" i="2" s="1"/>
  <c r="K52" i="2"/>
  <c r="L52" i="2" s="1"/>
  <c r="M52" i="2" s="1"/>
  <c r="N52" i="2" s="1"/>
  <c r="K99" i="2"/>
  <c r="L99" i="2" s="1"/>
  <c r="M99" i="2" s="1"/>
  <c r="N99" i="2" s="1"/>
  <c r="K46" i="2"/>
  <c r="L46" i="2" s="1"/>
  <c r="M46" i="2" s="1"/>
  <c r="N46" i="2" s="1"/>
  <c r="K47" i="2"/>
  <c r="L47" i="2" s="1"/>
  <c r="M47" i="2" s="1"/>
  <c r="N47" i="2" s="1"/>
  <c r="K94" i="2"/>
  <c r="L94" i="2" s="1"/>
  <c r="M94" i="2" s="1"/>
  <c r="N94" i="2" s="1"/>
  <c r="K24" i="2"/>
  <c r="L24" i="2" s="1"/>
  <c r="M24" i="2" s="1"/>
  <c r="N24" i="2" s="1"/>
  <c r="K22" i="2"/>
  <c r="L22" i="2" s="1"/>
  <c r="M22" i="2" s="1"/>
  <c r="N22" i="2" s="1"/>
  <c r="K37" i="2"/>
  <c r="K79" i="2"/>
  <c r="L79" i="2" s="1"/>
  <c r="M79" i="2" s="1"/>
  <c r="N79" i="2" s="1"/>
  <c r="K78" i="2"/>
  <c r="L78" i="2" s="1"/>
  <c r="M78" i="2" s="1"/>
  <c r="N78" i="2" s="1"/>
  <c r="K103" i="2"/>
  <c r="L103" i="2" s="1"/>
  <c r="M103" i="2" s="1"/>
  <c r="N103" i="2" s="1"/>
  <c r="K60" i="2"/>
  <c r="L60" i="2" s="1"/>
  <c r="M60" i="2" s="1"/>
  <c r="N60" i="2" s="1"/>
  <c r="K28" i="2"/>
  <c r="L28" i="2" s="1"/>
  <c r="M28" i="2" s="1"/>
  <c r="N28" i="2" s="1"/>
  <c r="K44" i="2"/>
  <c r="L44" i="2" s="1"/>
  <c r="M44" i="2" s="1"/>
  <c r="N44" i="2" s="1"/>
  <c r="K98" i="2"/>
  <c r="L98" i="2" s="1"/>
  <c r="M98" i="2" s="1"/>
  <c r="N98" i="2" s="1"/>
  <c r="K45" i="2"/>
  <c r="L45" i="2" s="1"/>
  <c r="M45" i="2" s="1"/>
  <c r="N45" i="2" s="1"/>
  <c r="K76" i="2"/>
  <c r="L76" i="2" s="1"/>
  <c r="M76" i="2" s="1"/>
  <c r="N76" i="2" s="1"/>
  <c r="K21" i="2"/>
  <c r="L21" i="2" s="1"/>
  <c r="M21" i="2" s="1"/>
  <c r="N21" i="2" s="1"/>
  <c r="K93" i="2"/>
  <c r="L93" i="2" s="1"/>
  <c r="M93" i="2" s="1"/>
  <c r="N93" i="2" s="1"/>
  <c r="K84" i="2"/>
  <c r="L84" i="2" s="1"/>
  <c r="M84" i="2" s="1"/>
  <c r="N84" i="2" s="1"/>
  <c r="K40" i="2"/>
  <c r="L40" i="2" s="1"/>
  <c r="M40" i="2" s="1"/>
  <c r="N40" i="2" s="1"/>
  <c r="K11" i="2"/>
  <c r="L11" i="2" s="1"/>
  <c r="M11" i="2" s="1"/>
  <c r="N11" i="2" s="1"/>
  <c r="K91" i="2"/>
  <c r="L91" i="2" s="1"/>
  <c r="M91" i="2" s="1"/>
  <c r="N91" i="2" s="1"/>
  <c r="K13" i="2"/>
  <c r="L13" i="2" s="1"/>
  <c r="M13" i="2" s="1"/>
  <c r="N13" i="2" s="1"/>
  <c r="K92" i="2"/>
  <c r="L92" i="2" s="1"/>
  <c r="M92" i="2" s="1"/>
  <c r="N92" i="2" s="1"/>
  <c r="K63" i="2"/>
  <c r="L63" i="2" s="1"/>
  <c r="M63" i="2" s="1"/>
  <c r="N63" i="2" s="1"/>
  <c r="K39" i="2"/>
  <c r="L39" i="2" s="1"/>
  <c r="M39" i="2" s="1"/>
  <c r="N39" i="2" s="1"/>
  <c r="K61" i="2"/>
  <c r="L61" i="2" s="1"/>
  <c r="M61" i="2" s="1"/>
  <c r="N61" i="2" s="1"/>
  <c r="K67" i="2"/>
  <c r="L67" i="2" s="1"/>
  <c r="M67" i="2" s="1"/>
  <c r="N67" i="2" s="1"/>
  <c r="K71" i="2"/>
  <c r="L71" i="2" s="1"/>
  <c r="M71" i="2" s="1"/>
  <c r="N71" i="2" s="1"/>
  <c r="K73" i="2"/>
  <c r="L73" i="2" s="1"/>
  <c r="M73" i="2" s="1"/>
  <c r="N73" i="2" s="1"/>
  <c r="K85" i="2"/>
  <c r="L85" i="2" s="1"/>
  <c r="M85" i="2" s="1"/>
  <c r="N85" i="2" s="1"/>
  <c r="K70" i="2"/>
  <c r="L70" i="2" s="1"/>
  <c r="M70" i="2" s="1"/>
  <c r="N70" i="2" s="1"/>
  <c r="K95" i="2"/>
  <c r="L95" i="2" s="1"/>
  <c r="M95" i="2" s="1"/>
  <c r="N95" i="2" s="1"/>
  <c r="K104" i="2"/>
  <c r="L104" i="2" s="1"/>
  <c r="M104" i="2" s="1"/>
  <c r="N104" i="2" s="1"/>
  <c r="K96" i="2"/>
  <c r="L96" i="2" s="1"/>
  <c r="M96" i="2" s="1"/>
  <c r="N96" i="2" s="1"/>
  <c r="K25" i="2"/>
  <c r="L25" i="2" s="1"/>
  <c r="M25" i="2" s="1"/>
  <c r="N25" i="2" s="1"/>
  <c r="K57" i="2"/>
  <c r="L57" i="2" s="1"/>
  <c r="M57" i="2" s="1"/>
  <c r="N57" i="2" s="1"/>
  <c r="K43" i="2"/>
  <c r="L43" i="2" s="1"/>
  <c r="M43" i="2" s="1"/>
  <c r="N43" i="2" s="1"/>
  <c r="K16" i="2"/>
  <c r="L16" i="2" s="1"/>
  <c r="M16" i="2" s="1"/>
  <c r="N16" i="2" s="1"/>
  <c r="K58" i="2"/>
  <c r="L58" i="2" s="1"/>
  <c r="M58" i="2" s="1"/>
  <c r="N58" i="2" s="1"/>
  <c r="K19" i="2"/>
  <c r="L19" i="2" s="1"/>
  <c r="M19" i="2" s="1"/>
  <c r="N19" i="2" s="1"/>
  <c r="K20" i="2"/>
  <c r="L20" i="2" s="1"/>
  <c r="M20" i="2" s="1"/>
  <c r="N20" i="2" s="1"/>
  <c r="K74" i="2"/>
  <c r="L74" i="2" s="1"/>
  <c r="M74" i="2" s="1"/>
  <c r="N74" i="2" s="1"/>
  <c r="K62" i="2"/>
  <c r="L62" i="2" s="1"/>
  <c r="M62" i="2" s="1"/>
  <c r="N62" i="2" s="1"/>
  <c r="K12" i="2"/>
  <c r="L12" i="2" s="1"/>
  <c r="M12" i="2" s="1"/>
  <c r="N12" i="2" s="1"/>
  <c r="K86" i="2"/>
  <c r="L86" i="2" s="1"/>
  <c r="M86" i="2" s="1"/>
  <c r="N86" i="2" s="1"/>
  <c r="K18" i="2"/>
  <c r="L18" i="2" s="1"/>
  <c r="M18" i="2" s="1"/>
  <c r="N18" i="2" s="1"/>
  <c r="K14" i="2"/>
  <c r="L14" i="2" s="1"/>
  <c r="M14" i="2" s="1"/>
  <c r="N14" i="2" s="1"/>
  <c r="K81" i="2"/>
  <c r="L81" i="2" s="1"/>
  <c r="M81" i="2" s="1"/>
  <c r="N81" i="2" s="1"/>
  <c r="K80" i="2"/>
  <c r="L80" i="2" s="1"/>
  <c r="M80" i="2" s="1"/>
  <c r="N80" i="2" s="1"/>
  <c r="K65" i="2"/>
  <c r="L65" i="2" s="1"/>
  <c r="M65" i="2" s="1"/>
  <c r="N65" i="2" s="1"/>
  <c r="K50" i="2"/>
  <c r="L50" i="2" s="1"/>
  <c r="M50" i="2" s="1"/>
  <c r="N50" i="2" s="1"/>
  <c r="K56" i="2"/>
  <c r="L56" i="2" s="1"/>
  <c r="M56" i="2" s="1"/>
  <c r="N56" i="2" s="1"/>
  <c r="K87" i="2"/>
  <c r="L87" i="2" s="1"/>
  <c r="M87" i="2" s="1"/>
  <c r="N87" i="2" s="1"/>
  <c r="K41" i="2"/>
  <c r="L41" i="2" s="1"/>
  <c r="M41" i="2" s="1"/>
  <c r="N41" i="2" s="1"/>
  <c r="K53" i="2"/>
  <c r="L53" i="2" s="1"/>
  <c r="M53" i="2" s="1"/>
  <c r="N53" i="2" s="1"/>
  <c r="K68" i="2"/>
  <c r="L68" i="2" s="1"/>
  <c r="M68" i="2" s="1"/>
  <c r="N68" i="2" s="1"/>
  <c r="K102" i="2"/>
  <c r="L102" i="2" s="1"/>
  <c r="M102" i="2" s="1"/>
  <c r="N102" i="2" s="1"/>
  <c r="K27" i="2"/>
  <c r="L27" i="2" s="1"/>
  <c r="M27" i="2" s="1"/>
  <c r="N27" i="2" s="1"/>
  <c r="K64" i="2"/>
  <c r="L64" i="2" s="1"/>
  <c r="M64" i="2" s="1"/>
  <c r="N64" i="2" s="1"/>
  <c r="K88" i="2"/>
  <c r="L88" i="2" s="1"/>
  <c r="M88" i="2" s="1"/>
  <c r="N88" i="2" s="1"/>
  <c r="K82" i="2"/>
  <c r="L82" i="2" s="1"/>
  <c r="M82" i="2" s="1"/>
  <c r="N82" i="2" s="1"/>
  <c r="K59" i="2"/>
  <c r="L59" i="2" s="1"/>
  <c r="M59" i="2" s="1"/>
  <c r="N59" i="2" s="1"/>
  <c r="K17" i="2"/>
  <c r="L17" i="2" s="1"/>
  <c r="M17" i="2" s="1"/>
  <c r="N17" i="2" s="1"/>
  <c r="W13" i="2" l="1"/>
  <c r="P30" i="2"/>
  <c r="S30" i="2" s="1"/>
  <c r="W53" i="2"/>
  <c r="W94" i="2"/>
  <c r="W12" i="2"/>
  <c r="W59" i="2"/>
  <c r="W51" i="2"/>
  <c r="W71" i="2"/>
  <c r="W92" i="2"/>
  <c r="W68" i="2"/>
  <c r="W87" i="2"/>
  <c r="W44" i="2"/>
  <c r="W54" i="2"/>
  <c r="W42" i="2"/>
  <c r="W86" i="2"/>
  <c r="E45" i="3"/>
  <c r="G32" i="3"/>
  <c r="E46" i="3"/>
  <c r="G33" i="3"/>
  <c r="W58" i="2"/>
  <c r="W78" i="2"/>
  <c r="W28" i="2"/>
  <c r="W56" i="2"/>
  <c r="W14" i="2"/>
  <c r="W76" i="2"/>
  <c r="W48" i="2"/>
  <c r="W57" i="2"/>
  <c r="W90" i="2"/>
  <c r="W27" i="2"/>
  <c r="W43" i="2"/>
  <c r="W66" i="2"/>
  <c r="W80" i="2"/>
  <c r="W88" i="2"/>
  <c r="W67" i="2"/>
  <c r="W91" i="2"/>
  <c r="W98" i="2"/>
  <c r="W64" i="2"/>
  <c r="W74" i="2"/>
  <c r="W84" i="2"/>
  <c r="W77" i="2"/>
  <c r="W95" i="2"/>
  <c r="W21" i="2"/>
  <c r="W103" i="2"/>
  <c r="W18" i="2"/>
  <c r="W85" i="2"/>
  <c r="W79" i="2"/>
  <c r="W52" i="2"/>
  <c r="W96" i="2"/>
  <c r="W102" i="2"/>
  <c r="W93" i="2"/>
  <c r="W47" i="2"/>
  <c r="W16" i="2"/>
  <c r="W104" i="2"/>
  <c r="W38" i="2"/>
  <c r="W61" i="2"/>
  <c r="W19" i="2"/>
  <c r="W70" i="2"/>
  <c r="W99" i="2"/>
  <c r="W49" i="2"/>
  <c r="W45" i="2"/>
  <c r="W26" i="2"/>
  <c r="W73" i="2"/>
  <c r="W65" i="2"/>
  <c r="W20" i="2"/>
  <c r="W60" i="2"/>
  <c r="W39" i="2"/>
  <c r="W81" i="2"/>
  <c r="W63" i="2"/>
  <c r="W46" i="2"/>
  <c r="W17" i="2"/>
  <c r="W41" i="2"/>
  <c r="W72" i="2"/>
  <c r="W24" i="2"/>
  <c r="W89" i="2"/>
  <c r="W100" i="2"/>
  <c r="W82" i="2"/>
  <c r="W11" i="2"/>
  <c r="W62" i="2"/>
  <c r="W25" i="2"/>
  <c r="W40" i="2"/>
  <c r="W83" i="2"/>
  <c r="P50" i="2"/>
  <c r="W50" i="2"/>
  <c r="P55" i="2"/>
  <c r="W55" i="2"/>
  <c r="P69" i="2"/>
  <c r="W69" i="2"/>
  <c r="P75" i="2"/>
  <c r="W75" i="2"/>
  <c r="P101" i="2"/>
  <c r="W101" i="2"/>
  <c r="P97" i="2"/>
  <c r="W97" i="2"/>
  <c r="E21" i="3"/>
  <c r="W22" i="2"/>
  <c r="P15" i="2"/>
  <c r="W15" i="2"/>
  <c r="P51" i="2"/>
  <c r="M29" i="2"/>
  <c r="N29" i="2" s="1"/>
  <c r="P26" i="2"/>
  <c r="S26" i="2" s="1"/>
  <c r="M23" i="2"/>
  <c r="N23" i="2" s="1"/>
  <c r="E97" i="3"/>
  <c r="G97" i="3" s="1"/>
  <c r="Q88" i="2" s="1"/>
  <c r="E111" i="3"/>
  <c r="E120" i="3"/>
  <c r="P64" i="2"/>
  <c r="S64" i="2" s="1"/>
  <c r="E80" i="3"/>
  <c r="E152" i="3"/>
  <c r="P78" i="2"/>
  <c r="S78" i="2" s="1"/>
  <c r="P56" i="2"/>
  <c r="S56" i="2" s="1"/>
  <c r="E25" i="3"/>
  <c r="E30" i="3" s="1"/>
  <c r="P57" i="2"/>
  <c r="S57" i="2" s="1"/>
  <c r="E110" i="3"/>
  <c r="E119" i="3"/>
  <c r="E79" i="3"/>
  <c r="G79" i="3" s="1"/>
  <c r="P67" i="2"/>
  <c r="S67" i="2" s="1"/>
  <c r="E24" i="3"/>
  <c r="P13" i="2"/>
  <c r="P21" i="2"/>
  <c r="S21" i="2" s="1"/>
  <c r="E20" i="3"/>
  <c r="P103" i="2"/>
  <c r="S103" i="2" s="1"/>
  <c r="E63" i="3"/>
  <c r="P47" i="2"/>
  <c r="P48" i="2"/>
  <c r="E158" i="3"/>
  <c r="P83" i="2"/>
  <c r="S83" i="2" s="1"/>
  <c r="P17" i="2"/>
  <c r="S17" i="2" s="1"/>
  <c r="E16" i="3"/>
  <c r="P27" i="2"/>
  <c r="S27" i="2" s="1"/>
  <c r="E9" i="3"/>
  <c r="P65" i="2"/>
  <c r="S65" i="2" s="1"/>
  <c r="P74" i="2"/>
  <c r="S74" i="2" s="1"/>
  <c r="P96" i="2"/>
  <c r="S96" i="2" s="1"/>
  <c r="P39" i="2"/>
  <c r="P45" i="2"/>
  <c r="E85" i="3"/>
  <c r="P79" i="2"/>
  <c r="S79" i="2" s="1"/>
  <c r="P99" i="2"/>
  <c r="S99" i="2" s="1"/>
  <c r="E121" i="3"/>
  <c r="E112" i="3"/>
  <c r="P66" i="2"/>
  <c r="S66" i="2" s="1"/>
  <c r="E81" i="3"/>
  <c r="G81" i="3" s="1"/>
  <c r="P42" i="2"/>
  <c r="P76" i="2"/>
  <c r="S76" i="2" s="1"/>
  <c r="E82" i="3"/>
  <c r="G82" i="3" s="1"/>
  <c r="P46" i="2"/>
  <c r="P59" i="2"/>
  <c r="S59" i="2" s="1"/>
  <c r="P102" i="2"/>
  <c r="S102" i="2" s="1"/>
  <c r="E19" i="3"/>
  <c r="P20" i="2"/>
  <c r="S20" i="2" s="1"/>
  <c r="P85" i="2"/>
  <c r="S85" i="2" s="1"/>
  <c r="E91" i="3"/>
  <c r="P63" i="2"/>
  <c r="S63" i="2" s="1"/>
  <c r="E100" i="3"/>
  <c r="P91" i="2"/>
  <c r="S91" i="2" s="1"/>
  <c r="P98" i="2"/>
  <c r="S98" i="2" s="1"/>
  <c r="E164" i="3"/>
  <c r="E150" i="3"/>
  <c r="E156" i="3" s="1"/>
  <c r="P77" i="2"/>
  <c r="S77" i="2" s="1"/>
  <c r="P90" i="2"/>
  <c r="S90" i="2" s="1"/>
  <c r="E99" i="3"/>
  <c r="P68" i="2"/>
  <c r="S68" i="2" s="1"/>
  <c r="P81" i="2"/>
  <c r="S81" i="2" s="1"/>
  <c r="E87" i="3"/>
  <c r="P19" i="2"/>
  <c r="S19" i="2" s="1"/>
  <c r="E18" i="3"/>
  <c r="E64" i="3"/>
  <c r="P104" i="2"/>
  <c r="S104" i="2" s="1"/>
  <c r="P73" i="2"/>
  <c r="S73" i="2" s="1"/>
  <c r="P11" i="2"/>
  <c r="E12" i="3"/>
  <c r="P44" i="2"/>
  <c r="K106" i="2"/>
  <c r="L37" i="2"/>
  <c r="P89" i="2"/>
  <c r="S89" i="2" s="1"/>
  <c r="E98" i="3"/>
  <c r="P38" i="2"/>
  <c r="P61" i="2"/>
  <c r="S61" i="2" s="1"/>
  <c r="P54" i="2"/>
  <c r="S54" i="2" s="1"/>
  <c r="P88" i="2"/>
  <c r="S88" i="2" s="1"/>
  <c r="P53" i="2"/>
  <c r="S53" i="2" s="1"/>
  <c r="E14" i="3"/>
  <c r="P14" i="2"/>
  <c r="S14" i="2" s="1"/>
  <c r="P58" i="2"/>
  <c r="S58" i="2" s="1"/>
  <c r="P95" i="2"/>
  <c r="S95" i="2" s="1"/>
  <c r="E107" i="3"/>
  <c r="E116" i="3"/>
  <c r="E76" i="3"/>
  <c r="G76" i="3" s="1"/>
  <c r="P40" i="2"/>
  <c r="P28" i="2"/>
  <c r="S28" i="2" s="1"/>
  <c r="P22" i="2"/>
  <c r="S22" i="2" s="1"/>
  <c r="P100" i="2"/>
  <c r="S100" i="2" s="1"/>
  <c r="P62" i="2"/>
  <c r="S62" i="2" s="1"/>
  <c r="K32" i="2"/>
  <c r="I118" i="2" s="1"/>
  <c r="P41" i="2"/>
  <c r="P18" i="2"/>
  <c r="S18" i="2" s="1"/>
  <c r="E17" i="3"/>
  <c r="E15" i="3"/>
  <c r="P16" i="2"/>
  <c r="S16" i="2" s="1"/>
  <c r="P70" i="2"/>
  <c r="S70" i="2" s="1"/>
  <c r="P92" i="2"/>
  <c r="S92" i="2" s="1"/>
  <c r="E89" i="3"/>
  <c r="P84" i="2"/>
  <c r="S84" i="2" s="1"/>
  <c r="P60" i="2"/>
  <c r="S60" i="2" s="1"/>
  <c r="P24" i="2"/>
  <c r="S24" i="2" s="1"/>
  <c r="E36" i="3"/>
  <c r="P52" i="2"/>
  <c r="S52" i="2" s="1"/>
  <c r="P49" i="2"/>
  <c r="E109" i="3"/>
  <c r="E118" i="3"/>
  <c r="E78" i="3"/>
  <c r="G78" i="3" s="1"/>
  <c r="E41" i="3"/>
  <c r="P25" i="2"/>
  <c r="S25" i="2" s="1"/>
  <c r="P82" i="2"/>
  <c r="S82" i="2" s="1"/>
  <c r="E88" i="3"/>
  <c r="P87" i="2"/>
  <c r="S87" i="2" s="1"/>
  <c r="E96" i="3"/>
  <c r="E86" i="3"/>
  <c r="P80" i="2"/>
  <c r="S80" i="2" s="1"/>
  <c r="E92" i="3"/>
  <c r="E103" i="3" s="1"/>
  <c r="P86" i="2"/>
  <c r="S86" i="2" s="1"/>
  <c r="E77" i="3"/>
  <c r="G77" i="3" s="1"/>
  <c r="E108" i="3"/>
  <c r="E117" i="3"/>
  <c r="P43" i="2"/>
  <c r="E122" i="3"/>
  <c r="E113" i="3"/>
  <c r="P71" i="2"/>
  <c r="S71" i="2" s="1"/>
  <c r="P93" i="2"/>
  <c r="S93" i="2" s="1"/>
  <c r="E125" i="3"/>
  <c r="E127" i="3" s="1"/>
  <c r="P94" i="2"/>
  <c r="S94" i="2" s="1"/>
  <c r="P72" i="2"/>
  <c r="S72" i="2" s="1"/>
  <c r="E134" i="3" l="1"/>
  <c r="E142" i="3" s="1"/>
  <c r="G142" i="3" s="1"/>
  <c r="E129" i="3"/>
  <c r="S45" i="2"/>
  <c r="T45" i="2" s="1"/>
  <c r="S51" i="2"/>
  <c r="T51" i="2" s="1"/>
  <c r="S101" i="2"/>
  <c r="T101" i="2" s="1"/>
  <c r="S50" i="2"/>
  <c r="T50" i="2" s="1"/>
  <c r="S46" i="2"/>
  <c r="T46" i="2" s="1"/>
  <c r="S39" i="2"/>
  <c r="T39" i="2" s="1"/>
  <c r="S41" i="2"/>
  <c r="T41" i="2" s="1"/>
  <c r="S42" i="2"/>
  <c r="T42" i="2" s="1"/>
  <c r="S47" i="2"/>
  <c r="T47" i="2" s="1"/>
  <c r="S69" i="2"/>
  <c r="T69" i="2" s="1"/>
  <c r="S43" i="2"/>
  <c r="T43" i="2" s="1"/>
  <c r="S40" i="2"/>
  <c r="T40" i="2" s="1"/>
  <c r="S38" i="2"/>
  <c r="T38" i="2" s="1"/>
  <c r="S97" i="2"/>
  <c r="T97" i="2" s="1"/>
  <c r="S75" i="2"/>
  <c r="T75" i="2" s="1"/>
  <c r="S55" i="2"/>
  <c r="T55" i="2" s="1"/>
  <c r="S49" i="2"/>
  <c r="T49" i="2" s="1"/>
  <c r="S44" i="2"/>
  <c r="T44" i="2" s="1"/>
  <c r="S48" i="2"/>
  <c r="T48" i="2" s="1"/>
  <c r="T30" i="2"/>
  <c r="S11" i="2"/>
  <c r="T11" i="2" s="1"/>
  <c r="S13" i="2"/>
  <c r="T13" i="2" s="1"/>
  <c r="S15" i="2"/>
  <c r="T15" i="2" s="1"/>
  <c r="P12" i="2"/>
  <c r="W29" i="2"/>
  <c r="E29" i="3"/>
  <c r="E44" i="3" s="1"/>
  <c r="G44" i="3" s="1"/>
  <c r="E23" i="3"/>
  <c r="G46" i="3"/>
  <c r="G45" i="3"/>
  <c r="G127" i="3"/>
  <c r="G80" i="3"/>
  <c r="E90" i="3"/>
  <c r="E101" i="3" s="1"/>
  <c r="E31" i="3"/>
  <c r="E28" i="3"/>
  <c r="G28" i="3" s="1"/>
  <c r="E43" i="3"/>
  <c r="E126" i="3" s="1"/>
  <c r="G30" i="3"/>
  <c r="E22" i="3"/>
  <c r="W23" i="2"/>
  <c r="K108" i="2"/>
  <c r="T71" i="2"/>
  <c r="T92" i="2"/>
  <c r="T77" i="2"/>
  <c r="T83" i="2"/>
  <c r="T103" i="2"/>
  <c r="T88" i="2"/>
  <c r="U88" i="2"/>
  <c r="T86" i="2"/>
  <c r="T87" i="2"/>
  <c r="T73" i="2"/>
  <c r="T85" i="2"/>
  <c r="T76" i="2"/>
  <c r="T95" i="2"/>
  <c r="T74" i="2"/>
  <c r="T70" i="2"/>
  <c r="T81" i="2"/>
  <c r="T98" i="2"/>
  <c r="T102" i="2"/>
  <c r="T99" i="2"/>
  <c r="T90" i="2"/>
  <c r="T94" i="2"/>
  <c r="T82" i="2"/>
  <c r="T104" i="2"/>
  <c r="T96" i="2"/>
  <c r="T80" i="2"/>
  <c r="T100" i="2"/>
  <c r="T91" i="2"/>
  <c r="T79" i="2"/>
  <c r="T84" i="2"/>
  <c r="T89" i="2"/>
  <c r="T72" i="2"/>
  <c r="T93" i="2"/>
  <c r="T78" i="2"/>
  <c r="T58" i="2"/>
  <c r="T54" i="2"/>
  <c r="T65" i="2"/>
  <c r="T67" i="2"/>
  <c r="T62" i="2"/>
  <c r="T61" i="2"/>
  <c r="T64" i="2"/>
  <c r="T63" i="2"/>
  <c r="T60" i="2"/>
  <c r="T68" i="2"/>
  <c r="T59" i="2"/>
  <c r="T56" i="2"/>
  <c r="T57" i="2"/>
  <c r="T52" i="2"/>
  <c r="T53" i="2"/>
  <c r="T66" i="2"/>
  <c r="T24" i="2"/>
  <c r="T14" i="2"/>
  <c r="T16" i="2"/>
  <c r="T27" i="2"/>
  <c r="T21" i="2"/>
  <c r="T25" i="2"/>
  <c r="T22" i="2"/>
  <c r="T20" i="2"/>
  <c r="T18" i="2"/>
  <c r="T28" i="2"/>
  <c r="T19" i="2"/>
  <c r="T17" i="2"/>
  <c r="P29" i="2"/>
  <c r="S29" i="2" s="1"/>
  <c r="T26" i="2"/>
  <c r="P23" i="2"/>
  <c r="S23" i="2" s="1"/>
  <c r="G108" i="3"/>
  <c r="G86" i="3"/>
  <c r="Q80" i="2" s="1"/>
  <c r="U80" i="2" s="1"/>
  <c r="G89" i="3"/>
  <c r="Q84" i="2" s="1"/>
  <c r="U84" i="2" s="1"/>
  <c r="G17" i="3"/>
  <c r="Q18" i="2" s="1"/>
  <c r="U18" i="2" s="1"/>
  <c r="G21" i="3"/>
  <c r="Q22" i="2" s="1"/>
  <c r="U22" i="2" s="1"/>
  <c r="G107" i="3"/>
  <c r="E37" i="3"/>
  <c r="G12" i="3"/>
  <c r="G18" i="3"/>
  <c r="Q19" i="2" s="1"/>
  <c r="U19" i="2" s="1"/>
  <c r="G100" i="3"/>
  <c r="Q91" i="2" s="1"/>
  <c r="U91" i="2" s="1"/>
  <c r="G156" i="3"/>
  <c r="Q69" i="2"/>
  <c r="U69" i="2" s="1"/>
  <c r="G85" i="3"/>
  <c r="Q79" i="2" s="1"/>
  <c r="U79" i="2" s="1"/>
  <c r="G96" i="3"/>
  <c r="Q87" i="2" s="1"/>
  <c r="U87" i="2" s="1"/>
  <c r="G41" i="3"/>
  <c r="L32" i="2"/>
  <c r="M10" i="2"/>
  <c r="N10" i="2" s="1"/>
  <c r="G98" i="3"/>
  <c r="Q89" i="2" s="1"/>
  <c r="U89" i="2" s="1"/>
  <c r="G99" i="3"/>
  <c r="Q90" i="2" s="1"/>
  <c r="U90" i="2" s="1"/>
  <c r="G16" i="3"/>
  <c r="G110" i="3"/>
  <c r="G36" i="3"/>
  <c r="Q24" i="2" s="1"/>
  <c r="U24" i="2" s="1"/>
  <c r="G151" i="3"/>
  <c r="E157" i="3"/>
  <c r="G112" i="3"/>
  <c r="E50" i="3"/>
  <c r="E51" i="3"/>
  <c r="E49" i="3"/>
  <c r="G63" i="3"/>
  <c r="Q103" i="2" s="1"/>
  <c r="U103" i="2" s="1"/>
  <c r="G24" i="3"/>
  <c r="E165" i="3"/>
  <c r="E170" i="3"/>
  <c r="E173" i="3"/>
  <c r="G152" i="3"/>
  <c r="Q78" i="2" s="1"/>
  <c r="U78" i="2" s="1"/>
  <c r="G88" i="3"/>
  <c r="Q82" i="2" s="1"/>
  <c r="U82" i="2" s="1"/>
  <c r="G118" i="3"/>
  <c r="G91" i="3"/>
  <c r="Q85" i="2" s="1"/>
  <c r="U85" i="2" s="1"/>
  <c r="E102" i="3"/>
  <c r="G19" i="3"/>
  <c r="Q20" i="2" s="1"/>
  <c r="U20" i="2" s="1"/>
  <c r="Q75" i="2"/>
  <c r="U75" i="2" s="1"/>
  <c r="G121" i="3"/>
  <c r="G113" i="3"/>
  <c r="G109" i="3"/>
  <c r="G103" i="3"/>
  <c r="G87" i="3"/>
  <c r="Q81" i="2" s="1"/>
  <c r="U81" i="2" s="1"/>
  <c r="G122" i="3"/>
  <c r="G92" i="3"/>
  <c r="Q86" i="2" s="1"/>
  <c r="U86" i="2" s="1"/>
  <c r="I119" i="2"/>
  <c r="G150" i="3"/>
  <c r="Q77" i="2" s="1"/>
  <c r="U77" i="2" s="1"/>
  <c r="E153" i="3"/>
  <c r="E163" i="3"/>
  <c r="E38" i="3"/>
  <c r="G9" i="3"/>
  <c r="E40" i="3"/>
  <c r="E39" i="3"/>
  <c r="G158" i="3"/>
  <c r="Q83" i="2" s="1"/>
  <c r="U83" i="2" s="1"/>
  <c r="G20" i="3"/>
  <c r="G25" i="3"/>
  <c r="M37" i="2"/>
  <c r="L106" i="2"/>
  <c r="G116" i="3"/>
  <c r="G120" i="3"/>
  <c r="G125" i="3"/>
  <c r="E132" i="3"/>
  <c r="E138" i="3"/>
  <c r="E140" i="3"/>
  <c r="G117" i="3"/>
  <c r="G15" i="3"/>
  <c r="G14" i="3"/>
  <c r="G64" i="3"/>
  <c r="Q104" i="2" s="1"/>
  <c r="U104" i="2" s="1"/>
  <c r="G119" i="3"/>
  <c r="G111" i="3"/>
  <c r="E133" i="3" l="1"/>
  <c r="E141" i="3" s="1"/>
  <c r="G141" i="3" s="1"/>
  <c r="E128" i="3"/>
  <c r="G134" i="3"/>
  <c r="T29" i="2"/>
  <c r="S12" i="2"/>
  <c r="T12" i="2" s="1"/>
  <c r="G90" i="3"/>
  <c r="G29" i="3"/>
  <c r="G31" i="3"/>
  <c r="G126" i="3"/>
  <c r="G128" i="3" s="1"/>
  <c r="G129" i="3" s="1"/>
  <c r="G43" i="3"/>
  <c r="Q21" i="2"/>
  <c r="U21" i="2" s="1"/>
  <c r="Q12" i="2"/>
  <c r="U12" i="2" s="1"/>
  <c r="Q13" i="2"/>
  <c r="Q17" i="2"/>
  <c r="U17" i="2" s="1"/>
  <c r="Q11" i="2"/>
  <c r="U11" i="2" s="1"/>
  <c r="Q97" i="2"/>
  <c r="U97" i="2" s="1"/>
  <c r="Q101" i="2"/>
  <c r="U101" i="2" s="1"/>
  <c r="Q51" i="2"/>
  <c r="U51" i="2" s="1"/>
  <c r="Q55" i="2"/>
  <c r="U55" i="2" s="1"/>
  <c r="T23" i="2"/>
  <c r="Q25" i="2"/>
  <c r="U25" i="2" s="1"/>
  <c r="Q26" i="2"/>
  <c r="U26" i="2" s="1"/>
  <c r="L108" i="2"/>
  <c r="Q14" i="2"/>
  <c r="U14" i="2" s="1"/>
  <c r="Q15" i="2"/>
  <c r="U15" i="2" s="1"/>
  <c r="Q16" i="2"/>
  <c r="U16" i="2" s="1"/>
  <c r="Q41" i="2"/>
  <c r="U41" i="2" s="1"/>
  <c r="Q42" i="2"/>
  <c r="U42" i="2" s="1"/>
  <c r="Q40" i="2"/>
  <c r="U40" i="2" s="1"/>
  <c r="G163" i="3"/>
  <c r="G38" i="3"/>
  <c r="Q74" i="2"/>
  <c r="U74" i="2" s="1"/>
  <c r="Q72" i="2"/>
  <c r="U72" i="2" s="1"/>
  <c r="Q76" i="2"/>
  <c r="U76" i="2" s="1"/>
  <c r="Q71" i="2"/>
  <c r="U71" i="2" s="1"/>
  <c r="Q73" i="2"/>
  <c r="U73" i="2" s="1"/>
  <c r="G164" i="3"/>
  <c r="Q56" i="2"/>
  <c r="U56" i="2" s="1"/>
  <c r="Q50" i="2"/>
  <c r="U50" i="2" s="1"/>
  <c r="Q52" i="2"/>
  <c r="U52" i="2" s="1"/>
  <c r="Q54" i="2"/>
  <c r="U54" i="2" s="1"/>
  <c r="Q53" i="2"/>
  <c r="U53" i="2" s="1"/>
  <c r="Q49" i="2"/>
  <c r="U49" i="2" s="1"/>
  <c r="Q46" i="2"/>
  <c r="U46" i="2" s="1"/>
  <c r="Q48" i="2"/>
  <c r="U48" i="2" s="1"/>
  <c r="Q47" i="2"/>
  <c r="U47" i="2" s="1"/>
  <c r="Q43" i="2"/>
  <c r="U43" i="2" s="1"/>
  <c r="Q45" i="2"/>
  <c r="U45" i="2" s="1"/>
  <c r="Q44" i="2"/>
  <c r="U44" i="2" s="1"/>
  <c r="G37" i="3"/>
  <c r="G39" i="3"/>
  <c r="E159" i="3"/>
  <c r="G159" i="3" s="1"/>
  <c r="E166" i="3"/>
  <c r="G153" i="3"/>
  <c r="G157" i="3"/>
  <c r="W10" i="2"/>
  <c r="M32" i="2"/>
  <c r="N37" i="2"/>
  <c r="W37" i="2" s="1"/>
  <c r="M106" i="2"/>
  <c r="G49" i="3"/>
  <c r="Q29" i="2" s="1"/>
  <c r="U29" i="2" s="1"/>
  <c r="G40" i="3"/>
  <c r="Q27" i="2"/>
  <c r="U27" i="2" s="1"/>
  <c r="Q28" i="2"/>
  <c r="U28" i="2" s="1"/>
  <c r="G102" i="3"/>
  <c r="G173" i="3"/>
  <c r="G51" i="3"/>
  <c r="G101" i="3"/>
  <c r="G22" i="3"/>
  <c r="Q23" i="2" s="1"/>
  <c r="U23" i="2" s="1"/>
  <c r="Q98" i="2"/>
  <c r="U98" i="2" s="1"/>
  <c r="Q99" i="2"/>
  <c r="U99" i="2" s="1"/>
  <c r="Q94" i="2"/>
  <c r="U94" i="2" s="1"/>
  <c r="Q100" i="2"/>
  <c r="U100" i="2" s="1"/>
  <c r="Q93" i="2"/>
  <c r="U93" i="2" s="1"/>
  <c r="Q95" i="2"/>
  <c r="U95" i="2" s="1"/>
  <c r="Q96" i="2"/>
  <c r="U96" i="2" s="1"/>
  <c r="G140" i="3"/>
  <c r="Q92" i="2" s="1"/>
  <c r="U92" i="2" s="1"/>
  <c r="Q64" i="2"/>
  <c r="U64" i="2" s="1"/>
  <c r="Q65" i="2"/>
  <c r="U65" i="2" s="1"/>
  <c r="Q66" i="2"/>
  <c r="U66" i="2" s="1"/>
  <c r="Q68" i="2"/>
  <c r="U68" i="2" s="1"/>
  <c r="Q67" i="2"/>
  <c r="U67" i="2" s="1"/>
  <c r="Q70" i="2"/>
  <c r="U70" i="2" s="1"/>
  <c r="G132" i="3"/>
  <c r="Q60" i="2"/>
  <c r="U60" i="2" s="1"/>
  <c r="Q62" i="2"/>
  <c r="U62" i="2" s="1"/>
  <c r="Q57" i="2"/>
  <c r="U57" i="2" s="1"/>
  <c r="Q59" i="2"/>
  <c r="U59" i="2" s="1"/>
  <c r="Q63" i="2"/>
  <c r="U63" i="2" s="1"/>
  <c r="Q58" i="2"/>
  <c r="U58" i="2" s="1"/>
  <c r="Q61" i="2"/>
  <c r="U61" i="2" s="1"/>
  <c r="G170" i="3"/>
  <c r="G50" i="3"/>
  <c r="Q30" i="2" s="1"/>
  <c r="I120" i="2"/>
  <c r="K119" i="2" s="1"/>
  <c r="G138" i="3"/>
  <c r="Q102" i="2" s="1"/>
  <c r="U102" i="2" s="1"/>
  <c r="G23" i="3"/>
  <c r="G165" i="3"/>
  <c r="G133" i="3" l="1"/>
  <c r="G135" i="3" s="1"/>
  <c r="G136" i="3" s="1"/>
  <c r="N106" i="2"/>
  <c r="G143" i="3"/>
  <c r="E143" i="3" s="1"/>
  <c r="M108" i="2"/>
  <c r="G166" i="3"/>
  <c r="E75" i="3"/>
  <c r="G75" i="3" s="1"/>
  <c r="P37" i="2"/>
  <c r="P10" i="2"/>
  <c r="E13" i="3"/>
  <c r="K118" i="2"/>
  <c r="K120" i="2" s="1"/>
  <c r="S37" i="2" l="1"/>
  <c r="T37" i="2" s="1"/>
  <c r="S10" i="2"/>
  <c r="T10" i="2" s="1"/>
  <c r="G144" i="3"/>
  <c r="E144" i="3" s="1"/>
  <c r="E27" i="3"/>
  <c r="G13" i="3"/>
  <c r="T106" i="2" l="1"/>
  <c r="P112" i="2" s="1"/>
  <c r="Q112" i="2" s="1"/>
  <c r="T32" i="2"/>
  <c r="P111" i="2" s="1"/>
  <c r="Q111" i="2" s="1"/>
  <c r="S106" i="2"/>
  <c r="S32" i="2"/>
  <c r="G27" i="3"/>
  <c r="Q10" i="2"/>
  <c r="Q39" i="2"/>
  <c r="U39" i="2" s="1"/>
  <c r="Q38" i="2"/>
  <c r="U38" i="2" s="1"/>
  <c r="Q37" i="2"/>
  <c r="U37" i="2" s="1"/>
  <c r="G60" i="3"/>
  <c r="G58" i="3"/>
  <c r="G59" i="3"/>
  <c r="G57" i="3"/>
  <c r="G55" i="3"/>
  <c r="G56" i="3"/>
  <c r="T108" i="2" l="1"/>
  <c r="T109" i="2" s="1"/>
  <c r="S108" i="2"/>
  <c r="P113" i="2"/>
  <c r="P114" i="2" s="1"/>
  <c r="G6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tc={D857E9A4-FEB5-411F-9C1C-1EC4943F4EE1}</author>
  </authors>
  <commentList>
    <comment ref="F74" authorId="0" shapeId="0" xr:uid="{D857E9A4-FEB5-411F-9C1C-1EC4943F4EE1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0.004275. Current rate charged for WUTC fees is 0.005100.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tc={8D26E76B-1FD2-4797-8F5F-F466E04E7416}</author>
    <author>tc={16A28872-6AB5-4FCB-94E2-F5DB1CCAC9E6}</author>
    <author>tc={40F17BD3-D461-4789-9A70-B5A9B22C220D}</author>
    <author>tc={B069D787-5942-4848-96DE-0D2E16C792B6}</author>
    <author>tc={B5AD7530-E757-4D3A-9488-D5036E48DD1E}</author>
    <author>tc={11AB4AD8-57FB-4C80-9728-48E8103210BB}</author>
    <author>tc={56CFCECD-7FDE-4CBD-92EA-75AE1D9DEDD0}</author>
    <author>tc={6E5BBD81-9AD1-46CF-AF49-757FF5E0A15F}</author>
    <author>tc={B6C4AE13-2D21-4816-A7DB-83E74AA09105}</author>
    <author>tc={D85D0255-8911-4D6E-8E1A-C99518FD33DB}</author>
    <author>tc={3F338211-B328-4C02-940E-8DF13A159C45}</author>
    <author>tc={2F9406A2-3CD3-42B5-8AA9-77C8A31F2071}</author>
    <author>Lindsay Waldram</author>
    <author>tc={D16FD654-877D-4426-9D2A-AA851BCF295F}</author>
    <author>tc={A042DB09-F4E4-4554-BA11-6F9BD59FB66E}</author>
    <author>Heather Garland</author>
    <author>tc={C4C1D14F-D15F-4C04-96F8-95533C8139A7}</author>
    <author>tc={E04595A6-0534-48A8-A0E6-300B738548FB}</author>
    <author>tc={EB99149B-FF3B-4537-AF16-676597DDE0C2}</author>
    <author>tc={F3B6E630-3795-4104-A742-609995138D1A}</author>
    <author>tc={48BBAF73-6023-422B-AD17-7BBF627C4ACA}</author>
    <author>tc={557D4684-9C54-4385-A856-ACE9AE8B2E7A}</author>
    <author>tc={F5254447-63AA-43C9-879F-8B028020F0AB}</author>
    <author>tc={24350187-239E-4399-9D69-D54BC4881574}</author>
    <author>tc={1077BA47-9241-4662-8B44-7970782C944F}</author>
    <author>tc={8C40457A-2BC1-40E4-A1C5-63E8FE556BA7}</author>
    <author>tc={94281E7E-C835-436A-91F9-5359B99DBE15}</author>
    <author>tc={AABA27AD-F4B6-42BE-A7A4-8D8CDDAF8300}</author>
    <author>tc={65A0BF4A-B7BC-4FEA-A838-CC13BD54EA15}</author>
    <author>tc={412FAFAB-88CD-4987-8F61-AB173DAD1C04}</author>
    <author>tc={A429EAEB-6318-4733-88B3-15A1B418ADF3}</author>
    <author>tc={A664DFB1-000D-443B-99FA-B1CD139A29C7}</author>
    <author>tc={84048FB4-9F04-4641-9F2A-8F0D14EECA03}</author>
    <author>tc={72241BC6-9CAC-42DC-B812-470D55F42011}</author>
    <author>tc={15486181-DB41-4334-A281-497BE2F3B4C8}</author>
    <author>tc={106F04CF-862A-49F9-AAAA-A64DC409DDFC}</author>
    <author>tc={E91B301F-9B22-48B7-91B3-A94F9E97129F}</author>
    <author>tc={53B34EF9-6712-4215-BC05-02AEC575D6AA}</author>
    <author>tc={C3174D71-5E8E-42CF-96A1-35B3AA274121}</author>
    <author>tc={E92FC482-8D37-40DD-9C32-F0C719A22128}</author>
    <author>tc={C8CD74BB-C146-4D7E-99D4-D05C5DEEF467}</author>
    <author>tc={DDA798F5-2DDB-413B-A5AE-597AA7FD77EA}</author>
    <author>tc={5A9F69C2-5C1F-4DB2-904E-4DF15FCD6F97}</author>
    <author>tc={99371E00-729E-46D6-8153-B70CDBCD3D47}</author>
    <author>tc={A74A826C-F13D-4B41-80FF-2F008BCF15C1}</author>
    <author>tc={DAAF80AB-4255-483B-8C42-3E44BE51771C}</author>
    <author>tc={674AC90C-AC9C-48D1-8846-D3348DDCC5A2}</author>
    <author>tc={7D8182A4-E4E7-4A9F-9789-1C3B4DF84458}</author>
    <author>tc={946DC9EF-9811-4F53-AE7E-2B749F62B314}</author>
    <author>tc={C0615D51-B0A1-46C1-968A-465B6DB5AF2D}</author>
    <author>tc={CA6A34C7-AB15-400E-A32D-D32747212338}</author>
    <author>tc={20FBC187-FB5F-4E18-9033-796069F16FEE}</author>
    <author>tc={653905D4-2FC8-4078-AC37-D9C94E45841A}</author>
    <author>tc={62A3C397-1617-4E69-8B70-E81FEB9959D6}</author>
    <author>tc={086CEFF1-3DDF-46A5-9DEA-9A3BB1E65D11}</author>
    <author>tc={827B3D83-5F88-4BAD-AD99-C431687450E7}</author>
    <author>tc={F796B135-953B-4F2E-8F48-BA43CAD2F63E}</author>
    <author>tc={EC84B4D7-C889-491F-8F68-56A78A90D40A}</author>
    <author>tc={704010BA-C3B6-4AC2-99F2-0CC3AEC72F70}</author>
    <author>tc={32DF1D66-66CB-4416-BF74-8D9530A69AD1}</author>
    <author>tc={9995ADF2-B452-4F09-A2A1-D05682E2CCDD}</author>
    <author>tc={33FD54D5-BE37-49A1-AF14-15279DA0250B}</author>
    <author>tc={E5C0D40A-2743-429B-8F8B-2C0AC4CF6FBD}</author>
    <author>tc={22E8138B-4C5F-4ABD-AE83-1ED04FF6B4E3}</author>
    <author>tc={B9E79830-BAEB-4689-AD8D-C90FE85834E8}</author>
    <author>tc={8A9F7ADA-8B9B-4B26-96EF-2BA42652A3F7}</author>
    <author>tc={954F4E5A-C95E-458F-BAAF-9BD02EF2E3CA}</author>
    <author>tc={3DEF39E2-B1AB-4459-AFEB-60D99C52359B}</author>
    <author>tc={052F0686-6DC1-4454-A15D-2AB3B84D634F}</author>
    <author>tc={202A5EE6-9C1D-4818-8602-35A2E548DB7F}</author>
    <author>tc={681472ED-4A98-4880-96C3-E79293DB9243}</author>
    <author>tc={552700F8-AE7E-4979-8BB7-A0F0C1C21460}</author>
    <author>tc={97C5353E-8561-465D-AEFE-BDAA14231051}</author>
    <author>tc={A32D7669-FCD6-425D-BF23-918157140F46}</author>
    <author>tc={A2D7EE5F-39BE-4BB3-A054-4F6C87713E18}</author>
    <author>tc={5B72C5D1-7942-4614-98FB-F94C3A9E920D}</author>
    <author>tc={3621FF39-6918-4F05-A820-A1588172BC81}</author>
    <author>tc={75DEAEE0-29AF-4F63-AE68-88AEF9835DC9}</author>
    <author>tc={2700A2A4-2E5E-4040-AAE2-D40C85930D2A}</author>
    <author>tc={CE17081D-942B-4C5F-9185-D470F3FDFED1}</author>
    <author>tc={4B4A6E47-344D-4B2C-96E3-976EE70D12F3}</author>
    <author>tc={C2FC4FB6-33BD-40FE-A449-E0796B2462EF}</author>
    <author>tc={5EDFBF2E-559D-4971-8D17-DD4D53CC23A7}</author>
    <author>tc={01BAFC55-2AD9-4777-ADE5-116FE9469330}</author>
    <author>tc={2C84A696-D98C-4814-A863-D0974095F08C}</author>
    <author>tc={4A410F09-1A3F-4CD3-BD97-D97A87738643}</author>
    <author>tc={11737ABA-6263-4667-B4A0-66A01B87D7BD}</author>
    <author>tc={411F8380-80F7-4CC3-A3E3-C7AB8308858C}</author>
    <author>tc={B4FEECDD-78B3-4D8C-962E-097D775A517F}</author>
    <author>tc={CEE536BD-31DC-4F15-B659-09B62E1C0292}</author>
    <author>tc={2FFCA777-5EEF-4B52-A1E1-C4DA9C7BDE5B}</author>
  </authors>
  <commentList>
    <comment ref="E10" authorId="0" shapeId="0" xr:uid="{8D26E76B-1FD2-4797-8F5F-F466E04E7416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1" authorId="1" shapeId="0" xr:uid="{16A28872-6AB5-4FCB-94E2-F5DB1CCAC9E6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2" authorId="2" shapeId="0" xr:uid="{40F17BD3-D461-4789-9A70-B5A9B22C220D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3" authorId="3" shapeId="0" xr:uid="{B069D787-5942-4848-96DE-0D2E16C792B6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4" authorId="4" shapeId="0" xr:uid="{B5AD7530-E757-4D3A-9488-D5036E48DD1E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5" authorId="5" shapeId="0" xr:uid="{11AB4AD8-57FB-4C80-9728-48E8103210BB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6" authorId="6" shapeId="0" xr:uid="{56CFCECD-7FDE-4CBD-92EA-75AE1D9DEDD0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7" authorId="7" shapeId="0" xr:uid="{6E5BBD81-9AD1-46CF-AF49-757FF5E0A15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8" authorId="8" shapeId="0" xr:uid="{B6C4AE13-2D21-4816-A7DB-83E74AA09105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9" authorId="9" shapeId="0" xr:uid="{D85D0255-8911-4D6E-8E1A-C99518FD33DB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0" authorId="10" shapeId="0" xr:uid="{3F338211-B328-4C02-940E-8DF13A159C45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1" authorId="11" shapeId="0" xr:uid="{2F9406A2-3CD3-42B5-8AA9-77C8A31F207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I21" authorId="12" shapeId="0" xr:uid="{00000000-0006-0000-0100-000001000000}">
      <text>
        <r>
          <rPr>
            <b/>
            <sz val="9"/>
            <color indexed="81"/>
            <rFont val="Tahoma"/>
            <family val="2"/>
          </rPr>
          <t>Lindsay Waldram:</t>
        </r>
        <r>
          <rPr>
            <sz val="9"/>
            <color indexed="81"/>
            <rFont val="Tahoma"/>
            <family val="2"/>
          </rPr>
          <t xml:space="preserve">
This service is not listed in the Meeks weight.  Used the % increase between 5 &amp; 6 cans to determine the step increase for 7 cans.</t>
        </r>
      </text>
    </comment>
    <comment ref="E22" authorId="13" shapeId="0" xr:uid="{D16FD654-877D-4426-9D2A-AA851BCF295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3" authorId="14" shapeId="0" xr:uid="{A042DB09-F4E4-4554-BA11-6F9BD59FB66E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I23" authorId="15" shapeId="0" xr:uid="{00000000-0006-0000-0100-000002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From TG-220548</t>
        </r>
      </text>
    </comment>
    <comment ref="E24" authorId="16" shapeId="0" xr:uid="{C4C1D14F-D15F-4C04-96F8-95533C8139A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5" authorId="17" shapeId="0" xr:uid="{E04595A6-0534-48A8-A0E6-300B738548FB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6" authorId="18" shapeId="0" xr:uid="{EB99149B-FF3B-4537-AF16-676597DDE0C2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7" authorId="19" shapeId="0" xr:uid="{F3B6E630-3795-4104-A742-609995138D1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8" authorId="20" shapeId="0" xr:uid="{48BBAF73-6023-422B-AD17-7BBF627C4AC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9" authorId="21" shapeId="0" xr:uid="{557D4684-9C54-4385-A856-ACE9AE8B2E7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37" authorId="22" shapeId="0" xr:uid="{F5254447-63AA-43C9-879F-8B028020F0AB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38" authorId="23" shapeId="0" xr:uid="{24350187-239E-4399-9D69-D54BC4881574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39" authorId="24" shapeId="0" xr:uid="{1077BA47-9241-4662-8B44-7970782C944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0" authorId="25" shapeId="0" xr:uid="{8C40457A-2BC1-40E4-A1C5-63E8FE556BA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1" authorId="26" shapeId="0" xr:uid="{94281E7E-C835-436A-91F9-5359B99DBE15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2" authorId="27" shapeId="0" xr:uid="{AABA27AD-F4B6-42BE-A7A4-8D8CDDAF8300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3" authorId="28" shapeId="0" xr:uid="{65A0BF4A-B7BC-4FEA-A838-CC13BD54EA15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4" authorId="29" shapeId="0" xr:uid="{412FAFAB-88CD-4987-8F61-AB173DAD1C04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5" authorId="30" shapeId="0" xr:uid="{A429EAEB-6318-4733-88B3-15A1B418ADF3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6" authorId="31" shapeId="0" xr:uid="{A664DFB1-000D-443B-99FA-B1CD139A29C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7" authorId="32" shapeId="0" xr:uid="{84048FB4-9F04-4641-9F2A-8F0D14EECA03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8" authorId="33" shapeId="0" xr:uid="{72241BC6-9CAC-42DC-B812-470D55F4201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9" authorId="34" shapeId="0" xr:uid="{15486181-DB41-4334-A281-497BE2F3B4C8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0" authorId="35" shapeId="0" xr:uid="{106F04CF-862A-49F9-AAAA-A64DC409DDFC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1" authorId="36" shapeId="0" xr:uid="{E91B301F-9B22-48B7-91B3-A94F9E97129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2" authorId="37" shapeId="0" xr:uid="{53B34EF9-6712-4215-BC05-02AEC575D6A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3" authorId="38" shapeId="0" xr:uid="{C3174D71-5E8E-42CF-96A1-35B3AA27412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4" authorId="39" shapeId="0" xr:uid="{E92FC482-8D37-40DD-9C32-F0C719A22128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5" authorId="40" shapeId="0" xr:uid="{C8CD74BB-C146-4D7E-99D4-D05C5DEEF46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6" authorId="41" shapeId="0" xr:uid="{DDA798F5-2DDB-413B-A5AE-597AA7FD77E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7" authorId="42" shapeId="0" xr:uid="{5A9F69C2-5C1F-4DB2-904E-4DF15FCD6F9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8" authorId="43" shapeId="0" xr:uid="{99371E00-729E-46D6-8153-B70CDBCD3D4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9" authorId="44" shapeId="0" xr:uid="{A74A826C-F13D-4B41-80FF-2F008BCF15C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0" authorId="45" shapeId="0" xr:uid="{DAAF80AB-4255-483B-8C42-3E44BE51771C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1" authorId="46" shapeId="0" xr:uid="{674AC90C-AC9C-48D1-8846-D3348DDCC5A2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2" authorId="47" shapeId="0" xr:uid="{7D8182A4-E4E7-4A9F-9789-1C3B4DF84458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3" authorId="48" shapeId="0" xr:uid="{946DC9EF-9811-4F53-AE7E-2B749F62B314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4" authorId="49" shapeId="0" xr:uid="{C0615D51-B0A1-46C1-968A-465B6DB5AF2D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5" authorId="50" shapeId="0" xr:uid="{CA6A34C7-AB15-400E-A32D-D32747212338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6" authorId="51" shapeId="0" xr:uid="{20FBC187-FB5F-4E18-9033-796069F16FEE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7" authorId="52" shapeId="0" xr:uid="{653905D4-2FC8-4078-AC37-D9C94E45841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8" authorId="53" shapeId="0" xr:uid="{62A3C397-1617-4E69-8B70-E81FEB9959D6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9" authorId="54" shapeId="0" xr:uid="{086CEFF1-3DDF-46A5-9DEA-9A3BB1E65D1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0" authorId="55" shapeId="0" xr:uid="{827B3D83-5F88-4BAD-AD99-C431687450E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1" authorId="56" shapeId="0" xr:uid="{F796B135-953B-4F2E-8F48-BA43CAD2F63E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2" authorId="57" shapeId="0" xr:uid="{EC84B4D7-C889-491F-8F68-56A78A90D40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3" authorId="58" shapeId="0" xr:uid="{704010BA-C3B6-4AC2-99F2-0CC3AEC72F70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4" authorId="59" shapeId="0" xr:uid="{32DF1D66-66CB-4416-BF74-8D9530A69AD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5" authorId="60" shapeId="0" xr:uid="{9995ADF2-B452-4F09-A2A1-D05682E2CCDD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6" authorId="61" shapeId="0" xr:uid="{33FD54D5-BE37-49A1-AF14-15279DA0250B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7" authorId="62" shapeId="0" xr:uid="{E5C0D40A-2743-429B-8F8B-2C0AC4CF6FBD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8" authorId="63" shapeId="0" xr:uid="{22E8138B-4C5F-4ABD-AE83-1ED04FF6B4E3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9" authorId="64" shapeId="0" xr:uid="{B9E79830-BAEB-4689-AD8D-C90FE85834E8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0" authorId="65" shapeId="0" xr:uid="{8A9F7ADA-8B9B-4B26-96EF-2BA42652A3F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1" authorId="66" shapeId="0" xr:uid="{954F4E5A-C95E-458F-BAAF-9BD02EF2E3C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2" authorId="67" shapeId="0" xr:uid="{3DEF39E2-B1AB-4459-AFEB-60D99C52359B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3" authorId="68" shapeId="0" xr:uid="{052F0686-6DC1-4454-A15D-2AB3B84D634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4" authorId="69" shapeId="0" xr:uid="{202A5EE6-9C1D-4818-8602-35A2E548DB7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5" authorId="70" shapeId="0" xr:uid="{681472ED-4A98-4880-96C3-E79293DB9243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6" authorId="71" shapeId="0" xr:uid="{552700F8-AE7E-4979-8BB7-A0F0C1C21460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7" authorId="72" shapeId="0" xr:uid="{97C5353E-8561-465D-AEFE-BDAA1423105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8" authorId="73" shapeId="0" xr:uid="{A32D7669-FCD6-425D-BF23-918157140F46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9" authorId="74" shapeId="0" xr:uid="{A2D7EE5F-39BE-4BB3-A054-4F6C87713E18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0" authorId="75" shapeId="0" xr:uid="{5B72C5D1-7942-4614-98FB-F94C3A9E920D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1" authorId="76" shapeId="0" xr:uid="{3621FF39-6918-4F05-A820-A1588172BC8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2" authorId="77" shapeId="0" xr:uid="{75DEAEE0-29AF-4F63-AE68-88AEF9835DC9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N92" authorId="78" shapeId="0" xr:uid="{2700A2A4-2E5E-4040-AAE2-D40C85930D2A}">
      <text>
        <t>[Threaded comment]
Your version of Excel allows you to read this threaded comment; however, any edits to it will get removed if the file is opened in a newer version of Excel. Learn more: https://go.microsoft.com/fwlink/?linkid=870924
Comment:
    Multiplied by monthly pickups to calculate increase in monthly bill minimum.</t>
      </text>
    </comment>
    <comment ref="E93" authorId="79" shapeId="0" xr:uid="{CE17081D-942B-4C5F-9185-D470F3FDFED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4" authorId="80" shapeId="0" xr:uid="{4B4A6E47-344D-4B2C-96E3-976EE70D12F3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5" authorId="81" shapeId="0" xr:uid="{C2FC4FB6-33BD-40FE-A449-E0796B2462E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6" authorId="82" shapeId="0" xr:uid="{5EDFBF2E-559D-4971-8D17-DD4D53CC23A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7" authorId="83" shapeId="0" xr:uid="{01BAFC55-2AD9-4777-ADE5-116FE9469330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8" authorId="84" shapeId="0" xr:uid="{2C84A696-D98C-4814-A863-D0974095F08C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9" authorId="85" shapeId="0" xr:uid="{4A410F09-1A3F-4CD3-BD97-D97A87738643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00" authorId="86" shapeId="0" xr:uid="{11737ABA-6263-4667-B4A0-66A01B87D7BD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01" authorId="87" shapeId="0" xr:uid="{411F8380-80F7-4CC3-A3E3-C7AB8308858C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02" authorId="88" shapeId="0" xr:uid="{B4FEECDD-78B3-4D8C-962E-097D775A517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03" authorId="89" shapeId="0" xr:uid="{CEE536BD-31DC-4F15-B659-09B62E1C0292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04" authorId="90" shapeId="0" xr:uid="{2FFCA777-5EEF-4B52-A1E1-C4DA9C7BDE5B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P115" authorId="15" shapeId="0" xr:uid="{00000000-0006-0000-0100-000003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From TG-220339 Price Out. Disposal PT revenue divided by rates.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Heather Garland</author>
  </authors>
  <commentList>
    <comment ref="E5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Tariff item is stated "per 50 lbs."</t>
        </r>
      </text>
    </comment>
    <comment ref="A10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Heather Garland:
</t>
        </r>
        <r>
          <rPr>
            <sz val="9"/>
            <color indexed="81"/>
            <rFont val="Tahoma"/>
            <family val="2"/>
          </rPr>
          <t>New rates since last general rate filing. Disposal was embedded in rates in TG-200738.  Weights assumed to be the same as Item 240.</t>
        </r>
      </text>
    </comment>
    <comment ref="E12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Final rate calculated at right to normalize rates by size.</t>
        </r>
      </text>
    </comment>
    <comment ref="G128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These rates did not make sense.  65 gallon less than 35 gallon. I took the differential between the 20 gal and 35 gal (after DF increase) to come to a more reasonable increase.  This can be redesigned in the rate case we plan to file to become effective 7/1/2023 with the second round of automation.</t>
        </r>
      </text>
    </comment>
    <comment ref="B129" authorId="0" shapeId="0" xr:uid="{39EA9047-2363-4443-8C9A-B2D2F4BC914B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These rates did not make sense.  65 gallon less than 35 gallon. I took the differential between the 20 gal and 35 gal (after DF increase) to come to a more reasonable increase.  This can be redesigned in the rate case we plan to file to become effective 7/1/2023 with the second round of automation.</t>
        </r>
      </text>
    </comment>
    <comment ref="E129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Final rate calculated at right to normalize rates by size.</t>
        </r>
      </text>
    </comment>
    <comment ref="G129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These rates did not make sense.  65 gallon less than 35 gallon. I took the differential between the 20 gal and 35 gal (after DF increase) to come to a more reasonable increase.  This can be redesigned in the rate case we plan to file to become effective 7/1/2023 with the second round of automation.</t>
        </r>
      </text>
    </comment>
    <comment ref="E135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Final rate calculated at right to normalize rates by size.</t>
        </r>
      </text>
    </comment>
    <comment ref="G135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These rates did not make sense.  65 gallon less than 35 gallon. I took the differential between the 20 gal and 35 gal (after DF increase) to come to a more reasonable increase.  This can be redesigned in the rate case we plan to file to become effective 7/1/2023 with the second round of automation.</t>
        </r>
      </text>
    </comment>
    <comment ref="B136" authorId="0" shapeId="0" xr:uid="{341B6DD2-3A8E-47FB-B054-4A0BEB9CDFD1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These rates did not make sense.  65 gallon less than 35 gallon. I took the differential between the 20 gal and 35 gal (after DF increase) to come to a more reasonable increase.  This can be redesigned in the rate case we plan to file to become effective 7/1/2023 with the second round of automation.</t>
        </r>
      </text>
    </comment>
    <comment ref="E136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Final rate calculated at right to normalize rates by size.</t>
        </r>
      </text>
    </comment>
    <comment ref="G136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These rates did not make sense.  65 gallon less than 35 gallon. I took the differential between the 20 gal and 35 gal (after DF increase) to come to a more reasonable increase.  This can be redesigned in the rate case we plan to file to become effective 7/1/2023 with the second round of automation.</t>
        </r>
      </text>
    </comment>
    <comment ref="E143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Final rate calculated at right to normalize rates by size.</t>
        </r>
      </text>
    </comment>
    <comment ref="E144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Final rate calculated at right to normalize rates by size.</t>
        </r>
      </text>
    </comment>
  </commentList>
</comments>
</file>

<file path=xl/sharedStrings.xml><?xml version="1.0" encoding="utf-8"?>
<sst xmlns="http://schemas.openxmlformats.org/spreadsheetml/2006/main" count="584" uniqueCount="451">
  <si>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</si>
  <si>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</si>
  <si>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</si>
  <si>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</si>
  <si>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</si>
  <si>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</si>
  <si>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</si>
  <si>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</si>
  <si>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</si>
  <si>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</si>
  <si>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</si>
  <si>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</si>
  <si>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</si>
  <si>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</si>
  <si>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</si>
  <si>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</si>
  <si>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Extra Units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</si>
  <si>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</si>
  <si>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</si>
  <si>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</si>
  <si>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</si>
  <si>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</si>
  <si>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</si>
  <si>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</si>
  <si>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</si>
  <si>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</si>
  <si>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</si>
  <si>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5 cans</t>
  </si>
  <si>
    <t>6 cans</t>
  </si>
  <si>
    <t>Annual</t>
  </si>
  <si>
    <t>8 cans</t>
  </si>
  <si>
    <t>40 gallon Can</t>
  </si>
  <si>
    <t>*</t>
  </si>
  <si>
    <t>Supercan 60</t>
  </si>
  <si>
    <t>Supercan 64</t>
  </si>
  <si>
    <t>Supercan 90</t>
  </si>
  <si>
    <t>Supercan 96</t>
  </si>
  <si>
    <t>Once a month</t>
  </si>
  <si>
    <t>Extras</t>
  </si>
  <si>
    <t>Com'l</t>
  </si>
  <si>
    <t>Cans</t>
  </si>
  <si>
    <t>Yards</t>
  </si>
  <si>
    <t>1 yd container</t>
  </si>
  <si>
    <t>1.5 yd container</t>
  </si>
  <si>
    <t>2 yd container</t>
  </si>
  <si>
    <t>3 yd container</t>
  </si>
  <si>
    <t>4 yd container</t>
  </si>
  <si>
    <t>5 yd container</t>
  </si>
  <si>
    <t>6 yd container</t>
  </si>
  <si>
    <t>8 yd container</t>
  </si>
  <si>
    <t>Compaction Ratio:   2:25</t>
  </si>
  <si>
    <t>2 yd packer/compactor</t>
  </si>
  <si>
    <t>4 yd packer/compactor</t>
  </si>
  <si>
    <t>6 yd packer/compactor</t>
  </si>
  <si>
    <t>Compaction Ratio:   3:1</t>
  </si>
  <si>
    <t>3 yd packer/compactor</t>
  </si>
  <si>
    <t>Compaction Ratio:   4:1</t>
  </si>
  <si>
    <t>Compaction Ratio:   5:1</t>
  </si>
  <si>
    <t>Vancouver Hauling</t>
  </si>
  <si>
    <t>Per Pound</t>
  </si>
  <si>
    <t>Gross Up Factors</t>
  </si>
  <si>
    <t>B&amp;O tax</t>
  </si>
  <si>
    <t>WUTC fees</t>
  </si>
  <si>
    <t>Increase</t>
  </si>
  <si>
    <t>Total</t>
  </si>
  <si>
    <t>Transfer Station</t>
  </si>
  <si>
    <t>Increase per ton</t>
  </si>
  <si>
    <t>Factor</t>
  </si>
  <si>
    <t>Disposal Fee Revenue Increase</t>
  </si>
  <si>
    <t>Rates</t>
  </si>
  <si>
    <t>Monthly Frequency</t>
  </si>
  <si>
    <t>Annual PU's</t>
  </si>
  <si>
    <t>Calculated Annual Pounds</t>
  </si>
  <si>
    <t>Adjusted Annual Pounds</t>
  </si>
  <si>
    <t>RESIDENTIAL SERVICES</t>
  </si>
  <si>
    <t>Residential Garbage</t>
  </si>
  <si>
    <t>CRMCEOW</t>
  </si>
  <si>
    <t>20GAL CAN EOW</t>
  </si>
  <si>
    <t>CRMC</t>
  </si>
  <si>
    <t>20GAL CAN WEEKLY</t>
  </si>
  <si>
    <t>CREOW</t>
  </si>
  <si>
    <t>1 32GAL CAN EOW</t>
  </si>
  <si>
    <t>CR32MO</t>
  </si>
  <si>
    <t>1 32GAL CAN ONCE A MTH</t>
  </si>
  <si>
    <t>CR32W1</t>
  </si>
  <si>
    <t>1 32GAL CAN WEEKLY</t>
  </si>
  <si>
    <t>CR32W2</t>
  </si>
  <si>
    <t>2-32GAL CANS WEEKLY</t>
  </si>
  <si>
    <t>CR32W3</t>
  </si>
  <si>
    <t>3-32GAL CANS WEEKLY</t>
  </si>
  <si>
    <t>CR32W4</t>
  </si>
  <si>
    <t>4-32GAL CANS WEEKLY</t>
  </si>
  <si>
    <t>CR32W5</t>
  </si>
  <si>
    <t>5-32GAL CANS WEEKLY</t>
  </si>
  <si>
    <t>CR32W6</t>
  </si>
  <si>
    <t>6-32GAL CANS WEEKLY</t>
  </si>
  <si>
    <t>CR32W7</t>
  </si>
  <si>
    <t>7-32GAL CANS WEEKLY</t>
  </si>
  <si>
    <t>CR32W8</t>
  </si>
  <si>
    <t>8-32GAL CANS WEEKLY</t>
  </si>
  <si>
    <t>9-32GAL CANS WEEKLY</t>
  </si>
  <si>
    <t>RREXC</t>
  </si>
  <si>
    <t>EXTRA CANS, BAGS,BOXES</t>
  </si>
  <si>
    <t>RRCALL</t>
  </si>
  <si>
    <t>ON CALL CAN</t>
  </si>
  <si>
    <t>ROFOW</t>
  </si>
  <si>
    <t>OVERWGHT-OVERFILL CAN</t>
  </si>
  <si>
    <t>COFOW</t>
  </si>
  <si>
    <t>TOTAL RESIDENTIAL SERVICES</t>
  </si>
  <si>
    <t xml:space="preserve">COMMERCIAL SERVICES </t>
  </si>
  <si>
    <t>Commercial Garbage</t>
  </si>
  <si>
    <t>CC1Y1W</t>
  </si>
  <si>
    <t>1YD CONT 1X WEEKLY</t>
  </si>
  <si>
    <t>CC1Y2W</t>
  </si>
  <si>
    <t>1YD CONT 2X WEEKLY</t>
  </si>
  <si>
    <t>CC1YEOW</t>
  </si>
  <si>
    <t>1YD CONTAINER EOW</t>
  </si>
  <si>
    <t>CC15Y1W</t>
  </si>
  <si>
    <t>1.5YD CONT 1X WEEKLY</t>
  </si>
  <si>
    <t>CC15Y2W</t>
  </si>
  <si>
    <t>1.5YD CONT 2X WEEKLY</t>
  </si>
  <si>
    <t>CC15YEOW</t>
  </si>
  <si>
    <t>1.5YD CONTAINER EOW</t>
  </si>
  <si>
    <t>CC2Y1W</t>
  </si>
  <si>
    <t>2YD CONT 1X WEEKLY</t>
  </si>
  <si>
    <t>CC2Y2W</t>
  </si>
  <si>
    <t>2YD CONT 2X WEEKLY</t>
  </si>
  <si>
    <t>CC2Y3W</t>
  </si>
  <si>
    <t>2YD CONT 3X WEEKLY</t>
  </si>
  <si>
    <t>CC2Y4W</t>
  </si>
  <si>
    <t>2YD CONT 4X WEEKLY</t>
  </si>
  <si>
    <t>CC2Y5W</t>
  </si>
  <si>
    <t>2YD CONT 5X WEEKLY</t>
  </si>
  <si>
    <t>CC2YEOW</t>
  </si>
  <si>
    <t>2YD CONTAINER EOW</t>
  </si>
  <si>
    <t>CC3Y1W</t>
  </si>
  <si>
    <t>3YD CONT 1X WEEKLY</t>
  </si>
  <si>
    <t>CC3Y2W</t>
  </si>
  <si>
    <t>3YD CONT 2X WEEKLY</t>
  </si>
  <si>
    <t>CC3Y3W</t>
  </si>
  <si>
    <t>3YD CONT 3X WEEKLY</t>
  </si>
  <si>
    <t>CC3Y4W</t>
  </si>
  <si>
    <t>3YD CONT 4X WEEKLY</t>
  </si>
  <si>
    <t>CC3Y5W</t>
  </si>
  <si>
    <t>3YD CONT 5X WEEKLY</t>
  </si>
  <si>
    <t>CC3YEOW</t>
  </si>
  <si>
    <t>3YD CONTAINER EOW</t>
  </si>
  <si>
    <t>CC4Y1W</t>
  </si>
  <si>
    <t>4YD CONT 1X WEEKLY</t>
  </si>
  <si>
    <t>CC4Y2W</t>
  </si>
  <si>
    <t>4YD CONT 2X WEEKLY</t>
  </si>
  <si>
    <t>CC4Y3W</t>
  </si>
  <si>
    <t>4YD CONT 3X WEEKLY</t>
  </si>
  <si>
    <t>CC4Y4W</t>
  </si>
  <si>
    <t>4YD CONT 4X WEEKLY</t>
  </si>
  <si>
    <t>CC4Y5W</t>
  </si>
  <si>
    <t>4YD CONT 5X WEEKLY</t>
  </si>
  <si>
    <t>CC4Y6W</t>
  </si>
  <si>
    <t>4YD CONT 6X WEEKLY</t>
  </si>
  <si>
    <t>CC4YEOW</t>
  </si>
  <si>
    <t>4YD CONTAINER EOW</t>
  </si>
  <si>
    <t>CC5Y1W</t>
  </si>
  <si>
    <t>5YD CONT 1X WEEKLY</t>
  </si>
  <si>
    <t>CC5YEOW</t>
  </si>
  <si>
    <t>5YD CONTAINER EOW</t>
  </si>
  <si>
    <t>CC6Y1W</t>
  </si>
  <si>
    <t>6YD CONT 1X WEEKLY</t>
  </si>
  <si>
    <t>CC6Y2W</t>
  </si>
  <si>
    <t>6YD CONT 2X WEEKLY</t>
  </si>
  <si>
    <t>CC6Y3W</t>
  </si>
  <si>
    <t>6YD CONT 3X WEEKLY</t>
  </si>
  <si>
    <t>CC6YEOW</t>
  </si>
  <si>
    <t>6YD CONTAINER EOW</t>
  </si>
  <si>
    <t>CC8Y1W</t>
  </si>
  <si>
    <t>8YD CONT 1X WEEKLY</t>
  </si>
  <si>
    <t>CC8Y2W</t>
  </si>
  <si>
    <t>8YD CONT 2X WEEKLY</t>
  </si>
  <si>
    <t>CC8Y3W</t>
  </si>
  <si>
    <t>8YD CONT 3X WEEKLY</t>
  </si>
  <si>
    <t>CC8Y4W</t>
  </si>
  <si>
    <t>8YD CONT 4X WEEKLY</t>
  </si>
  <si>
    <t>CC8YEOW</t>
  </si>
  <si>
    <t>8YD CONTAINER EOW</t>
  </si>
  <si>
    <t>CCCMP2Y</t>
  </si>
  <si>
    <t>2YD COMP CONT 1X WKLY</t>
  </si>
  <si>
    <t>CCCMP4Y</t>
  </si>
  <si>
    <t>4YD COMP CONT 1X WKLY</t>
  </si>
  <si>
    <t>CCSP1Y</t>
  </si>
  <si>
    <t>SPECIAL PICKUP 1YD CONT</t>
  </si>
  <si>
    <t>CCSP15Y</t>
  </si>
  <si>
    <t>SPECIAL PICKUP 1.5YD CONT</t>
  </si>
  <si>
    <t>CCSP2Y</t>
  </si>
  <si>
    <t>SPECIAL PICKUP 2YD CONT</t>
  </si>
  <si>
    <t>CCSP3Y</t>
  </si>
  <si>
    <t>SPECIAL PICKUP 3YD CONT</t>
  </si>
  <si>
    <t>VCSP4YC</t>
  </si>
  <si>
    <t>SPECIAL PICKUP 4YD COMP</t>
  </si>
  <si>
    <t>CCSP4Y</t>
  </si>
  <si>
    <t>SPECIAL PICKUP 4YD CONT</t>
  </si>
  <si>
    <t>CCSP6Y</t>
  </si>
  <si>
    <t>SPECIAL PICKUP 6YD CONT</t>
  </si>
  <si>
    <t>CCSP8Y</t>
  </si>
  <si>
    <t>SPECIAL PICKUP 8YD CONT</t>
  </si>
  <si>
    <t>CCTP1Y</t>
  </si>
  <si>
    <t>TEMP PICKUP 1YD CONT</t>
  </si>
  <si>
    <t>CCTP15Y</t>
  </si>
  <si>
    <t>TEMP PICKUP 1.5YD CONT</t>
  </si>
  <si>
    <t>CCTP2Y</t>
  </si>
  <si>
    <t>TEMP PICKUP 2YD CONT</t>
  </si>
  <si>
    <t>CCTP3Y</t>
  </si>
  <si>
    <t>TEMP PICKUP 3YD CONT</t>
  </si>
  <si>
    <t>CCTP4Y</t>
  </si>
  <si>
    <t>TEMP PICKUP 4YD CONT</t>
  </si>
  <si>
    <t>CC32W1</t>
  </si>
  <si>
    <t>32GAL CAN WEEKLY-COM</t>
  </si>
  <si>
    <t>CC32W2</t>
  </si>
  <si>
    <t>CC32W3</t>
  </si>
  <si>
    <t>CC32W4</t>
  </si>
  <si>
    <t>CC32W5</t>
  </si>
  <si>
    <t>CC32W6</t>
  </si>
  <si>
    <t>CC32W8</t>
  </si>
  <si>
    <t>CC32W9</t>
  </si>
  <si>
    <t>CCEXCAN</t>
  </si>
  <si>
    <t>EXTRA = CANS - COM</t>
  </si>
  <si>
    <t>CCEXYD</t>
  </si>
  <si>
    <t>EXTRA = YARDS</t>
  </si>
  <si>
    <t>RCOF</t>
  </si>
  <si>
    <t>OVERFILLED CONTAINER</t>
  </si>
  <si>
    <t>TOTAL COMMERCIAL SERVICES</t>
  </si>
  <si>
    <t>GRAND TOTAL</t>
  </si>
  <si>
    <t>Adjustment Factor Calculation</t>
  </si>
  <si>
    <t>Clark County</t>
  </si>
  <si>
    <t>Adj lbs</t>
  </si>
  <si>
    <t>Residential</t>
  </si>
  <si>
    <t>Total Tonnage</t>
  </si>
  <si>
    <t>Commercial</t>
  </si>
  <si>
    <t>Total Pounds</t>
  </si>
  <si>
    <t>Non-Regulated</t>
  </si>
  <si>
    <t>Per Ton (Packer)</t>
  </si>
  <si>
    <t>Per Ton (RO)</t>
  </si>
  <si>
    <t>Current</t>
  </si>
  <si>
    <t>Proposed</t>
  </si>
  <si>
    <t>Rate</t>
  </si>
  <si>
    <t>Minimum</t>
  </si>
  <si>
    <t>7 can</t>
  </si>
  <si>
    <t xml:space="preserve">8 can </t>
  </si>
  <si>
    <t>9 can</t>
  </si>
  <si>
    <t>1 can per month</t>
  </si>
  <si>
    <t>1 can every other week</t>
  </si>
  <si>
    <t>Mini-can</t>
  </si>
  <si>
    <t>60-gal toter</t>
  </si>
  <si>
    <t>90-gal toter</t>
  </si>
  <si>
    <t>Bag</t>
  </si>
  <si>
    <t>On Call</t>
  </si>
  <si>
    <t>Loose and Bulky</t>
  </si>
  <si>
    <t>Additional</t>
  </si>
  <si>
    <t>Excess Weight:</t>
  </si>
  <si>
    <t>1 yard</t>
  </si>
  <si>
    <t>5 yard</t>
  </si>
  <si>
    <t>Item 230, pg 34</t>
  </si>
  <si>
    <t>Disposal Fees:</t>
  </si>
  <si>
    <t>Refuse (per ton)</t>
  </si>
  <si>
    <t>2 yard</t>
  </si>
  <si>
    <t xml:space="preserve"> </t>
  </si>
  <si>
    <t xml:space="preserve">Special Pickups: </t>
  </si>
  <si>
    <t>Temporary:</t>
  </si>
  <si>
    <t>Each additional unit</t>
  </si>
  <si>
    <t>3 yard</t>
  </si>
  <si>
    <t>4 yard</t>
  </si>
  <si>
    <t>6 yard</t>
  </si>
  <si>
    <t>Special Pickup:</t>
  </si>
  <si>
    <t>Gross Up</t>
  </si>
  <si>
    <t>Tariff Rate Increase</t>
  </si>
  <si>
    <t>Extra yard</t>
  </si>
  <si>
    <t>Overfilled</t>
  </si>
  <si>
    <t>Calculated Rate</t>
  </si>
  <si>
    <t>Occasional Extra</t>
  </si>
  <si>
    <t>Actual Weight</t>
  </si>
  <si>
    <t>Revised Revenue Increase</t>
  </si>
  <si>
    <t>Tons</t>
  </si>
  <si>
    <t>Dollars</t>
  </si>
  <si>
    <t>Per GL</t>
  </si>
  <si>
    <t>RO</t>
  </si>
  <si>
    <t>RO - Food Waste</t>
  </si>
  <si>
    <t>Waste Works RO - Garbage Only</t>
  </si>
  <si>
    <t>RO - Other</t>
  </si>
  <si>
    <t>Waste Works MSW/Comm Garbage Only</t>
  </si>
  <si>
    <t>Waste Works Other (FW, YD, etc)</t>
  </si>
  <si>
    <t>RO Rpt Total</t>
  </si>
  <si>
    <t>Variance to Breakout</t>
  </si>
  <si>
    <t>Variance to GL</t>
  </si>
  <si>
    <t>MSW - Other</t>
  </si>
  <si>
    <t>Pass-Through per Billing</t>
  </si>
  <si>
    <t>Pass-Through in Acct. 40139</t>
  </si>
  <si>
    <t>Pass-Through In Other Accts.</t>
  </si>
  <si>
    <t>MSW/Comm Rpt Total</t>
  </si>
  <si>
    <t>RR32W1</t>
  </si>
  <si>
    <t>WBMISC</t>
  </si>
  <si>
    <t>BULKY ITEM CHARGE-MISC</t>
  </si>
  <si>
    <t>RC32EOW</t>
  </si>
  <si>
    <t>32GAL CAN EOW-COM</t>
  </si>
  <si>
    <t>VC3Y2W</t>
  </si>
  <si>
    <t>3YD CONT 6X WEEKLY</t>
  </si>
  <si>
    <t>6YD CONT 4X WEEKLY</t>
  </si>
  <si>
    <t>8YD CONT 6X WEEKLY</t>
  </si>
  <si>
    <t>Residential Increase</t>
  </si>
  <si>
    <t>Commerical Increase</t>
  </si>
  <si>
    <t>RO Increase</t>
  </si>
  <si>
    <t>Calc lbs</t>
  </si>
  <si>
    <t>Drop Box (per ton)</t>
  </si>
  <si>
    <t>Clark County - Dump Fee Calculation</t>
  </si>
  <si>
    <t>1.5 yd packer/compactor</t>
  </si>
  <si>
    <t>Over 9 Cans</t>
  </si>
  <si>
    <t>N/A</t>
  </si>
  <si>
    <t>* not on meeks - calculated weight times compaction ratio</t>
  </si>
  <si>
    <t>Dump Fee Calculation References</t>
  </si>
  <si>
    <t>6 can</t>
  </si>
  <si>
    <t>Mini</t>
  </si>
  <si>
    <t>Mini every other week</t>
  </si>
  <si>
    <t>2 can</t>
  </si>
  <si>
    <t>3 can</t>
  </si>
  <si>
    <t>4 can</t>
  </si>
  <si>
    <t>5 can</t>
  </si>
  <si>
    <t>Oversized can</t>
  </si>
  <si>
    <t>1.5 yard</t>
  </si>
  <si>
    <t xml:space="preserve">3 yard </t>
  </si>
  <si>
    <t xml:space="preserve">4 yard </t>
  </si>
  <si>
    <t xml:space="preserve">6 yard </t>
  </si>
  <si>
    <t xml:space="preserve">8 yard </t>
  </si>
  <si>
    <t>32-gal</t>
  </si>
  <si>
    <t>Minimum charge</t>
  </si>
  <si>
    <t>4 yard comp</t>
  </si>
  <si>
    <t xml:space="preserve">4 yard comp </t>
  </si>
  <si>
    <t>Each Pickup:</t>
  </si>
  <si>
    <t>Permanent Container:</t>
  </si>
  <si>
    <t>Special Pickups:</t>
  </si>
  <si>
    <t>Company Current Revenue</t>
  </si>
  <si>
    <t>Grossed up increase per ton</t>
  </si>
  <si>
    <t>Tons collected</t>
  </si>
  <si>
    <t>Bad debts</t>
  </si>
  <si>
    <t xml:space="preserve">Current rate </t>
  </si>
  <si>
    <t>New rate per ton</t>
  </si>
  <si>
    <t>Company Proposed Revenue</t>
  </si>
  <si>
    <t>Current Tariff</t>
  </si>
  <si>
    <t>Proposed Tariff</t>
  </si>
  <si>
    <t>Total Packer Increase</t>
  </si>
  <si>
    <t>Adjust factor</t>
  </si>
  <si>
    <t>RO Tons</t>
  </si>
  <si>
    <t>Waste Connections of Washington, Inc., G-253</t>
  </si>
  <si>
    <t>Empty &amp; Return</t>
  </si>
  <si>
    <t>1.5 Yard</t>
  </si>
  <si>
    <t>2 Yard</t>
  </si>
  <si>
    <t>3 Yard</t>
  </si>
  <si>
    <t>4 Yard</t>
  </si>
  <si>
    <t>5 Yard</t>
  </si>
  <si>
    <t>6 Yard</t>
  </si>
  <si>
    <t>8 Yard</t>
  </si>
  <si>
    <t>Final Pull</t>
  </si>
  <si>
    <t>2020 Rate</t>
  </si>
  <si>
    <t>Packer</t>
  </si>
  <si>
    <t>2021 CPI</t>
  </si>
  <si>
    <t>2022 CPI</t>
  </si>
  <si>
    <t>County Health Fee</t>
  </si>
  <si>
    <t>Matches Letter</t>
  </si>
  <si>
    <t>2021 Additional Work</t>
  </si>
  <si>
    <t>2022 Additional Work</t>
  </si>
  <si>
    <t>Calculation of Rates:</t>
  </si>
  <si>
    <t>1/1/2021 Rate</t>
  </si>
  <si>
    <t>1/1/2022 Rate</t>
  </si>
  <si>
    <t>1/1/2022 Rate (excl. Extra Work)</t>
  </si>
  <si>
    <t>Post COVID Pages</t>
  </si>
  <si>
    <t>Note: Customer count and disposal/weight related figures were audited and presented as part of TG-220339 and are used in this filing per WUTC request.</t>
  </si>
  <si>
    <t>2023 Additional Work #5</t>
  </si>
  <si>
    <t>Organics</t>
  </si>
  <si>
    <t>Resi/Comm MSW</t>
  </si>
  <si>
    <t>Food Waste</t>
  </si>
  <si>
    <t>2023 CPI</t>
  </si>
  <si>
    <t>2023 Basic Rate</t>
  </si>
  <si>
    <t>2023 Additional Work #3</t>
  </si>
  <si>
    <t>2023 Additional Work #4</t>
  </si>
  <si>
    <t>CRCALL</t>
  </si>
  <si>
    <t>ON CALL CAN-COM</t>
  </si>
  <si>
    <t>CR32W9</t>
  </si>
  <si>
    <t>CC3Y6W</t>
  </si>
  <si>
    <t>CC6Y4W</t>
  </si>
  <si>
    <t>Waste Connections of Washington</t>
  </si>
  <si>
    <t>Disposal Summary</t>
  </si>
  <si>
    <t>Year Ended March 31, 2022</t>
  </si>
  <si>
    <r>
      <t xml:space="preserve">Note:  </t>
    </r>
    <r>
      <rPr>
        <sz val="11"/>
        <color theme="1"/>
        <rFont val="Calibri"/>
        <family val="2"/>
        <scheme val="minor"/>
      </rPr>
      <t>This worksheet provides the disposal dollars and tons per our Waste Works system in columns C-F.  This is then tied to the GL amount for account "40139" in columns H-J.  The information obtained from the system is used appropriately allocate disposal expense between the regulated and non-regulated lines of business on the Master IS tab.</t>
    </r>
  </si>
  <si>
    <t>Disposal Expense/Ton Breakdown by Type</t>
  </si>
  <si>
    <t>Reconciliation to GL 40139</t>
  </si>
  <si>
    <t>imm</t>
  </si>
  <si>
    <t>Reconciliation of Pass Through Expense</t>
  </si>
  <si>
    <t>RO MSW</t>
  </si>
  <si>
    <t>Other (Yard Debris, Wood, Food Waste, Organics)</t>
  </si>
  <si>
    <t>Regulated/Non-Regulated Breakout - Via Disposal Alloc Calc</t>
  </si>
  <si>
    <t>Regulated</t>
  </si>
  <si>
    <t>CC32W7</t>
  </si>
  <si>
    <t>CC8Y6W</t>
  </si>
  <si>
    <t>From TG-220339 - the last audited General Rate Filing. Including Reg/Non Reg Tonnage Allocation %'s, as audited and approved.</t>
  </si>
  <si>
    <t>20 Gal EOW</t>
  </si>
  <si>
    <t>20 Gal Weekly</t>
  </si>
  <si>
    <t>35 Gal Monthly</t>
  </si>
  <si>
    <t>35 Gal EOW</t>
  </si>
  <si>
    <t>35 Gal Weekly</t>
  </si>
  <si>
    <t>65 Gal Weekly</t>
  </si>
  <si>
    <t>95 Gal Weekly</t>
  </si>
  <si>
    <t>New Since Last GRC test Period</t>
  </si>
  <si>
    <t>20 Gal Cart - On Call</t>
  </si>
  <si>
    <t>35 Gal Cart - On Call</t>
  </si>
  <si>
    <t>65 Gal Cart - On Call</t>
  </si>
  <si>
    <t>95 Gal Cart - On Call</t>
  </si>
  <si>
    <t>20-gal cart</t>
  </si>
  <si>
    <t>35-gal cart</t>
  </si>
  <si>
    <t>65-gal cart</t>
  </si>
  <si>
    <t>95-gal cart</t>
  </si>
  <si>
    <t>Customer Count</t>
  </si>
  <si>
    <t>Additional Cans Over 9</t>
  </si>
  <si>
    <t>3YD COMP CONT</t>
  </si>
  <si>
    <t>6YD COMP CONT</t>
  </si>
  <si>
    <t>Special Pickup 5YD Container</t>
  </si>
  <si>
    <t>Container overweight per 50 lb</t>
  </si>
  <si>
    <t>No Customer Rates</t>
  </si>
  <si>
    <t>3YD COMP Special PU</t>
  </si>
  <si>
    <t>6YD COMP Special PU</t>
  </si>
  <si>
    <t>2YD COMP Temp PU Rate</t>
  </si>
  <si>
    <t>3YD COMP Temp PU Rate</t>
  </si>
  <si>
    <t>4YD COMP Temp PU Rate</t>
  </si>
  <si>
    <t>6YD COMP Temp PU Rate</t>
  </si>
  <si>
    <t>ITEM 250</t>
  </si>
  <si>
    <t>ITEM 207</t>
  </si>
  <si>
    <t>ITEM 240</t>
  </si>
  <si>
    <t>When we include the monthly factor it throws the revenue off. Backing out the monthly factor makes everything tie out.</t>
  </si>
  <si>
    <t>Extra Handling Fee</t>
  </si>
  <si>
    <t>Proposed Effective January 1, 2024</t>
  </si>
  <si>
    <t>Item 55, pg 16A</t>
  </si>
  <si>
    <t>Item 100, pg 21A</t>
  </si>
  <si>
    <t>Item 100, pg 22A</t>
  </si>
  <si>
    <t>Item 150, pg 28A</t>
  </si>
  <si>
    <t>Item 207, pg 32A</t>
  </si>
  <si>
    <t>Item 240, pg 35A</t>
  </si>
  <si>
    <t>Item 240-1, pg 36A</t>
  </si>
  <si>
    <t>Item 245, pg 37A</t>
  </si>
  <si>
    <t>Item 250, pg 38A</t>
  </si>
  <si>
    <t>Item 255, pg 39A</t>
  </si>
  <si>
    <t>Matches letter 11/15/23</t>
  </si>
  <si>
    <t>2024 Full Tip Fee</t>
  </si>
  <si>
    <t>1/1/2023 Rate</t>
  </si>
  <si>
    <t>1/1/2023 Rate (Excl Extra Work)</t>
  </si>
  <si>
    <t>2023 Additional Work</t>
  </si>
  <si>
    <t>2023 Basic Tip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</si>
</sst>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0.0000%"/>
    <numFmt numFmtId="169" formatCode="0.000000"/>
    <numFmt numFmtId="170" formatCode="_(&quot;$&quot;* #,##0.0000_);_(&quot;$&quot;* \(#,##0.0000\);_(&quot;$&quot;* &quot;-&quot;????_);_(@_)"/>
    <numFmt numFmtId="171" formatCode="&quot;$&quot;#,##0\ ;\(&quot;$&quot;#,##0\)"/>
    <numFmt numFmtId="172" formatCode="General_)"/>
    <numFmt numFmtId="173" formatCode="0.0%"/>
    <numFmt numFmtId="174" formatCode="mm\-yy;\-0;;@"/>
    <numFmt numFmtId="175" formatCode=".00#####;\-.00####;;@"/>
    <numFmt numFmtId="176" formatCode="_(&quot;$&quot;* #,##0.00000_);_(&quot;$&quot;* \(#,##0.00000\);_(&quot;$&quot;* &quot;-&quot;??_);_(@_)"/>
    <numFmt numFmtId="177" formatCode="_(&quot;$&quot;* #,##0_);_(&quot;$&quot;* \(#,##0\);_(&quot;$&quot;* &quot;-&quot;??_);_(@_)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Arial"/>
      <family val="2"/>
    </font>
    <font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.5"/>
      <color theme="0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2"/>
      <name val="Times New Roman"/>
      <family val="1"/>
    </font>
    <font>
      <sz val="11"/>
      <color indexed="20"/>
      <name val="Calibri"/>
      <family val="2"/>
    </font>
    <font>
      <b/>
      <sz val="11"/>
      <color indexed="51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1"/>
      <color indexed="18"/>
      <name val="Britannic Bold"/>
      <family val="2"/>
    </font>
    <font>
      <sz val="12"/>
      <name val="CG Omega"/>
    </font>
    <font>
      <sz val="8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2"/>
      <name val="Helv"/>
    </font>
    <font>
      <sz val="10"/>
      <name val="Times New Roman"/>
      <family val="1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1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1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1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1"/>
      <color indexed="61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1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59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theme="1"/>
      <name val="Arial"/>
      <family val="2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sz val="8"/>
      <color indexed="56"/>
      <name val="Arial"/>
      <family val="2"/>
    </font>
    <font>
      <b/>
      <sz val="10"/>
      <name val="MS Sans Serif"/>
      <family val="2"/>
    </font>
    <font>
      <sz val="12"/>
      <name val="Arial MT"/>
    </font>
    <font>
      <b/>
      <u/>
      <sz val="11"/>
      <name val="Arial"/>
      <family val="2"/>
    </font>
    <font>
      <b/>
      <sz val="10"/>
      <name val="Times New Roman"/>
      <family val="1"/>
    </font>
    <font>
      <b/>
      <sz val="18"/>
      <color indexed="61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Helv"/>
    </font>
    <font>
      <sz val="10"/>
      <name val="SWISS"/>
    </font>
    <font>
      <b/>
      <sz val="10"/>
      <name val="Helv"/>
    </font>
    <font>
      <b/>
      <sz val="10"/>
      <name val="SWISS"/>
    </font>
    <font>
      <b/>
      <u val="singleAccounting"/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5"/>
      </patternFill>
    </fill>
    <fill>
      <patternFill patternType="solid">
        <fgColor indexed="42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68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1" fillId="0" borderId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20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8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4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9" borderId="0" applyNumberFormat="0" applyBorder="0" applyAlignment="0" applyProtection="0"/>
    <xf numFmtId="0" fontId="14" fillId="21" borderId="0" applyNumberFormat="0" applyBorder="0" applyAlignment="0" applyProtection="0"/>
    <xf numFmtId="0" fontId="14" fillId="29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41" fontId="15" fillId="0" borderId="0"/>
    <xf numFmtId="41" fontId="15" fillId="0" borderId="0"/>
    <xf numFmtId="41" fontId="15" fillId="0" borderId="0"/>
    <xf numFmtId="41" fontId="15" fillId="0" borderId="0"/>
    <xf numFmtId="49" fontId="16" fillId="0" borderId="0" applyFill="0" applyBorder="0" applyAlignment="0" applyProtection="0"/>
    <xf numFmtId="0" fontId="17" fillId="0" borderId="4" applyBorder="0">
      <alignment horizontal="center" vertical="center" wrapText="1"/>
    </xf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3" fontId="15" fillId="0" borderId="0"/>
    <xf numFmtId="3" fontId="15" fillId="0" borderId="0"/>
    <xf numFmtId="3" fontId="15" fillId="0" borderId="0"/>
    <xf numFmtId="3" fontId="15" fillId="0" borderId="0"/>
    <xf numFmtId="0" fontId="19" fillId="30" borderId="5" applyNumberFormat="0" applyAlignment="0" applyProtection="0"/>
    <xf numFmtId="0" fontId="20" fillId="30" borderId="5" applyNumberFormat="0" applyAlignment="0" applyProtection="0"/>
    <xf numFmtId="0" fontId="19" fillId="30" borderId="5" applyNumberFormat="0" applyAlignment="0" applyProtection="0"/>
    <xf numFmtId="0" fontId="21" fillId="30" borderId="5" applyNumberFormat="0" applyAlignment="0" applyProtection="0"/>
    <xf numFmtId="0" fontId="20" fillId="8" borderId="5" applyNumberFormat="0" applyAlignment="0" applyProtection="0"/>
    <xf numFmtId="0" fontId="21" fillId="30" borderId="5" applyNumberFormat="0" applyAlignment="0" applyProtection="0"/>
    <xf numFmtId="0" fontId="21" fillId="30" borderId="5" applyNumberFormat="0" applyAlignment="0" applyProtection="0"/>
    <xf numFmtId="0" fontId="22" fillId="31" borderId="6" applyNumberFormat="0" applyAlignment="0" applyProtection="0"/>
    <xf numFmtId="0" fontId="22" fillId="32" borderId="7" applyNumberFormat="0" applyAlignment="0" applyProtection="0"/>
    <xf numFmtId="0" fontId="23" fillId="33" borderId="0" applyNumberFormat="0" applyBorder="0" applyAlignment="0" applyProtection="0">
      <alignment horizontal="center"/>
      <protection hidden="1"/>
    </xf>
    <xf numFmtId="0" fontId="15" fillId="34" borderId="0">
      <alignment horizontal="center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" fontId="26" fillId="0" borderId="0"/>
    <xf numFmtId="3" fontId="28" fillId="0" borderId="0" applyFont="0" applyFill="0" applyBorder="0" applyAlignment="0" applyProtection="0"/>
    <xf numFmtId="0" fontId="29" fillId="0" borderId="0"/>
    <xf numFmtId="0" fontId="29" fillId="0" borderId="0"/>
    <xf numFmtId="0" fontId="30" fillId="35" borderId="1" applyAlignment="0">
      <alignment horizontal="right"/>
      <protection locked="0"/>
    </xf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33" fillId="36" borderId="0">
      <alignment horizontal="right"/>
      <protection locked="0"/>
    </xf>
    <xf numFmtId="14" fontId="15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/>
    <xf numFmtId="2" fontId="33" fillId="36" borderId="0">
      <alignment horizontal="right"/>
      <protection locked="0"/>
    </xf>
    <xf numFmtId="1" fontId="15" fillId="0" borderId="0">
      <alignment horizontal="center"/>
    </xf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2" fillId="2" borderId="0" applyNumberFormat="0" applyBorder="0" applyAlignment="0" applyProtection="0"/>
    <xf numFmtId="0" fontId="36" fillId="0" borderId="8" applyNumberFormat="0" applyFill="0" applyAlignment="0" applyProtection="0"/>
    <xf numFmtId="0" fontId="37" fillId="0" borderId="9" applyNumberFormat="0" applyFill="0" applyAlignment="0" applyProtection="0"/>
    <xf numFmtId="0" fontId="36" fillId="0" borderId="8" applyNumberFormat="0" applyFill="0" applyAlignment="0" applyProtection="0"/>
    <xf numFmtId="0" fontId="37" fillId="0" borderId="10" applyNumberFormat="0" applyFill="0" applyAlignment="0" applyProtection="0"/>
    <xf numFmtId="0" fontId="38" fillId="0" borderId="11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9" fillId="0" borderId="12" applyNumberFormat="0" applyFill="0" applyAlignment="0" applyProtection="0"/>
    <xf numFmtId="0" fontId="40" fillId="0" borderId="12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1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2" fillId="0" borderId="14" applyNumberFormat="0" applyFill="0" applyAlignment="0" applyProtection="0"/>
    <xf numFmtId="0" fontId="43" fillId="0" borderId="15" applyNumberFormat="0" applyFill="0" applyAlignment="0" applyProtection="0"/>
    <xf numFmtId="0" fontId="42" fillId="0" borderId="14" applyNumberFormat="0" applyFill="0" applyAlignment="0" applyProtection="0"/>
    <xf numFmtId="0" fontId="43" fillId="0" borderId="16" applyNumberFormat="0" applyFill="0" applyAlignment="0" applyProtection="0"/>
    <xf numFmtId="0" fontId="44" fillId="0" borderId="17" applyNumberFormat="0" applyFill="0" applyAlignment="0" applyProtection="0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15" borderId="5" applyNumberFormat="0" applyAlignment="0" applyProtection="0"/>
    <xf numFmtId="0" fontId="49" fillId="15" borderId="5" applyNumberFormat="0" applyAlignment="0" applyProtection="0"/>
    <xf numFmtId="0" fontId="49" fillId="15" borderId="5" applyNumberFormat="0" applyAlignment="0" applyProtection="0"/>
    <xf numFmtId="3" fontId="50" fillId="38" borderId="0">
      <protection locked="0"/>
    </xf>
    <xf numFmtId="4" fontId="50" fillId="38" borderId="0">
      <protection locked="0"/>
    </xf>
    <xf numFmtId="0" fontId="17" fillId="0" borderId="4" applyBorder="0">
      <alignment horizontal="center" vertical="center" wrapText="1"/>
    </xf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18" applyNumberFormat="0" applyFill="0" applyAlignment="0" applyProtection="0"/>
    <xf numFmtId="0" fontId="53" fillId="0" borderId="20" applyNumberFormat="0" applyFill="0" applyAlignment="0" applyProtection="0"/>
    <xf numFmtId="0" fontId="53" fillId="0" borderId="20" applyNumberFormat="0" applyFill="0" applyAlignment="0" applyProtection="0"/>
    <xf numFmtId="0" fontId="54" fillId="15" borderId="0" applyNumberFormat="0" applyBorder="0" applyAlignment="0" applyProtection="0"/>
    <xf numFmtId="0" fontId="55" fillId="15" borderId="0" applyNumberFormat="0" applyBorder="0" applyAlignment="0" applyProtection="0"/>
    <xf numFmtId="0" fontId="54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43" fontId="1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5" fillId="0" borderId="0"/>
    <xf numFmtId="0" fontId="15" fillId="0" borderId="0"/>
    <xf numFmtId="0" fontId="1" fillId="0" borderId="0"/>
    <xf numFmtId="0" fontId="11" fillId="0" borderId="0"/>
    <xf numFmtId="0" fontId="11" fillId="0" borderId="0"/>
    <xf numFmtId="0" fontId="15" fillId="0" borderId="0"/>
    <xf numFmtId="0" fontId="15" fillId="0" borderId="0">
      <alignment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" fillId="0" borderId="0"/>
    <xf numFmtId="0" fontId="57" fillId="0" borderId="0"/>
    <xf numFmtId="0" fontId="15" fillId="0" borderId="0"/>
    <xf numFmtId="0" fontId="1" fillId="0" borderId="0"/>
    <xf numFmtId="0" fontId="1" fillId="0" borderId="0"/>
    <xf numFmtId="0" fontId="57" fillId="0" borderId="0"/>
    <xf numFmtId="0" fontId="15" fillId="0" borderId="0"/>
    <xf numFmtId="0" fontId="11" fillId="0" borderId="0"/>
    <xf numFmtId="0" fontId="1" fillId="0" borderId="0"/>
    <xf numFmtId="0" fontId="24" fillId="0" borderId="0"/>
    <xf numFmtId="0" fontId="15" fillId="0" borderId="0"/>
    <xf numFmtId="0" fontId="1" fillId="0" borderId="0"/>
    <xf numFmtId="0" fontId="1" fillId="0" borderId="0"/>
    <xf numFmtId="0" fontId="24" fillId="0" borderId="0"/>
    <xf numFmtId="0" fontId="15" fillId="0" borderId="0"/>
    <xf numFmtId="0" fontId="1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2" fontId="3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15" fillId="0" borderId="0">
      <alignment wrapText="1"/>
    </xf>
    <xf numFmtId="0" fontId="26" fillId="0" borderId="0">
      <alignment vertical="top"/>
    </xf>
    <xf numFmtId="0" fontId="26" fillId="0" borderId="0">
      <alignment vertical="top"/>
    </xf>
    <xf numFmtId="0" fontId="15" fillId="0" borderId="0"/>
    <xf numFmtId="0" fontId="26" fillId="0" borderId="0">
      <alignment vertical="top"/>
    </xf>
    <xf numFmtId="0" fontId="15" fillId="0" borderId="0"/>
    <xf numFmtId="0" fontId="26" fillId="0" borderId="0">
      <alignment vertical="top"/>
    </xf>
    <xf numFmtId="0" fontId="15" fillId="0" borderId="0"/>
    <xf numFmtId="0" fontId="11" fillId="0" borderId="0"/>
    <xf numFmtId="0" fontId="15" fillId="0" borderId="0"/>
    <xf numFmtId="0" fontId="26" fillId="0" borderId="0">
      <alignment vertical="top"/>
    </xf>
    <xf numFmtId="0" fontId="15" fillId="0" borderId="0"/>
    <xf numFmtId="0" fontId="26" fillId="0" borderId="0">
      <alignment vertical="top"/>
    </xf>
    <xf numFmtId="0" fontId="15" fillId="0" borderId="0">
      <alignment wrapText="1"/>
    </xf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28" fillId="0" borderId="0"/>
    <xf numFmtId="0" fontId="31" fillId="0" borderId="0"/>
    <xf numFmtId="0" fontId="26" fillId="0" borderId="0">
      <alignment vertical="top"/>
    </xf>
    <xf numFmtId="0" fontId="15" fillId="0" borderId="0"/>
    <xf numFmtId="0" fontId="15" fillId="0" borderId="0"/>
    <xf numFmtId="0" fontId="15" fillId="0" borderId="0">
      <alignment wrapText="1"/>
    </xf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31" fillId="0" borderId="0"/>
    <xf numFmtId="0" fontId="11" fillId="0" borderId="0"/>
    <xf numFmtId="0" fontId="31" fillId="0" borderId="0"/>
    <xf numFmtId="0" fontId="1" fillId="0" borderId="0"/>
    <xf numFmtId="0" fontId="1" fillId="0" borderId="0"/>
    <xf numFmtId="0" fontId="26" fillId="0" borderId="0">
      <alignment vertical="top"/>
    </xf>
    <xf numFmtId="0" fontId="15" fillId="0" borderId="0"/>
    <xf numFmtId="0" fontId="1" fillId="0" borderId="0"/>
    <xf numFmtId="0" fontId="15" fillId="0" borderId="0"/>
    <xf numFmtId="0" fontId="15" fillId="0" borderId="0"/>
    <xf numFmtId="0" fontId="28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3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57" fillId="0" borderId="0"/>
    <xf numFmtId="0" fontId="11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15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57" fillId="0" borderId="0"/>
    <xf numFmtId="0" fontId="15" fillId="0" borderId="0"/>
    <xf numFmtId="0" fontId="15" fillId="0" borderId="0"/>
    <xf numFmtId="0" fontId="26" fillId="0" borderId="0">
      <alignment vertical="top"/>
    </xf>
    <xf numFmtId="0" fontId="15" fillId="0" borderId="0"/>
    <xf numFmtId="0" fontId="26" fillId="0" borderId="0">
      <alignment vertical="top"/>
    </xf>
    <xf numFmtId="0" fontId="15" fillId="0" borderId="0"/>
    <xf numFmtId="0" fontId="15" fillId="0" borderId="0"/>
    <xf numFmtId="0" fontId="15" fillId="0" borderId="0">
      <alignment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26" fillId="12" borderId="21" applyNumberFormat="0" applyFont="0" applyAlignment="0" applyProtection="0"/>
    <xf numFmtId="0" fontId="11" fillId="12" borderId="21" applyNumberFormat="0" applyFont="0" applyAlignment="0" applyProtection="0"/>
    <xf numFmtId="0" fontId="26" fillId="12" borderId="21" applyNumberFormat="0" applyFont="0" applyAlignment="0" applyProtection="0"/>
    <xf numFmtId="0" fontId="31" fillId="12" borderId="21" applyNumberFormat="0" applyFont="0" applyAlignment="0" applyProtection="0"/>
    <xf numFmtId="0" fontId="25" fillId="12" borderId="21" applyNumberFormat="0" applyFont="0" applyAlignment="0" applyProtection="0"/>
    <xf numFmtId="0" fontId="31" fillId="12" borderId="21" applyNumberFormat="0" applyFont="0" applyAlignment="0" applyProtection="0"/>
    <xf numFmtId="0" fontId="31" fillId="12" borderId="21" applyNumberFormat="0" applyFont="0" applyAlignment="0" applyProtection="0"/>
    <xf numFmtId="173" fontId="58" fillId="0" borderId="0" applyNumberFormat="0"/>
    <xf numFmtId="0" fontId="43" fillId="30" borderId="22" applyNumberFormat="0" applyAlignment="0" applyProtection="0"/>
    <xf numFmtId="0" fontId="59" fillId="30" borderId="23" applyNumberFormat="0" applyAlignment="0" applyProtection="0"/>
    <xf numFmtId="0" fontId="59" fillId="30" borderId="23" applyNumberFormat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4" fontId="32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38" fontId="60" fillId="0" borderId="0" applyNumberFormat="0" applyFont="0" applyFill="0" applyBorder="0">
      <alignment horizontal="left" indent="4"/>
      <protection locked="0"/>
    </xf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61" fillId="0" borderId="24">
      <alignment horizontal="center"/>
    </xf>
    <xf numFmtId="3" fontId="28" fillId="0" borderId="0" applyFont="0" applyFill="0" applyBorder="0" applyAlignment="0" applyProtection="0"/>
    <xf numFmtId="0" fontId="28" fillId="39" borderId="0" applyNumberFormat="0" applyFont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 applyNumberFormat="0" applyBorder="0" applyAlignment="0"/>
    <xf numFmtId="0" fontId="26" fillId="0" borderId="0" applyNumberFormat="0" applyBorder="0" applyAlignment="0"/>
    <xf numFmtId="37" fontId="63" fillId="0" borderId="0"/>
    <xf numFmtId="175" fontId="64" fillId="40" borderId="0" applyFill="0" applyBorder="0" applyProtection="0">
      <alignment horizontal="center"/>
      <protection hidden="1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26" applyNumberFormat="0" applyFill="0" applyAlignment="0" applyProtection="0"/>
    <xf numFmtId="0" fontId="67" fillId="0" borderId="25" applyNumberFormat="0" applyFill="0" applyAlignment="0" applyProtection="0"/>
    <xf numFmtId="0" fontId="67" fillId="0" borderId="27" applyNumberFormat="0" applyFill="0" applyAlignment="0" applyProtection="0"/>
    <xf numFmtId="0" fontId="67" fillId="0" borderId="28" applyNumberFormat="0" applyFill="0" applyAlignment="0" applyProtection="0"/>
    <xf numFmtId="0" fontId="67" fillId="0" borderId="27" applyNumberFormat="0" applyFill="0" applyAlignment="0" applyProtection="0"/>
    <xf numFmtId="0" fontId="67" fillId="0" borderId="27" applyNumberFormat="0" applyFill="0" applyAlignment="0" applyProtection="0"/>
    <xf numFmtId="0" fontId="68" fillId="0" borderId="0">
      <alignment horizontal="center"/>
    </xf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69" fillId="41" borderId="0" applyFont="0" applyFill="0" applyBorder="0" applyAlignment="0" applyProtection="0">
      <alignment wrapText="1"/>
    </xf>
    <xf numFmtId="172" fontId="31" fillId="0" borderId="0"/>
    <xf numFmtId="0" fontId="15" fillId="0" borderId="0"/>
    <xf numFmtId="0" fontId="26" fillId="0" borderId="0">
      <alignment vertical="top"/>
    </xf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283">
    <xf numFmtId="0" fontId="0" fillId="0" borderId="0" xfId="0"/>
    <xf numFmtId="0" fontId="3" fillId="4" borderId="0" xfId="0" applyFont="1" applyFill="1"/>
    <xf numFmtId="0" fontId="10" fillId="4" borderId="0" xfId="0" applyFont="1" applyFill="1"/>
    <xf numFmtId="0" fontId="71" fillId="4" borderId="0" xfId="0" applyFont="1" applyFill="1"/>
    <xf numFmtId="0" fontId="71" fillId="4" borderId="2" xfId="0" applyFont="1" applyFill="1" applyBorder="1"/>
    <xf numFmtId="43" fontId="71" fillId="4" borderId="0" xfId="1" applyFont="1" applyFill="1"/>
    <xf numFmtId="164" fontId="71" fillId="4" borderId="0" xfId="1" applyNumberFormat="1" applyFont="1" applyFill="1"/>
    <xf numFmtId="43" fontId="71" fillId="4" borderId="0" xfId="0" applyNumberFormat="1" applyFont="1" applyFill="1"/>
    <xf numFmtId="0" fontId="71" fillId="0" borderId="0" xfId="0" applyFont="1"/>
    <xf numFmtId="0" fontId="71" fillId="4" borderId="1" xfId="0" applyFont="1" applyFill="1" applyBorder="1" applyAlignment="1">
      <alignment horizontal="center"/>
    </xf>
    <xf numFmtId="43" fontId="71" fillId="4" borderId="0" xfId="0" applyNumberFormat="1" applyFont="1" applyFill="1" applyAlignment="1">
      <alignment horizontal="center"/>
    </xf>
    <xf numFmtId="43" fontId="71" fillId="4" borderId="0" xfId="1" applyFont="1" applyFill="1" applyAlignment="1">
      <alignment horizontal="center"/>
    </xf>
    <xf numFmtId="0" fontId="71" fillId="4" borderId="0" xfId="0" applyFont="1" applyFill="1" applyAlignment="1">
      <alignment horizontal="left" indent="1"/>
    </xf>
    <xf numFmtId="0" fontId="10" fillId="4" borderId="0" xfId="0" applyFont="1" applyFill="1" applyAlignment="1">
      <alignment horizontal="right"/>
    </xf>
    <xf numFmtId="0" fontId="74" fillId="4" borderId="0" xfId="0" applyFont="1" applyFill="1"/>
    <xf numFmtId="0" fontId="74" fillId="4" borderId="0" xfId="0" applyFont="1" applyFill="1" applyAlignment="1">
      <alignment horizontal="center"/>
    </xf>
    <xf numFmtId="0" fontId="71" fillId="0" borderId="0" xfId="0" applyFont="1" applyAlignment="1">
      <alignment horizontal="left" indent="1"/>
    </xf>
    <xf numFmtId="0" fontId="3" fillId="4" borderId="0" xfId="0" applyFont="1" applyFill="1" applyAlignment="1">
      <alignment horizontal="left" indent="1"/>
    </xf>
    <xf numFmtId="43" fontId="3" fillId="4" borderId="0" xfId="0" applyNumberFormat="1" applyFont="1" applyFill="1"/>
    <xf numFmtId="41" fontId="71" fillId="4" borderId="0" xfId="1" applyNumberFormat="1" applyFont="1" applyFill="1"/>
    <xf numFmtId="0" fontId="3" fillId="3" borderId="1" xfId="0" applyFont="1" applyFill="1" applyBorder="1"/>
    <xf numFmtId="0" fontId="71" fillId="3" borderId="1" xfId="0" applyFont="1" applyFill="1" applyBorder="1" applyAlignment="1">
      <alignment horizontal="center"/>
    </xf>
    <xf numFmtId="0" fontId="71" fillId="4" borderId="0" xfId="0" applyFont="1" applyFill="1" applyAlignment="1">
      <alignment horizontal="left"/>
    </xf>
    <xf numFmtId="44" fontId="71" fillId="4" borderId="0" xfId="2" applyFont="1" applyFill="1"/>
    <xf numFmtId="165" fontId="71" fillId="4" borderId="0" xfId="2" applyNumberFormat="1" applyFont="1" applyFill="1"/>
    <xf numFmtId="166" fontId="71" fillId="4" borderId="0" xfId="1" applyNumberFormat="1" applyFont="1" applyFill="1"/>
    <xf numFmtId="165" fontId="71" fillId="4" borderId="1" xfId="2" applyNumberFormat="1" applyFont="1" applyFill="1" applyBorder="1"/>
    <xf numFmtId="176" fontId="71" fillId="4" borderId="0" xfId="2" applyNumberFormat="1" applyFont="1" applyFill="1"/>
    <xf numFmtId="166" fontId="71" fillId="4" borderId="1" xfId="1" applyNumberFormat="1" applyFont="1" applyFill="1" applyBorder="1"/>
    <xf numFmtId="10" fontId="71" fillId="4" borderId="0" xfId="0" applyNumberFormat="1" applyFont="1" applyFill="1"/>
    <xf numFmtId="167" fontId="71" fillId="4" borderId="0" xfId="0" applyNumberFormat="1" applyFont="1" applyFill="1"/>
    <xf numFmtId="168" fontId="71" fillId="4" borderId="0" xfId="0" applyNumberFormat="1" applyFont="1" applyFill="1"/>
    <xf numFmtId="166" fontId="71" fillId="4" borderId="0" xfId="0" applyNumberFormat="1" applyFont="1" applyFill="1"/>
    <xf numFmtId="44" fontId="71" fillId="4" borderId="0" xfId="0" applyNumberFormat="1" applyFont="1" applyFill="1"/>
    <xf numFmtId="169" fontId="71" fillId="4" borderId="0" xfId="0" applyNumberFormat="1" applyFont="1" applyFill="1"/>
    <xf numFmtId="170" fontId="71" fillId="4" borderId="0" xfId="0" applyNumberFormat="1" applyFont="1" applyFill="1"/>
    <xf numFmtId="42" fontId="3" fillId="4" borderId="0" xfId="0" applyNumberFormat="1" applyFont="1" applyFill="1"/>
    <xf numFmtId="0" fontId="71" fillId="4" borderId="0" xfId="0" applyFont="1" applyFill="1" applyAlignment="1">
      <alignment horizontal="center"/>
    </xf>
    <xf numFmtId="4" fontId="10" fillId="4" borderId="0" xfId="676" applyNumberFormat="1" applyFont="1" applyFill="1"/>
    <xf numFmtId="172" fontId="10" fillId="4" borderId="0" xfId="676" applyFont="1" applyFill="1"/>
    <xf numFmtId="172" fontId="75" fillId="4" borderId="0" xfId="676" applyFont="1" applyFill="1"/>
    <xf numFmtId="2" fontId="10" fillId="4" borderId="0" xfId="676" applyNumberFormat="1" applyFont="1" applyFill="1"/>
    <xf numFmtId="4" fontId="10" fillId="4" borderId="0" xfId="676" applyNumberFormat="1" applyFont="1" applyFill="1" applyAlignment="1">
      <alignment horizontal="center"/>
    </xf>
    <xf numFmtId="10" fontId="75" fillId="4" borderId="0" xfId="3" applyNumberFormat="1" applyFont="1" applyFill="1" applyBorder="1"/>
    <xf numFmtId="2" fontId="10" fillId="4" borderId="0" xfId="676" applyNumberFormat="1" applyFont="1" applyFill="1" applyAlignment="1">
      <alignment horizontal="right"/>
    </xf>
    <xf numFmtId="14" fontId="76" fillId="42" borderId="0" xfId="676" applyNumberFormat="1" applyFont="1" applyFill="1" applyAlignment="1">
      <alignment horizontal="center"/>
    </xf>
    <xf numFmtId="172" fontId="76" fillId="42" borderId="0" xfId="676" applyFont="1" applyFill="1"/>
    <xf numFmtId="2" fontId="76" fillId="42" borderId="0" xfId="676" applyNumberFormat="1" applyFont="1" applyFill="1" applyAlignment="1">
      <alignment horizontal="center"/>
    </xf>
    <xf numFmtId="0" fontId="10" fillId="42" borderId="0" xfId="677" applyFont="1" applyFill="1" applyAlignment="1">
      <alignment horizontal="center"/>
    </xf>
    <xf numFmtId="4" fontId="76" fillId="42" borderId="0" xfId="676" applyNumberFormat="1" applyFont="1" applyFill="1" applyAlignment="1">
      <alignment horizontal="center"/>
    </xf>
    <xf numFmtId="43" fontId="75" fillId="42" borderId="0" xfId="677" applyNumberFormat="1" applyFont="1" applyFill="1"/>
    <xf numFmtId="4" fontId="75" fillId="6" borderId="0" xfId="676" applyNumberFormat="1" applyFont="1" applyFill="1" applyAlignment="1">
      <alignment horizontal="center"/>
    </xf>
    <xf numFmtId="172" fontId="75" fillId="6" borderId="0" xfId="676" applyFont="1" applyFill="1"/>
    <xf numFmtId="2" fontId="75" fillId="6" borderId="0" xfId="676" applyNumberFormat="1" applyFont="1" applyFill="1" applyAlignment="1">
      <alignment horizontal="right"/>
    </xf>
    <xf numFmtId="2" fontId="75" fillId="6" borderId="0" xfId="676" applyNumberFormat="1" applyFont="1" applyFill="1" applyAlignment="1">
      <alignment horizontal="center"/>
    </xf>
    <xf numFmtId="4" fontId="10" fillId="6" borderId="0" xfId="676" applyNumberFormat="1" applyFont="1" applyFill="1"/>
    <xf numFmtId="43" fontId="10" fillId="4" borderId="0" xfId="677" applyNumberFormat="1" applyFont="1" applyFill="1"/>
    <xf numFmtId="2" fontId="75" fillId="4" borderId="0" xfId="676" applyNumberFormat="1" applyFont="1" applyFill="1" applyAlignment="1">
      <alignment horizontal="right"/>
    </xf>
    <xf numFmtId="172" fontId="10" fillId="4" borderId="0" xfId="676" applyFont="1" applyFill="1" applyAlignment="1">
      <alignment horizontal="right"/>
    </xf>
    <xf numFmtId="172" fontId="10" fillId="6" borderId="0" xfId="676" applyFont="1" applyFill="1" applyAlignment="1">
      <alignment horizontal="right"/>
    </xf>
    <xf numFmtId="2" fontId="10" fillId="6" borderId="0" xfId="676" applyNumberFormat="1" applyFont="1" applyFill="1" applyAlignment="1">
      <alignment horizontal="right"/>
    </xf>
    <xf numFmtId="4" fontId="75" fillId="4" borderId="0" xfId="676" applyNumberFormat="1" applyFont="1" applyFill="1"/>
    <xf numFmtId="172" fontId="10" fillId="6" borderId="0" xfId="676" applyFont="1" applyFill="1"/>
    <xf numFmtId="2" fontId="10" fillId="6" borderId="0" xfId="676" applyNumberFormat="1" applyFont="1" applyFill="1"/>
    <xf numFmtId="2" fontId="75" fillId="4" borderId="0" xfId="676" applyNumberFormat="1" applyFont="1" applyFill="1"/>
    <xf numFmtId="4" fontId="77" fillId="4" borderId="0" xfId="676" applyNumberFormat="1" applyFont="1" applyFill="1"/>
    <xf numFmtId="43" fontId="78" fillId="4" borderId="0" xfId="677" applyNumberFormat="1" applyFont="1" applyFill="1"/>
    <xf numFmtId="172" fontId="77" fillId="4" borderId="0" xfId="676" applyFont="1" applyFill="1"/>
    <xf numFmtId="2" fontId="77" fillId="4" borderId="0" xfId="676" applyNumberFormat="1" applyFont="1" applyFill="1" applyAlignment="1">
      <alignment horizontal="right"/>
    </xf>
    <xf numFmtId="2" fontId="77" fillId="4" borderId="0" xfId="676" applyNumberFormat="1" applyFont="1" applyFill="1"/>
    <xf numFmtId="172" fontId="79" fillId="4" borderId="0" xfId="676" applyFont="1" applyFill="1"/>
    <xf numFmtId="43" fontId="80" fillId="4" borderId="0" xfId="677" applyNumberFormat="1" applyFont="1" applyFill="1"/>
    <xf numFmtId="43" fontId="78" fillId="4" borderId="0" xfId="677" applyNumberFormat="1" applyFont="1" applyFill="1" applyAlignment="1">
      <alignment horizontal="left"/>
    </xf>
    <xf numFmtId="4" fontId="78" fillId="4" borderId="0" xfId="677" applyNumberFormat="1" applyFont="1" applyFill="1"/>
    <xf numFmtId="172" fontId="10" fillId="4" borderId="0" xfId="676" applyFont="1" applyFill="1" applyAlignment="1">
      <alignment horizontal="left"/>
    </xf>
    <xf numFmtId="2" fontId="10" fillId="0" borderId="0" xfId="676" applyNumberFormat="1" applyFont="1" applyAlignment="1">
      <alignment horizontal="right"/>
    </xf>
    <xf numFmtId="43" fontId="10" fillId="4" borderId="0" xfId="1" applyFont="1" applyFill="1" applyBorder="1"/>
    <xf numFmtId="1" fontId="75" fillId="4" borderId="0" xfId="403" applyNumberFormat="1" applyFont="1" applyFill="1" applyAlignment="1">
      <alignment horizontal="left"/>
    </xf>
    <xf numFmtId="0" fontId="71" fillId="4" borderId="0" xfId="0" applyFont="1" applyFill="1" applyAlignment="1">
      <alignment horizontal="right"/>
    </xf>
    <xf numFmtId="164" fontId="71" fillId="0" borderId="0" xfId="1" applyNumberFormat="1" applyFont="1" applyFill="1"/>
    <xf numFmtId="164" fontId="71" fillId="4" borderId="1" xfId="1" applyNumberFormat="1" applyFont="1" applyFill="1" applyBorder="1"/>
    <xf numFmtId="0" fontId="3" fillId="4" borderId="0" xfId="0" applyFont="1" applyFill="1" applyAlignment="1">
      <alignment vertical="center"/>
    </xf>
    <xf numFmtId="0" fontId="70" fillId="4" borderId="0" xfId="4" applyFont="1" applyFill="1" applyAlignment="1">
      <alignment vertical="center"/>
    </xf>
    <xf numFmtId="0" fontId="71" fillId="4" borderId="0" xfId="0" applyFont="1" applyFill="1" applyAlignment="1">
      <alignment vertical="center"/>
    </xf>
    <xf numFmtId="164" fontId="71" fillId="4" borderId="0" xfId="1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6" fillId="4" borderId="0" xfId="4" applyFont="1" applyFill="1" applyAlignment="1">
      <alignment horizontal="left" vertical="center"/>
    </xf>
    <xf numFmtId="0" fontId="6" fillId="4" borderId="0" xfId="4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7" fillId="5" borderId="0" xfId="4" applyFont="1" applyFill="1" applyAlignment="1">
      <alignment horizontal="left" vertical="center"/>
    </xf>
    <xf numFmtId="0" fontId="8" fillId="5" borderId="0" xfId="4" applyFont="1" applyFill="1" applyAlignment="1">
      <alignment horizontal="left" vertical="center"/>
    </xf>
    <xf numFmtId="0" fontId="9" fillId="6" borderId="0" xfId="4" applyFont="1" applyFill="1" applyAlignment="1">
      <alignment vertical="center"/>
    </xf>
    <xf numFmtId="0" fontId="10" fillId="4" borderId="0" xfId="0" applyFont="1" applyFill="1" applyAlignment="1">
      <alignment vertical="center"/>
    </xf>
    <xf numFmtId="44" fontId="71" fillId="4" borderId="0" xfId="2" applyFont="1" applyFill="1" applyAlignment="1">
      <alignment vertical="center"/>
    </xf>
    <xf numFmtId="43" fontId="71" fillId="4" borderId="0" xfId="0" applyNumberFormat="1" applyFont="1" applyFill="1" applyAlignment="1">
      <alignment vertical="center"/>
    </xf>
    <xf numFmtId="164" fontId="71" fillId="4" borderId="0" xfId="0" applyNumberFormat="1" applyFont="1" applyFill="1" applyAlignment="1">
      <alignment vertical="center"/>
    </xf>
    <xf numFmtId="0" fontId="70" fillId="4" borderId="0" xfId="5" applyFont="1" applyFill="1" applyAlignment="1">
      <alignment vertical="center"/>
    </xf>
    <xf numFmtId="0" fontId="72" fillId="4" borderId="0" xfId="4" applyFont="1" applyFill="1" applyAlignment="1">
      <alignment horizontal="right" vertical="center"/>
    </xf>
    <xf numFmtId="44" fontId="71" fillId="4" borderId="2" xfId="2" applyFont="1" applyFill="1" applyBorder="1" applyAlignment="1">
      <alignment vertical="center"/>
    </xf>
    <xf numFmtId="0" fontId="71" fillId="4" borderId="2" xfId="0" applyFont="1" applyFill="1" applyBorder="1" applyAlignment="1">
      <alignment vertical="center"/>
    </xf>
    <xf numFmtId="164" fontId="71" fillId="4" borderId="2" xfId="1" applyNumberFormat="1" applyFont="1" applyFill="1" applyBorder="1" applyAlignment="1">
      <alignment vertical="center"/>
    </xf>
    <xf numFmtId="0" fontId="5" fillId="4" borderId="0" xfId="4" applyFont="1" applyFill="1" applyAlignment="1">
      <alignment vertical="center"/>
    </xf>
    <xf numFmtId="43" fontId="71" fillId="4" borderId="0" xfId="1" applyFont="1" applyFill="1" applyAlignment="1">
      <alignment vertical="center"/>
    </xf>
    <xf numFmtId="44" fontId="71" fillId="4" borderId="0" xfId="2" quotePrefix="1" applyFont="1" applyFill="1" applyAlignment="1">
      <alignment vertical="center"/>
    </xf>
    <xf numFmtId="0" fontId="10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44" fontId="71" fillId="0" borderId="0" xfId="2" applyFont="1" applyFill="1" applyAlignment="1">
      <alignment vertical="center"/>
    </xf>
    <xf numFmtId="164" fontId="71" fillId="0" borderId="0" xfId="1" applyNumberFormat="1" applyFont="1" applyFill="1" applyAlignment="1">
      <alignment vertical="center"/>
    </xf>
    <xf numFmtId="43" fontId="71" fillId="0" borderId="0" xfId="0" applyNumberFormat="1" applyFont="1" applyAlignment="1">
      <alignment vertical="center"/>
    </xf>
    <xf numFmtId="43" fontId="71" fillId="0" borderId="0" xfId="1" applyFont="1" applyFill="1" applyAlignment="1">
      <alignment vertical="center"/>
    </xf>
    <xf numFmtId="164" fontId="71" fillId="4" borderId="2" xfId="0" applyNumberFormat="1" applyFont="1" applyFill="1" applyBorder="1" applyAlignment="1">
      <alignment vertical="center"/>
    </xf>
    <xf numFmtId="44" fontId="71" fillId="4" borderId="3" xfId="2" applyFont="1" applyFill="1" applyBorder="1" applyAlignment="1">
      <alignment vertical="center"/>
    </xf>
    <xf numFmtId="43" fontId="71" fillId="4" borderId="3" xfId="0" applyNumberFormat="1" applyFont="1" applyFill="1" applyBorder="1" applyAlignment="1">
      <alignment vertical="center"/>
    </xf>
    <xf numFmtId="44" fontId="71" fillId="4" borderId="0" xfId="0" applyNumberFormat="1" applyFont="1" applyFill="1" applyAlignment="1">
      <alignment vertical="center"/>
    </xf>
    <xf numFmtId="0" fontId="82" fillId="4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164" fontId="3" fillId="4" borderId="1" xfId="1" applyNumberFormat="1" applyFont="1" applyFill="1" applyBorder="1" applyAlignment="1">
      <alignment horizontal="center" vertical="center"/>
    </xf>
    <xf numFmtId="164" fontId="71" fillId="4" borderId="0" xfId="1" applyNumberFormat="1" applyFont="1" applyFill="1" applyBorder="1" applyAlignment="1">
      <alignment vertical="center"/>
    </xf>
    <xf numFmtId="164" fontId="71" fillId="4" borderId="0" xfId="1" applyNumberFormat="1" applyFont="1" applyFill="1" applyBorder="1" applyAlignment="1">
      <alignment horizontal="right" vertical="center"/>
    </xf>
    <xf numFmtId="177" fontId="71" fillId="4" borderId="0" xfId="0" applyNumberFormat="1" applyFont="1" applyFill="1" applyAlignment="1">
      <alignment vertical="center"/>
    </xf>
    <xf numFmtId="3" fontId="3" fillId="4" borderId="0" xfId="0" applyNumberFormat="1" applyFont="1" applyFill="1" applyAlignment="1">
      <alignment vertical="center"/>
    </xf>
    <xf numFmtId="0" fontId="3" fillId="4" borderId="0" xfId="0" applyFont="1" applyFill="1" applyAlignment="1">
      <alignment horizontal="left" vertical="center" wrapText="1"/>
    </xf>
    <xf numFmtId="10" fontId="3" fillId="4" borderId="0" xfId="3" applyNumberFormat="1" applyFont="1" applyFill="1" applyBorder="1" applyAlignment="1">
      <alignment horizontal="right" vertical="center"/>
    </xf>
    <xf numFmtId="10" fontId="71" fillId="4" borderId="0" xfId="3" applyNumberFormat="1" applyFont="1" applyFill="1" applyBorder="1" applyAlignment="1">
      <alignment horizontal="right" vertical="center"/>
    </xf>
    <xf numFmtId="3" fontId="71" fillId="4" borderId="0" xfId="0" applyNumberFormat="1" applyFont="1" applyFill="1" applyAlignment="1">
      <alignment vertical="center"/>
    </xf>
    <xf numFmtId="164" fontId="81" fillId="4" borderId="0" xfId="1" applyNumberFormat="1" applyFont="1" applyFill="1" applyBorder="1" applyAlignment="1">
      <alignment vertical="center"/>
    </xf>
    <xf numFmtId="0" fontId="81" fillId="4" borderId="0" xfId="0" applyFont="1" applyFill="1" applyAlignment="1">
      <alignment horizontal="center" vertical="center"/>
    </xf>
    <xf numFmtId="165" fontId="71" fillId="4" borderId="0" xfId="2" applyNumberFormat="1" applyFont="1" applyFill="1" applyBorder="1" applyAlignment="1">
      <alignment vertical="center"/>
    </xf>
    <xf numFmtId="164" fontId="3" fillId="4" borderId="0" xfId="1" applyNumberFormat="1" applyFont="1" applyFill="1" applyBorder="1" applyAlignment="1">
      <alignment vertical="center"/>
    </xf>
    <xf numFmtId="10" fontId="71" fillId="4" borderId="0" xfId="1" applyNumberFormat="1" applyFont="1" applyFill="1" applyBorder="1" applyAlignment="1">
      <alignment vertical="center"/>
    </xf>
    <xf numFmtId="0" fontId="73" fillId="4" borderId="0" xfId="4" applyFont="1" applyFill="1" applyAlignment="1">
      <alignment horizontal="left" vertical="center" wrapText="1"/>
    </xf>
    <xf numFmtId="0" fontId="73" fillId="4" borderId="0" xfId="4" applyFont="1" applyFill="1" applyAlignment="1">
      <alignment horizontal="center" vertical="center" wrapText="1"/>
    </xf>
    <xf numFmtId="0" fontId="71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72" fillId="4" borderId="0" xfId="4" applyFont="1" applyFill="1" applyAlignment="1">
      <alignment vertical="center"/>
    </xf>
    <xf numFmtId="3" fontId="3" fillId="4" borderId="29" xfId="0" applyNumberFormat="1" applyFont="1" applyFill="1" applyBorder="1" applyAlignment="1">
      <alignment vertical="center"/>
    </xf>
    <xf numFmtId="10" fontId="71" fillId="4" borderId="0" xfId="0" applyNumberFormat="1" applyFont="1" applyFill="1" applyAlignment="1">
      <alignment horizontal="center" vertical="center"/>
    </xf>
    <xf numFmtId="10" fontId="3" fillId="4" borderId="29" xfId="0" applyNumberFormat="1" applyFont="1" applyFill="1" applyBorder="1" applyAlignment="1">
      <alignment horizontal="center" vertical="center"/>
    </xf>
    <xf numFmtId="44" fontId="71" fillId="4" borderId="0" xfId="2" applyFont="1" applyFill="1" applyBorder="1" applyAlignment="1">
      <alignment vertical="center"/>
    </xf>
    <xf numFmtId="44" fontId="71" fillId="0" borderId="0" xfId="0" applyNumberFormat="1" applyFont="1" applyAlignment="1">
      <alignment vertical="center"/>
    </xf>
    <xf numFmtId="165" fontId="71" fillId="0" borderId="1" xfId="2" applyNumberFormat="1" applyFont="1" applyFill="1" applyBorder="1"/>
    <xf numFmtId="0" fontId="83" fillId="0" borderId="0" xfId="4" applyFont="1" applyAlignment="1">
      <alignment vertical="center" wrapText="1"/>
    </xf>
    <xf numFmtId="0" fontId="3" fillId="0" borderId="0" xfId="0" applyFont="1" applyAlignment="1">
      <alignment horizontal="center" wrapText="1"/>
    </xf>
    <xf numFmtId="4" fontId="80" fillId="4" borderId="0" xfId="677" applyNumberFormat="1" applyFont="1" applyFill="1"/>
    <xf numFmtId="0" fontId="84" fillId="4" borderId="0" xfId="677" applyFont="1" applyFill="1"/>
    <xf numFmtId="0" fontId="15" fillId="4" borderId="0" xfId="677" applyFill="1"/>
    <xf numFmtId="0" fontId="3" fillId="0" borderId="2" xfId="0" applyFont="1" applyBorder="1" applyAlignment="1">
      <alignment horizontal="center" vertical="center" wrapText="1"/>
    </xf>
    <xf numFmtId="44" fontId="71" fillId="43" borderId="0" xfId="2" applyFont="1" applyFill="1" applyAlignment="1">
      <alignment vertical="center"/>
    </xf>
    <xf numFmtId="0" fontId="72" fillId="43" borderId="0" xfId="4" applyFont="1" applyFill="1" applyAlignment="1">
      <alignment vertical="center"/>
    </xf>
    <xf numFmtId="0" fontId="71" fillId="4" borderId="29" xfId="0" applyFont="1" applyFill="1" applyBorder="1"/>
    <xf numFmtId="0" fontId="71" fillId="4" borderId="0" xfId="0" applyFont="1" applyFill="1" applyAlignment="1">
      <alignment horizontal="centerContinuous"/>
    </xf>
    <xf numFmtId="0" fontId="3" fillId="4" borderId="2" xfId="0" applyFont="1" applyFill="1" applyBorder="1" applyAlignment="1">
      <alignment horizontal="center"/>
    </xf>
    <xf numFmtId="0" fontId="3" fillId="4" borderId="0" xfId="0" applyFont="1" applyFill="1" applyAlignment="1">
      <alignment horizontal="centerContinuous"/>
    </xf>
    <xf numFmtId="0" fontId="85" fillId="0" borderId="0" xfId="0" applyFont="1"/>
    <xf numFmtId="0" fontId="0" fillId="0" borderId="38" xfId="0" applyBorder="1"/>
    <xf numFmtId="0" fontId="85" fillId="0" borderId="0" xfId="0" applyFont="1" applyAlignment="1">
      <alignment horizontal="center"/>
    </xf>
    <xf numFmtId="0" fontId="0" fillId="0" borderId="39" xfId="0" applyBorder="1"/>
    <xf numFmtId="44" fontId="0" fillId="0" borderId="0" xfId="2" applyFont="1" applyBorder="1"/>
    <xf numFmtId="0" fontId="0" fillId="46" borderId="38" xfId="0" applyFill="1" applyBorder="1"/>
    <xf numFmtId="43" fontId="0" fillId="46" borderId="0" xfId="1" applyFont="1" applyFill="1" applyBorder="1"/>
    <xf numFmtId="44" fontId="0" fillId="46" borderId="0" xfId="2" applyFont="1" applyFill="1" applyBorder="1"/>
    <xf numFmtId="44" fontId="0" fillId="0" borderId="39" xfId="2" applyFont="1" applyBorder="1"/>
    <xf numFmtId="0" fontId="0" fillId="0" borderId="39" xfId="0" quotePrefix="1" applyBorder="1"/>
    <xf numFmtId="44" fontId="0" fillId="0" borderId="0" xfId="0" applyNumberFormat="1"/>
    <xf numFmtId="43" fontId="0" fillId="46" borderId="3" xfId="1" applyFont="1" applyFill="1" applyBorder="1"/>
    <xf numFmtId="44" fontId="0" fillId="46" borderId="3" xfId="2" applyFont="1" applyFill="1" applyBorder="1"/>
    <xf numFmtId="44" fontId="0" fillId="0" borderId="0" xfId="2" applyFont="1" applyFill="1" applyBorder="1"/>
    <xf numFmtId="43" fontId="0" fillId="0" borderId="0" xfId="1" applyFont="1" applyBorder="1"/>
    <xf numFmtId="44" fontId="0" fillId="0" borderId="3" xfId="2" applyFont="1" applyBorder="1"/>
    <xf numFmtId="44" fontId="0" fillId="0" borderId="0" xfId="2" applyFont="1"/>
    <xf numFmtId="0" fontId="0" fillId="0" borderId="38" xfId="0" quotePrefix="1" applyBorder="1"/>
    <xf numFmtId="10" fontId="86" fillId="0" borderId="0" xfId="679" applyNumberFormat="1" applyFont="1" applyBorder="1"/>
    <xf numFmtId="0" fontId="87" fillId="0" borderId="39" xfId="0" quotePrefix="1" applyFont="1" applyBorder="1"/>
    <xf numFmtId="0" fontId="86" fillId="0" borderId="33" xfId="0" applyFont="1" applyBorder="1"/>
    <xf numFmtId="44" fontId="86" fillId="0" borderId="40" xfId="0" applyNumberFormat="1" applyFont="1" applyBorder="1"/>
    <xf numFmtId="0" fontId="0" fillId="0" borderId="34" xfId="0" applyBorder="1"/>
    <xf numFmtId="0" fontId="86" fillId="0" borderId="0" xfId="0" applyFont="1"/>
    <xf numFmtId="0" fontId="0" fillId="47" borderId="38" xfId="0" applyFill="1" applyBorder="1"/>
    <xf numFmtId="43" fontId="0" fillId="47" borderId="0" xfId="1" applyFont="1" applyFill="1" applyBorder="1"/>
    <xf numFmtId="44" fontId="0" fillId="47" borderId="0" xfId="2" applyFont="1" applyFill="1" applyBorder="1"/>
    <xf numFmtId="168" fontId="0" fillId="0" borderId="0" xfId="679" applyNumberFormat="1" applyFont="1"/>
    <xf numFmtId="0" fontId="0" fillId="0" borderId="38" xfId="0" applyBorder="1" applyAlignment="1">
      <alignment horizontal="right"/>
    </xf>
    <xf numFmtId="43" fontId="0" fillId="47" borderId="3" xfId="1" applyFont="1" applyFill="1" applyBorder="1"/>
    <xf numFmtId="44" fontId="0" fillId="47" borderId="3" xfId="2" applyFont="1" applyFill="1" applyBorder="1"/>
    <xf numFmtId="0" fontId="0" fillId="0" borderId="33" xfId="0" applyBorder="1"/>
    <xf numFmtId="0" fontId="0" fillId="0" borderId="40" xfId="0" applyBorder="1"/>
    <xf numFmtId="43" fontId="0" fillId="0" borderId="40" xfId="1" applyFont="1" applyBorder="1"/>
    <xf numFmtId="43" fontId="0" fillId="0" borderId="0" xfId="1" applyFont="1"/>
    <xf numFmtId="0" fontId="85" fillId="0" borderId="39" xfId="0" applyFont="1" applyBorder="1" applyAlignment="1">
      <alignment horizontal="center"/>
    </xf>
    <xf numFmtId="43" fontId="0" fillId="0" borderId="0" xfId="0" applyNumberFormat="1"/>
    <xf numFmtId="0" fontId="0" fillId="0" borderId="38" xfId="0" applyBorder="1" applyAlignment="1">
      <alignment wrapText="1"/>
    </xf>
    <xf numFmtId="43" fontId="0" fillId="0" borderId="3" xfId="1" applyFont="1" applyBorder="1"/>
    <xf numFmtId="44" fontId="0" fillId="0" borderId="41" xfId="2" applyFont="1" applyBorder="1"/>
    <xf numFmtId="44" fontId="0" fillId="0" borderId="34" xfId="2" applyFont="1" applyBorder="1"/>
    <xf numFmtId="10" fontId="0" fillId="0" borderId="0" xfId="680" applyNumberFormat="1" applyFont="1" applyBorder="1"/>
    <xf numFmtId="10" fontId="0" fillId="0" borderId="40" xfId="680" applyNumberFormat="1" applyFont="1" applyBorder="1"/>
    <xf numFmtId="164" fontId="3" fillId="48" borderId="0" xfId="1" applyNumberFormat="1" applyFont="1" applyFill="1" applyBorder="1" applyAlignment="1">
      <alignment horizontal="right" vertical="center"/>
    </xf>
    <xf numFmtId="0" fontId="71" fillId="4" borderId="30" xfId="0" applyFont="1" applyFill="1" applyBorder="1" applyAlignment="1">
      <alignment vertical="center"/>
    </xf>
    <xf numFmtId="0" fontId="3" fillId="4" borderId="31" xfId="0" applyFont="1" applyFill="1" applyBorder="1" applyAlignment="1">
      <alignment horizontal="right" vertical="center"/>
    </xf>
    <xf numFmtId="177" fontId="3" fillId="4" borderId="31" xfId="0" applyNumberFormat="1" applyFont="1" applyFill="1" applyBorder="1" applyAlignment="1">
      <alignment vertical="center"/>
    </xf>
    <xf numFmtId="10" fontId="3" fillId="4" borderId="32" xfId="3" applyNumberFormat="1" applyFont="1" applyFill="1" applyBorder="1" applyAlignment="1">
      <alignment horizontal="center" vertical="center"/>
    </xf>
    <xf numFmtId="0" fontId="71" fillId="4" borderId="38" xfId="0" applyFont="1" applyFill="1" applyBorder="1" applyAlignment="1">
      <alignment vertical="center"/>
    </xf>
    <xf numFmtId="177" fontId="3" fillId="4" borderId="0" xfId="0" applyNumberFormat="1" applyFont="1" applyFill="1" applyAlignment="1">
      <alignment vertical="center"/>
    </xf>
    <xf numFmtId="10" fontId="3" fillId="4" borderId="39" xfId="3" applyNumberFormat="1" applyFont="1" applyFill="1" applyBorder="1" applyAlignment="1">
      <alignment horizontal="center" vertical="center"/>
    </xf>
    <xf numFmtId="0" fontId="71" fillId="4" borderId="39" xfId="0" applyFont="1" applyFill="1" applyBorder="1" applyAlignment="1">
      <alignment vertical="center"/>
    </xf>
    <xf numFmtId="0" fontId="71" fillId="4" borderId="0" xfId="0" applyFont="1" applyFill="1" applyAlignment="1">
      <alignment horizontal="right" vertical="center"/>
    </xf>
    <xf numFmtId="10" fontId="3" fillId="4" borderId="39" xfId="0" applyNumberFormat="1" applyFont="1" applyFill="1" applyBorder="1" applyAlignment="1">
      <alignment horizontal="center" vertical="center"/>
    </xf>
    <xf numFmtId="0" fontId="71" fillId="4" borderId="33" xfId="0" applyFont="1" applyFill="1" applyBorder="1" applyAlignment="1">
      <alignment vertical="center"/>
    </xf>
    <xf numFmtId="0" fontId="71" fillId="4" borderId="40" xfId="0" applyFont="1" applyFill="1" applyBorder="1" applyAlignment="1">
      <alignment vertical="center"/>
    </xf>
    <xf numFmtId="177" fontId="71" fillId="4" borderId="34" xfId="0" applyNumberFormat="1" applyFont="1" applyFill="1" applyBorder="1" applyAlignment="1">
      <alignment horizontal="right" vertical="center"/>
    </xf>
    <xf numFmtId="177" fontId="3" fillId="4" borderId="1" xfId="0" applyNumberFormat="1" applyFont="1" applyFill="1" applyBorder="1" applyAlignment="1">
      <alignment vertical="center"/>
    </xf>
    <xf numFmtId="44" fontId="71" fillId="45" borderId="1" xfId="2" applyFont="1" applyFill="1" applyBorder="1"/>
    <xf numFmtId="0" fontId="88" fillId="45" borderId="35" xfId="0" applyFont="1" applyFill="1" applyBorder="1"/>
    <xf numFmtId="0" fontId="0" fillId="45" borderId="36" xfId="0" applyFill="1" applyBorder="1"/>
    <xf numFmtId="0" fontId="0" fillId="45" borderId="37" xfId="0" applyFill="1" applyBorder="1"/>
    <xf numFmtId="164" fontId="71" fillId="0" borderId="0" xfId="0" applyNumberFormat="1" applyFont="1" applyAlignment="1">
      <alignment vertical="center"/>
    </xf>
    <xf numFmtId="0" fontId="10" fillId="0" borderId="0" xfId="0" applyFont="1"/>
    <xf numFmtId="0" fontId="72" fillId="0" borderId="0" xfId="4" applyFont="1" applyAlignment="1">
      <alignment vertical="center"/>
    </xf>
    <xf numFmtId="4" fontId="10" fillId="0" borderId="0" xfId="676" applyNumberFormat="1" applyFont="1"/>
    <xf numFmtId="172" fontId="10" fillId="0" borderId="0" xfId="676" applyFont="1"/>
    <xf numFmtId="2" fontId="10" fillId="0" borderId="0" xfId="676" applyNumberFormat="1" applyFont="1"/>
    <xf numFmtId="4" fontId="89" fillId="4" borderId="0" xfId="676" applyNumberFormat="1" applyFont="1" applyFill="1"/>
    <xf numFmtId="177" fontId="71" fillId="4" borderId="2" xfId="2" applyNumberFormat="1" applyFont="1" applyFill="1" applyBorder="1" applyAlignment="1">
      <alignment vertical="center"/>
    </xf>
    <xf numFmtId="4" fontId="75" fillId="0" borderId="0" xfId="676" applyNumberFormat="1" applyFont="1"/>
    <xf numFmtId="172" fontId="75" fillId="0" borderId="0" xfId="676" applyFont="1"/>
    <xf numFmtId="2" fontId="75" fillId="0" borderId="0" xfId="676" applyNumberFormat="1" applyFont="1" applyAlignment="1">
      <alignment horizontal="right"/>
    </xf>
    <xf numFmtId="2" fontId="75" fillId="0" borderId="0" xfId="676" applyNumberFormat="1" applyFont="1"/>
    <xf numFmtId="4" fontId="77" fillId="0" borderId="0" xfId="676" applyNumberFormat="1" applyFont="1"/>
    <xf numFmtId="172" fontId="77" fillId="0" borderId="0" xfId="676" applyFont="1"/>
    <xf numFmtId="2" fontId="77" fillId="0" borderId="0" xfId="676" applyNumberFormat="1" applyFont="1" applyAlignment="1">
      <alignment horizontal="right"/>
    </xf>
    <xf numFmtId="2" fontId="77" fillId="0" borderId="0" xfId="676" applyNumberFormat="1" applyFont="1"/>
    <xf numFmtId="0" fontId="71" fillId="49" borderId="0" xfId="0" applyFont="1" applyFill="1" applyAlignment="1">
      <alignment vertical="center"/>
    </xf>
    <xf numFmtId="1" fontId="71" fillId="49" borderId="0" xfId="0" applyNumberFormat="1" applyFont="1" applyFill="1" applyAlignment="1">
      <alignment vertical="center"/>
    </xf>
    <xf numFmtId="44" fontId="71" fillId="49" borderId="0" xfId="2" applyFont="1" applyFill="1" applyAlignment="1">
      <alignment vertical="center"/>
    </xf>
    <xf numFmtId="0" fontId="10" fillId="43" borderId="0" xfId="0" applyFont="1" applyFill="1" applyAlignment="1">
      <alignment vertical="center"/>
    </xf>
    <xf numFmtId="0" fontId="71" fillId="43" borderId="0" xfId="0" applyFont="1" applyFill="1" applyAlignment="1">
      <alignment vertical="center"/>
    </xf>
    <xf numFmtId="164" fontId="71" fillId="43" borderId="0" xfId="1" applyNumberFormat="1" applyFont="1" applyFill="1" applyAlignment="1">
      <alignment vertical="center"/>
    </xf>
    <xf numFmtId="164" fontId="71" fillId="43" borderId="0" xfId="0" applyNumberFormat="1" applyFont="1" applyFill="1" applyAlignment="1">
      <alignment vertical="center"/>
    </xf>
    <xf numFmtId="164" fontId="71" fillId="49" borderId="0" xfId="1" applyNumberFormat="1" applyFont="1" applyFill="1" applyAlignment="1">
      <alignment vertical="center"/>
    </xf>
    <xf numFmtId="41" fontId="71" fillId="49" borderId="0" xfId="0" applyNumberFormat="1" applyFont="1" applyFill="1" applyAlignment="1">
      <alignment vertical="center"/>
    </xf>
    <xf numFmtId="44" fontId="71" fillId="49" borderId="0" xfId="2" quotePrefix="1" applyFont="1" applyFill="1" applyAlignment="1">
      <alignment vertical="center"/>
    </xf>
    <xf numFmtId="10" fontId="3" fillId="4" borderId="0" xfId="0" applyNumberFormat="1" applyFont="1" applyFill="1" applyAlignment="1">
      <alignment horizontal="center" vertical="center"/>
    </xf>
    <xf numFmtId="164" fontId="71" fillId="43" borderId="0" xfId="1" applyNumberFormat="1" applyFont="1" applyFill="1" applyAlignment="1">
      <alignment horizontal="center" vertical="center"/>
    </xf>
    <xf numFmtId="164" fontId="0" fillId="4" borderId="0" xfId="1" applyNumberFormat="1" applyFont="1" applyFill="1" applyAlignment="1">
      <alignment vertical="center"/>
    </xf>
    <xf numFmtId="0" fontId="5" fillId="43" borderId="0" xfId="4" applyFont="1" applyFill="1" applyAlignment="1">
      <alignment vertical="center"/>
    </xf>
    <xf numFmtId="0" fontId="71" fillId="43" borderId="0" xfId="1" applyNumberFormat="1" applyFont="1" applyFill="1" applyBorder="1" applyAlignment="1">
      <alignment vertical="center"/>
    </xf>
    <xf numFmtId="43" fontId="10" fillId="0" borderId="0" xfId="1" applyFont="1" applyAlignment="1">
      <alignment horizontal="right"/>
    </xf>
    <xf numFmtId="43" fontId="10" fillId="4" borderId="0" xfId="1" applyFont="1" applyFill="1" applyAlignment="1">
      <alignment horizontal="right"/>
    </xf>
    <xf numFmtId="43" fontId="10" fillId="6" borderId="0" xfId="1" applyFont="1" applyFill="1" applyAlignment="1">
      <alignment horizontal="right"/>
    </xf>
    <xf numFmtId="43" fontId="10" fillId="0" borderId="0" xfId="1" applyFont="1"/>
    <xf numFmtId="43" fontId="10" fillId="4" borderId="0" xfId="1" applyFont="1" applyFill="1"/>
    <xf numFmtId="43" fontId="10" fillId="6" borderId="0" xfId="1" applyFont="1" applyFill="1"/>
    <xf numFmtId="43" fontId="75" fillId="4" borderId="0" xfId="1" applyFont="1" applyFill="1"/>
    <xf numFmtId="43" fontId="77" fillId="4" borderId="0" xfId="1" applyFont="1" applyFill="1"/>
    <xf numFmtId="43" fontId="75" fillId="0" borderId="0" xfId="1" applyFont="1"/>
    <xf numFmtId="43" fontId="77" fillId="0" borderId="0" xfId="1" applyFont="1"/>
    <xf numFmtId="166" fontId="71" fillId="0" borderId="0" xfId="1" applyNumberFormat="1" applyFont="1" applyFill="1" applyBorder="1"/>
    <xf numFmtId="43" fontId="71" fillId="4" borderId="1" xfId="1" applyFont="1" applyFill="1" applyBorder="1"/>
    <xf numFmtId="43" fontId="71" fillId="4" borderId="29" xfId="1" applyFont="1" applyFill="1" applyBorder="1"/>
    <xf numFmtId="43" fontId="71" fillId="0" borderId="1" xfId="1" applyFont="1" applyFill="1" applyBorder="1"/>
    <xf numFmtId="43" fontId="71" fillId="0" borderId="0" xfId="1" applyFont="1" applyFill="1"/>
    <xf numFmtId="44" fontId="71" fillId="45" borderId="0" xfId="2" applyFont="1" applyFill="1"/>
    <xf numFmtId="0" fontId="83" fillId="45" borderId="35" xfId="4" applyFont="1" applyFill="1" applyBorder="1" applyAlignment="1">
      <alignment horizontal="left" vertical="center" wrapText="1"/>
    </xf>
    <xf numFmtId="0" fontId="83" fillId="45" borderId="36" xfId="4" applyFont="1" applyFill="1" applyBorder="1" applyAlignment="1">
      <alignment horizontal="left" vertical="center" wrapText="1"/>
    </xf>
    <xf numFmtId="0" fontId="83" fillId="45" borderId="37" xfId="4" applyFont="1" applyFill="1" applyBorder="1" applyAlignment="1">
      <alignment horizontal="left" vertical="center" wrapText="1"/>
    </xf>
    <xf numFmtId="0" fontId="71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1" fillId="4" borderId="0" xfId="0" applyFont="1" applyFill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83" fillId="44" borderId="31" xfId="4" applyFont="1" applyFill="1" applyBorder="1" applyAlignment="1">
      <alignment horizontal="left" vertical="center" wrapText="1"/>
    </xf>
    <xf numFmtId="0" fontId="83" fillId="44" borderId="32" xfId="4" applyFont="1" applyFill="1" applyBorder="1" applyAlignment="1">
      <alignment horizontal="left" vertical="center" wrapText="1"/>
    </xf>
    <xf numFmtId="0" fontId="83" fillId="44" borderId="24" xfId="4" applyFont="1" applyFill="1" applyBorder="1" applyAlignment="1">
      <alignment horizontal="left" vertical="center" wrapText="1"/>
    </xf>
    <xf numFmtId="0" fontId="83" fillId="44" borderId="34" xfId="4" applyFont="1" applyFill="1" applyBorder="1" applyAlignment="1">
      <alignment horizontal="left" vertical="center" wrapText="1"/>
    </xf>
    <xf numFmtId="0" fontId="85" fillId="45" borderId="30" xfId="0" applyFont="1" applyFill="1" applyBorder="1" applyAlignment="1">
      <alignment horizontal="center"/>
    </xf>
    <xf numFmtId="0" fontId="85" fillId="45" borderId="31" xfId="0" applyFont="1" applyFill="1" applyBorder="1" applyAlignment="1">
      <alignment horizontal="center"/>
    </xf>
    <xf numFmtId="0" fontId="85" fillId="45" borderId="32" xfId="0" applyFont="1" applyFill="1" applyBorder="1" applyAlignment="1">
      <alignment horizontal="center"/>
    </xf>
    <xf numFmtId="0" fontId="85" fillId="0" borderId="0" xfId="0" applyFont="1" applyAlignment="1">
      <alignment horizontal="left" wrapText="1"/>
    </xf>
    <xf numFmtId="0" fontId="0" fillId="0" borderId="0" xfId="0" applyFill="1" applyAlignment="1">
      <alignment horizontal="center" vertical="center"/>
    </xf>
  </cellXfs>
  <cellStyles count="681">
    <cellStyle name="20% - Accent1 2" xfId="6" xr:uid="{00000000-0005-0000-0000-000000000000}"/>
    <cellStyle name="20% - Accent1 2 2" xfId="7" xr:uid="{00000000-0005-0000-0000-000001000000}"/>
    <cellStyle name="20% - Accent1 2 3" xfId="8" xr:uid="{00000000-0005-0000-0000-000002000000}"/>
    <cellStyle name="20% - Accent1 3" xfId="9" xr:uid="{00000000-0005-0000-0000-000003000000}"/>
    <cellStyle name="20% - Accent1 3 2" xfId="10" xr:uid="{00000000-0005-0000-0000-000004000000}"/>
    <cellStyle name="20% - Accent1 3 3" xfId="11" xr:uid="{00000000-0005-0000-0000-000005000000}"/>
    <cellStyle name="20% - Accent1 4" xfId="12" xr:uid="{00000000-0005-0000-0000-000006000000}"/>
    <cellStyle name="20% - Accent2 2" xfId="13" xr:uid="{00000000-0005-0000-0000-000007000000}"/>
    <cellStyle name="20% - Accent2 3" xfId="14" xr:uid="{00000000-0005-0000-0000-000008000000}"/>
    <cellStyle name="20% - Accent2 3 2" xfId="15" xr:uid="{00000000-0005-0000-0000-000009000000}"/>
    <cellStyle name="20% - Accent3 2" xfId="16" xr:uid="{00000000-0005-0000-0000-00000A000000}"/>
    <cellStyle name="20% - Accent3 3" xfId="17" xr:uid="{00000000-0005-0000-0000-00000B000000}"/>
    <cellStyle name="20% - Accent3 3 2" xfId="18" xr:uid="{00000000-0005-0000-0000-00000C000000}"/>
    <cellStyle name="20% - Accent4 2" xfId="19" xr:uid="{00000000-0005-0000-0000-00000D000000}"/>
    <cellStyle name="20% - Accent4 2 2" xfId="20" xr:uid="{00000000-0005-0000-0000-00000E000000}"/>
    <cellStyle name="20% - Accent4 2 3" xfId="21" xr:uid="{00000000-0005-0000-0000-00000F000000}"/>
    <cellStyle name="20% - Accent4 3" xfId="22" xr:uid="{00000000-0005-0000-0000-000010000000}"/>
    <cellStyle name="20% - Accent4 3 2" xfId="23" xr:uid="{00000000-0005-0000-0000-000011000000}"/>
    <cellStyle name="20% - Accent4 3 3" xfId="24" xr:uid="{00000000-0005-0000-0000-000012000000}"/>
    <cellStyle name="20% - Accent4 4" xfId="25" xr:uid="{00000000-0005-0000-0000-000013000000}"/>
    <cellStyle name="20% - Accent5 2" xfId="26" xr:uid="{00000000-0005-0000-0000-000014000000}"/>
    <cellStyle name="20% - Accent5 3" xfId="27" xr:uid="{00000000-0005-0000-0000-000015000000}"/>
    <cellStyle name="20% - Accent6 2" xfId="28" xr:uid="{00000000-0005-0000-0000-000016000000}"/>
    <cellStyle name="20% - Accent6 3" xfId="29" xr:uid="{00000000-0005-0000-0000-000017000000}"/>
    <cellStyle name="20% - Accent6 3 2" xfId="30" xr:uid="{00000000-0005-0000-0000-000018000000}"/>
    <cellStyle name="40% - Accent1 2" xfId="31" xr:uid="{00000000-0005-0000-0000-000019000000}"/>
    <cellStyle name="40% - Accent1 2 2" xfId="32" xr:uid="{00000000-0005-0000-0000-00001A000000}"/>
    <cellStyle name="40% - Accent1 3" xfId="33" xr:uid="{00000000-0005-0000-0000-00001B000000}"/>
    <cellStyle name="40% - Accent1 3 2" xfId="34" xr:uid="{00000000-0005-0000-0000-00001C000000}"/>
    <cellStyle name="40% - Accent1 3 3" xfId="35" xr:uid="{00000000-0005-0000-0000-00001D000000}"/>
    <cellStyle name="40% - Accent1 4" xfId="36" xr:uid="{00000000-0005-0000-0000-00001E000000}"/>
    <cellStyle name="40% - Accent2 2" xfId="37" xr:uid="{00000000-0005-0000-0000-00001F000000}"/>
    <cellStyle name="40% - Accent2 3" xfId="38" xr:uid="{00000000-0005-0000-0000-000020000000}"/>
    <cellStyle name="40% - Accent3 2" xfId="39" xr:uid="{00000000-0005-0000-0000-000021000000}"/>
    <cellStyle name="40% - Accent3 3" xfId="40" xr:uid="{00000000-0005-0000-0000-000022000000}"/>
    <cellStyle name="40% - Accent3 3 2" xfId="41" xr:uid="{00000000-0005-0000-0000-000023000000}"/>
    <cellStyle name="40% - Accent4 2" xfId="42" xr:uid="{00000000-0005-0000-0000-000024000000}"/>
    <cellStyle name="40% - Accent4 2 2" xfId="43" xr:uid="{00000000-0005-0000-0000-000025000000}"/>
    <cellStyle name="40% - Accent4 3" xfId="44" xr:uid="{00000000-0005-0000-0000-000026000000}"/>
    <cellStyle name="40% - Accent4 3 2" xfId="45" xr:uid="{00000000-0005-0000-0000-000027000000}"/>
    <cellStyle name="40% - Accent4 3 3" xfId="46" xr:uid="{00000000-0005-0000-0000-000028000000}"/>
    <cellStyle name="40% - Accent4 4" xfId="47" xr:uid="{00000000-0005-0000-0000-000029000000}"/>
    <cellStyle name="40% - Accent5 2" xfId="48" xr:uid="{00000000-0005-0000-0000-00002A000000}"/>
    <cellStyle name="40% - Accent5 2 2" xfId="49" xr:uid="{00000000-0005-0000-0000-00002B000000}"/>
    <cellStyle name="40% - Accent5 3" xfId="50" xr:uid="{00000000-0005-0000-0000-00002C000000}"/>
    <cellStyle name="40% - Accent5 3 2" xfId="51" xr:uid="{00000000-0005-0000-0000-00002D000000}"/>
    <cellStyle name="40% - Accent6 2" xfId="52" xr:uid="{00000000-0005-0000-0000-00002E000000}"/>
    <cellStyle name="40% - Accent6 2 2" xfId="53" xr:uid="{00000000-0005-0000-0000-00002F000000}"/>
    <cellStyle name="40% - Accent6 3" xfId="54" xr:uid="{00000000-0005-0000-0000-000030000000}"/>
    <cellStyle name="40% - Accent6 3 2" xfId="55" xr:uid="{00000000-0005-0000-0000-000031000000}"/>
    <cellStyle name="40% - Accent6 3 3" xfId="56" xr:uid="{00000000-0005-0000-0000-000032000000}"/>
    <cellStyle name="40% - Accent6 4" xfId="57" xr:uid="{00000000-0005-0000-0000-000033000000}"/>
    <cellStyle name="60% - Accent1 2" xfId="58" xr:uid="{00000000-0005-0000-0000-000034000000}"/>
    <cellStyle name="60% - Accent1 2 2" xfId="59" xr:uid="{00000000-0005-0000-0000-000035000000}"/>
    <cellStyle name="60% - Accent1 2 3" xfId="60" xr:uid="{00000000-0005-0000-0000-000036000000}"/>
    <cellStyle name="60% - Accent1 3" xfId="61" xr:uid="{00000000-0005-0000-0000-000037000000}"/>
    <cellStyle name="60% - Accent1 3 2" xfId="62" xr:uid="{00000000-0005-0000-0000-000038000000}"/>
    <cellStyle name="60% - Accent1 3 3" xfId="63" xr:uid="{00000000-0005-0000-0000-000039000000}"/>
    <cellStyle name="60% - Accent1 4" xfId="64" xr:uid="{00000000-0005-0000-0000-00003A000000}"/>
    <cellStyle name="60% - Accent2 2" xfId="65" xr:uid="{00000000-0005-0000-0000-00003B000000}"/>
    <cellStyle name="60% - Accent2 2 2" xfId="66" xr:uid="{00000000-0005-0000-0000-00003C000000}"/>
    <cellStyle name="60% - Accent2 3" xfId="67" xr:uid="{00000000-0005-0000-0000-00003D000000}"/>
    <cellStyle name="60% - Accent2 3 2" xfId="68" xr:uid="{00000000-0005-0000-0000-00003E000000}"/>
    <cellStyle name="60% - Accent3 2" xfId="69" xr:uid="{00000000-0005-0000-0000-00003F000000}"/>
    <cellStyle name="60% - Accent3 2 2" xfId="70" xr:uid="{00000000-0005-0000-0000-000040000000}"/>
    <cellStyle name="60% - Accent3 3" xfId="71" xr:uid="{00000000-0005-0000-0000-000041000000}"/>
    <cellStyle name="60% - Accent3 3 2" xfId="72" xr:uid="{00000000-0005-0000-0000-000042000000}"/>
    <cellStyle name="60% - Accent3 3 3" xfId="73" xr:uid="{00000000-0005-0000-0000-000043000000}"/>
    <cellStyle name="60% - Accent3 4" xfId="74" xr:uid="{00000000-0005-0000-0000-000044000000}"/>
    <cellStyle name="60% - Accent4 2" xfId="75" xr:uid="{00000000-0005-0000-0000-000045000000}"/>
    <cellStyle name="60% - Accent4 2 2" xfId="76" xr:uid="{00000000-0005-0000-0000-000046000000}"/>
    <cellStyle name="60% - Accent4 3" xfId="77" xr:uid="{00000000-0005-0000-0000-000047000000}"/>
    <cellStyle name="60% - Accent4 3 2" xfId="78" xr:uid="{00000000-0005-0000-0000-000048000000}"/>
    <cellStyle name="60% - Accent4 3 3" xfId="79" xr:uid="{00000000-0005-0000-0000-000049000000}"/>
    <cellStyle name="60% - Accent4 4" xfId="80" xr:uid="{00000000-0005-0000-0000-00004A000000}"/>
    <cellStyle name="60% - Accent5 2" xfId="81" xr:uid="{00000000-0005-0000-0000-00004B000000}"/>
    <cellStyle name="60% - Accent5 2 2" xfId="82" xr:uid="{00000000-0005-0000-0000-00004C000000}"/>
    <cellStyle name="60% - Accent5 2 3" xfId="83" xr:uid="{00000000-0005-0000-0000-00004D000000}"/>
    <cellStyle name="60% - Accent5 3" xfId="84" xr:uid="{00000000-0005-0000-0000-00004E000000}"/>
    <cellStyle name="60% - Accent5 3 2" xfId="85" xr:uid="{00000000-0005-0000-0000-00004F000000}"/>
    <cellStyle name="60% - Accent6 2" xfId="86" xr:uid="{00000000-0005-0000-0000-000050000000}"/>
    <cellStyle name="60% - Accent6 3" xfId="87" xr:uid="{00000000-0005-0000-0000-000051000000}"/>
    <cellStyle name="60% - Accent6 3 2" xfId="88" xr:uid="{00000000-0005-0000-0000-000052000000}"/>
    <cellStyle name="Accent1 2" xfId="89" xr:uid="{00000000-0005-0000-0000-000053000000}"/>
    <cellStyle name="Accent1 2 2" xfId="90" xr:uid="{00000000-0005-0000-0000-000054000000}"/>
    <cellStyle name="Accent1 2 3" xfId="91" xr:uid="{00000000-0005-0000-0000-000055000000}"/>
    <cellStyle name="Accent1 3" xfId="92" xr:uid="{00000000-0005-0000-0000-000056000000}"/>
    <cellStyle name="Accent1 3 2" xfId="93" xr:uid="{00000000-0005-0000-0000-000057000000}"/>
    <cellStyle name="Accent1 3 3" xfId="94" xr:uid="{00000000-0005-0000-0000-000058000000}"/>
    <cellStyle name="Accent1 4" xfId="95" xr:uid="{00000000-0005-0000-0000-000059000000}"/>
    <cellStyle name="Accent2 2" xfId="96" xr:uid="{00000000-0005-0000-0000-00005A000000}"/>
    <cellStyle name="Accent2 2 2" xfId="97" xr:uid="{00000000-0005-0000-0000-00005B000000}"/>
    <cellStyle name="Accent2 3" xfId="98" xr:uid="{00000000-0005-0000-0000-00005C000000}"/>
    <cellStyle name="Accent2 3 2" xfId="99" xr:uid="{00000000-0005-0000-0000-00005D000000}"/>
    <cellStyle name="Accent3 2" xfId="100" xr:uid="{00000000-0005-0000-0000-00005E000000}"/>
    <cellStyle name="Accent3 2 2" xfId="101" xr:uid="{00000000-0005-0000-0000-00005F000000}"/>
    <cellStyle name="Accent3 2 3" xfId="102" xr:uid="{00000000-0005-0000-0000-000060000000}"/>
    <cellStyle name="Accent3 3" xfId="103" xr:uid="{00000000-0005-0000-0000-000061000000}"/>
    <cellStyle name="Accent3 3 2" xfId="104" xr:uid="{00000000-0005-0000-0000-000062000000}"/>
    <cellStyle name="Accent4 2" xfId="105" xr:uid="{00000000-0005-0000-0000-000063000000}"/>
    <cellStyle name="Accent4 3" xfId="106" xr:uid="{00000000-0005-0000-0000-000064000000}"/>
    <cellStyle name="Accent4 3 2" xfId="107" xr:uid="{00000000-0005-0000-0000-000065000000}"/>
    <cellStyle name="Accent5 2" xfId="108" xr:uid="{00000000-0005-0000-0000-000066000000}"/>
    <cellStyle name="Accent5 3" xfId="109" xr:uid="{00000000-0005-0000-0000-000067000000}"/>
    <cellStyle name="Accent6 2" xfId="110" xr:uid="{00000000-0005-0000-0000-000068000000}"/>
    <cellStyle name="Accent6 2 2" xfId="111" xr:uid="{00000000-0005-0000-0000-000069000000}"/>
    <cellStyle name="Accent6 2 3" xfId="112" xr:uid="{00000000-0005-0000-0000-00006A000000}"/>
    <cellStyle name="Accent6 3" xfId="113" xr:uid="{00000000-0005-0000-0000-00006B000000}"/>
    <cellStyle name="Accent6 3 2" xfId="114" xr:uid="{00000000-0005-0000-0000-00006C000000}"/>
    <cellStyle name="Accounting" xfId="115" xr:uid="{00000000-0005-0000-0000-00006D000000}"/>
    <cellStyle name="Accounting 2" xfId="116" xr:uid="{00000000-0005-0000-0000-00006E000000}"/>
    <cellStyle name="Accounting 3" xfId="117" xr:uid="{00000000-0005-0000-0000-00006F000000}"/>
    <cellStyle name="Accounting_2011-11" xfId="118" xr:uid="{00000000-0005-0000-0000-000070000000}"/>
    <cellStyle name="APS" xfId="119" xr:uid="{00000000-0005-0000-0000-000071000000}"/>
    <cellStyle name="APSLabels" xfId="120" xr:uid="{00000000-0005-0000-0000-000072000000}"/>
    <cellStyle name="Bad 2" xfId="121" xr:uid="{00000000-0005-0000-0000-000073000000}"/>
    <cellStyle name="Bad 2 2" xfId="122" xr:uid="{00000000-0005-0000-0000-000074000000}"/>
    <cellStyle name="Bad 3" xfId="123" xr:uid="{00000000-0005-0000-0000-000075000000}"/>
    <cellStyle name="Bad 3 2" xfId="124" xr:uid="{00000000-0005-0000-0000-000076000000}"/>
    <cellStyle name="Budget" xfId="125" xr:uid="{00000000-0005-0000-0000-000077000000}"/>
    <cellStyle name="Budget 2" xfId="126" xr:uid="{00000000-0005-0000-0000-000078000000}"/>
    <cellStyle name="Budget 3" xfId="127" xr:uid="{00000000-0005-0000-0000-000079000000}"/>
    <cellStyle name="Budget_2011-11" xfId="128" xr:uid="{00000000-0005-0000-0000-00007A000000}"/>
    <cellStyle name="Calculation 2" xfId="129" xr:uid="{00000000-0005-0000-0000-00007B000000}"/>
    <cellStyle name="Calculation 2 2" xfId="130" xr:uid="{00000000-0005-0000-0000-00007C000000}"/>
    <cellStyle name="Calculation 2 3" xfId="131" xr:uid="{00000000-0005-0000-0000-00007D000000}"/>
    <cellStyle name="Calculation 3" xfId="132" xr:uid="{00000000-0005-0000-0000-00007E000000}"/>
    <cellStyle name="Calculation 3 2" xfId="133" xr:uid="{00000000-0005-0000-0000-00007F000000}"/>
    <cellStyle name="Calculation 3 3" xfId="134" xr:uid="{00000000-0005-0000-0000-000080000000}"/>
    <cellStyle name="Calculation 4" xfId="135" xr:uid="{00000000-0005-0000-0000-000081000000}"/>
    <cellStyle name="Check Cell 2" xfId="136" xr:uid="{00000000-0005-0000-0000-000082000000}"/>
    <cellStyle name="Check Cell 3" xfId="137" xr:uid="{00000000-0005-0000-0000-000083000000}"/>
    <cellStyle name="Color" xfId="138" xr:uid="{00000000-0005-0000-0000-000084000000}"/>
    <cellStyle name="combo" xfId="139" xr:uid="{00000000-0005-0000-0000-000085000000}"/>
    <cellStyle name="Comma" xfId="1" builtinId="3"/>
    <cellStyle name="Comma 10" xfId="140" xr:uid="{00000000-0005-0000-0000-000087000000}"/>
    <cellStyle name="Comma 10 2" xfId="141" xr:uid="{00000000-0005-0000-0000-000088000000}"/>
    <cellStyle name="Comma 11" xfId="142" xr:uid="{00000000-0005-0000-0000-000089000000}"/>
    <cellStyle name="Comma 11 2" xfId="143" xr:uid="{00000000-0005-0000-0000-00008A000000}"/>
    <cellStyle name="Comma 12" xfId="144" xr:uid="{00000000-0005-0000-0000-00008B000000}"/>
    <cellStyle name="Comma 12 2" xfId="145" xr:uid="{00000000-0005-0000-0000-00008C000000}"/>
    <cellStyle name="Comma 12 2 2" xfId="146" xr:uid="{00000000-0005-0000-0000-00008D000000}"/>
    <cellStyle name="Comma 12 3" xfId="147" xr:uid="{00000000-0005-0000-0000-00008E000000}"/>
    <cellStyle name="Comma 12 4" xfId="148" xr:uid="{00000000-0005-0000-0000-00008F000000}"/>
    <cellStyle name="Comma 12 5" xfId="149" xr:uid="{00000000-0005-0000-0000-000090000000}"/>
    <cellStyle name="Comma 13" xfId="150" xr:uid="{00000000-0005-0000-0000-000091000000}"/>
    <cellStyle name="Comma 13 2" xfId="151" xr:uid="{00000000-0005-0000-0000-000092000000}"/>
    <cellStyle name="Comma 13 3" xfId="152" xr:uid="{00000000-0005-0000-0000-000093000000}"/>
    <cellStyle name="Comma 14" xfId="153" xr:uid="{00000000-0005-0000-0000-000094000000}"/>
    <cellStyle name="Comma 15" xfId="154" xr:uid="{00000000-0005-0000-0000-000095000000}"/>
    <cellStyle name="Comma 15 2" xfId="155" xr:uid="{00000000-0005-0000-0000-000096000000}"/>
    <cellStyle name="Comma 15 3" xfId="156" xr:uid="{00000000-0005-0000-0000-000097000000}"/>
    <cellStyle name="Comma 16" xfId="157" xr:uid="{00000000-0005-0000-0000-000098000000}"/>
    <cellStyle name="Comma 17" xfId="158" xr:uid="{00000000-0005-0000-0000-000099000000}"/>
    <cellStyle name="Comma 17 2" xfId="159" xr:uid="{00000000-0005-0000-0000-00009A000000}"/>
    <cellStyle name="Comma 17 3" xfId="160" xr:uid="{00000000-0005-0000-0000-00009B000000}"/>
    <cellStyle name="Comma 17 4" xfId="161" xr:uid="{00000000-0005-0000-0000-00009C000000}"/>
    <cellStyle name="Comma 18" xfId="162" xr:uid="{00000000-0005-0000-0000-00009D000000}"/>
    <cellStyle name="Comma 18 2" xfId="163" xr:uid="{00000000-0005-0000-0000-00009E000000}"/>
    <cellStyle name="Comma 18 3" xfId="164" xr:uid="{00000000-0005-0000-0000-00009F000000}"/>
    <cellStyle name="Comma 18 4" xfId="165" xr:uid="{00000000-0005-0000-0000-0000A0000000}"/>
    <cellStyle name="Comma 19" xfId="166" xr:uid="{00000000-0005-0000-0000-0000A1000000}"/>
    <cellStyle name="Comma 2" xfId="167" xr:uid="{00000000-0005-0000-0000-0000A2000000}"/>
    <cellStyle name="Comma 2 2" xfId="168" xr:uid="{00000000-0005-0000-0000-0000A3000000}"/>
    <cellStyle name="Comma 2 2 2" xfId="169" xr:uid="{00000000-0005-0000-0000-0000A4000000}"/>
    <cellStyle name="Comma 2 2 2 2" xfId="170" xr:uid="{00000000-0005-0000-0000-0000A5000000}"/>
    <cellStyle name="Comma 2 2 3" xfId="171" xr:uid="{00000000-0005-0000-0000-0000A6000000}"/>
    <cellStyle name="Comma 2 3" xfId="172" xr:uid="{00000000-0005-0000-0000-0000A7000000}"/>
    <cellStyle name="Comma 2 4" xfId="173" xr:uid="{00000000-0005-0000-0000-0000A8000000}"/>
    <cellStyle name="Comma 2 4 2" xfId="174" xr:uid="{00000000-0005-0000-0000-0000A9000000}"/>
    <cellStyle name="Comma 2 4 3" xfId="175" xr:uid="{00000000-0005-0000-0000-0000AA000000}"/>
    <cellStyle name="Comma 2 4 4" xfId="176" xr:uid="{00000000-0005-0000-0000-0000AB000000}"/>
    <cellStyle name="Comma 2 5" xfId="177" xr:uid="{00000000-0005-0000-0000-0000AC000000}"/>
    <cellStyle name="Comma 2 6" xfId="178" xr:uid="{00000000-0005-0000-0000-0000AD000000}"/>
    <cellStyle name="Comma 2 6 2" xfId="179" xr:uid="{00000000-0005-0000-0000-0000AE000000}"/>
    <cellStyle name="Comma 2 7" xfId="180" xr:uid="{00000000-0005-0000-0000-0000AF000000}"/>
    <cellStyle name="Comma 2 8" xfId="181" xr:uid="{00000000-0005-0000-0000-0000B0000000}"/>
    <cellStyle name="Comma 20" xfId="182" xr:uid="{00000000-0005-0000-0000-0000B1000000}"/>
    <cellStyle name="Comma 21" xfId="183" xr:uid="{00000000-0005-0000-0000-0000B2000000}"/>
    <cellStyle name="Comma 21 2" xfId="184" xr:uid="{00000000-0005-0000-0000-0000B3000000}"/>
    <cellStyle name="Comma 22" xfId="185" xr:uid="{00000000-0005-0000-0000-0000B4000000}"/>
    <cellStyle name="Comma 23" xfId="186" xr:uid="{00000000-0005-0000-0000-0000B5000000}"/>
    <cellStyle name="Comma 3" xfId="187" xr:uid="{00000000-0005-0000-0000-0000B6000000}"/>
    <cellStyle name="Comma 3 2" xfId="188" xr:uid="{00000000-0005-0000-0000-0000B7000000}"/>
    <cellStyle name="Comma 3 2 2" xfId="189" xr:uid="{00000000-0005-0000-0000-0000B8000000}"/>
    <cellStyle name="Comma 3 3" xfId="190" xr:uid="{00000000-0005-0000-0000-0000B9000000}"/>
    <cellStyle name="Comma 3 4" xfId="191" xr:uid="{00000000-0005-0000-0000-0000BA000000}"/>
    <cellStyle name="Comma 4" xfId="192" xr:uid="{00000000-0005-0000-0000-0000BB000000}"/>
    <cellStyle name="Comma 4 2" xfId="193" xr:uid="{00000000-0005-0000-0000-0000BC000000}"/>
    <cellStyle name="Comma 4 2 2" xfId="194" xr:uid="{00000000-0005-0000-0000-0000BD000000}"/>
    <cellStyle name="Comma 4 2 3" xfId="195" xr:uid="{00000000-0005-0000-0000-0000BE000000}"/>
    <cellStyle name="Comma 4 2 4" xfId="196" xr:uid="{00000000-0005-0000-0000-0000BF000000}"/>
    <cellStyle name="Comma 4 3" xfId="197" xr:uid="{00000000-0005-0000-0000-0000C0000000}"/>
    <cellStyle name="Comma 4 3 2" xfId="198" xr:uid="{00000000-0005-0000-0000-0000C1000000}"/>
    <cellStyle name="Comma 4 3 3" xfId="199" xr:uid="{00000000-0005-0000-0000-0000C2000000}"/>
    <cellStyle name="Comma 4 4" xfId="200" xr:uid="{00000000-0005-0000-0000-0000C3000000}"/>
    <cellStyle name="Comma 4 4 2" xfId="201" xr:uid="{00000000-0005-0000-0000-0000C4000000}"/>
    <cellStyle name="Comma 4 4 3" xfId="202" xr:uid="{00000000-0005-0000-0000-0000C5000000}"/>
    <cellStyle name="Comma 4 5" xfId="203" xr:uid="{00000000-0005-0000-0000-0000C6000000}"/>
    <cellStyle name="Comma 4 5 2" xfId="204" xr:uid="{00000000-0005-0000-0000-0000C7000000}"/>
    <cellStyle name="Comma 4 6" xfId="205" xr:uid="{00000000-0005-0000-0000-0000C8000000}"/>
    <cellStyle name="Comma 5" xfId="206" xr:uid="{00000000-0005-0000-0000-0000C9000000}"/>
    <cellStyle name="Comma 5 2" xfId="207" xr:uid="{00000000-0005-0000-0000-0000CA000000}"/>
    <cellStyle name="Comma 5 2 2" xfId="208" xr:uid="{00000000-0005-0000-0000-0000CB000000}"/>
    <cellStyle name="Comma 5 3" xfId="209" xr:uid="{00000000-0005-0000-0000-0000CC000000}"/>
    <cellStyle name="Comma 5 4" xfId="210" xr:uid="{00000000-0005-0000-0000-0000CD000000}"/>
    <cellStyle name="Comma 5 5" xfId="211" xr:uid="{00000000-0005-0000-0000-0000CE000000}"/>
    <cellStyle name="Comma 6" xfId="212" xr:uid="{00000000-0005-0000-0000-0000CF000000}"/>
    <cellStyle name="Comma 6 2" xfId="213" xr:uid="{00000000-0005-0000-0000-0000D0000000}"/>
    <cellStyle name="Comma 6 2 2" xfId="214" xr:uid="{00000000-0005-0000-0000-0000D1000000}"/>
    <cellStyle name="Comma 6 2 3" xfId="215" xr:uid="{00000000-0005-0000-0000-0000D2000000}"/>
    <cellStyle name="Comma 6 3" xfId="216" xr:uid="{00000000-0005-0000-0000-0000D3000000}"/>
    <cellStyle name="Comma 6 4" xfId="217" xr:uid="{00000000-0005-0000-0000-0000D4000000}"/>
    <cellStyle name="Comma 7" xfId="218" xr:uid="{00000000-0005-0000-0000-0000D5000000}"/>
    <cellStyle name="Comma 7 2" xfId="219" xr:uid="{00000000-0005-0000-0000-0000D6000000}"/>
    <cellStyle name="Comma 7 2 2" xfId="220" xr:uid="{00000000-0005-0000-0000-0000D7000000}"/>
    <cellStyle name="Comma 7 3" xfId="221" xr:uid="{00000000-0005-0000-0000-0000D8000000}"/>
    <cellStyle name="Comma 8" xfId="222" xr:uid="{00000000-0005-0000-0000-0000D9000000}"/>
    <cellStyle name="Comma 8 2" xfId="223" xr:uid="{00000000-0005-0000-0000-0000DA000000}"/>
    <cellStyle name="Comma 8 2 2" xfId="224" xr:uid="{00000000-0005-0000-0000-0000DB000000}"/>
    <cellStyle name="Comma 8 3" xfId="225" xr:uid="{00000000-0005-0000-0000-0000DC000000}"/>
    <cellStyle name="Comma 8 4" xfId="226" xr:uid="{00000000-0005-0000-0000-0000DD000000}"/>
    <cellStyle name="Comma 9" xfId="227" xr:uid="{00000000-0005-0000-0000-0000DE000000}"/>
    <cellStyle name="Comma 9 2" xfId="228" xr:uid="{00000000-0005-0000-0000-0000DF000000}"/>
    <cellStyle name="Comma(2)" xfId="229" xr:uid="{00000000-0005-0000-0000-0000E0000000}"/>
    <cellStyle name="Comma0" xfId="230" xr:uid="{00000000-0005-0000-0000-0000E1000000}"/>
    <cellStyle name="Comma0 - Style2" xfId="231" xr:uid="{00000000-0005-0000-0000-0000E2000000}"/>
    <cellStyle name="Comma1 - Style1" xfId="232" xr:uid="{00000000-0005-0000-0000-0000E3000000}"/>
    <cellStyle name="Comments" xfId="233" xr:uid="{00000000-0005-0000-0000-0000E4000000}"/>
    <cellStyle name="Currency" xfId="2" builtinId="4"/>
    <cellStyle name="Currency 10" xfId="234" xr:uid="{00000000-0005-0000-0000-0000E6000000}"/>
    <cellStyle name="Currency 11" xfId="235" xr:uid="{00000000-0005-0000-0000-0000E7000000}"/>
    <cellStyle name="Currency 12" xfId="236" xr:uid="{00000000-0005-0000-0000-0000E8000000}"/>
    <cellStyle name="Currency 13" xfId="237" xr:uid="{00000000-0005-0000-0000-0000E9000000}"/>
    <cellStyle name="Currency 14" xfId="238" xr:uid="{00000000-0005-0000-0000-0000EA000000}"/>
    <cellStyle name="Currency 15" xfId="239" xr:uid="{00000000-0005-0000-0000-0000EB000000}"/>
    <cellStyle name="Currency 2" xfId="240" xr:uid="{00000000-0005-0000-0000-0000EC000000}"/>
    <cellStyle name="Currency 2 2" xfId="241" xr:uid="{00000000-0005-0000-0000-0000ED000000}"/>
    <cellStyle name="Currency 2 2 2" xfId="242" xr:uid="{00000000-0005-0000-0000-0000EE000000}"/>
    <cellStyle name="Currency 2 2 3" xfId="243" xr:uid="{00000000-0005-0000-0000-0000EF000000}"/>
    <cellStyle name="Currency 2 2 4" xfId="244" xr:uid="{00000000-0005-0000-0000-0000F0000000}"/>
    <cellStyle name="Currency 2 3" xfId="245" xr:uid="{00000000-0005-0000-0000-0000F1000000}"/>
    <cellStyle name="Currency 2 3 2" xfId="246" xr:uid="{00000000-0005-0000-0000-0000F2000000}"/>
    <cellStyle name="Currency 2 3 3" xfId="247" xr:uid="{00000000-0005-0000-0000-0000F3000000}"/>
    <cellStyle name="Currency 2 4" xfId="248" xr:uid="{00000000-0005-0000-0000-0000F4000000}"/>
    <cellStyle name="Currency 2 5" xfId="249" xr:uid="{00000000-0005-0000-0000-0000F5000000}"/>
    <cellStyle name="Currency 2 6" xfId="250" xr:uid="{00000000-0005-0000-0000-0000F6000000}"/>
    <cellStyle name="Currency 2 6 2" xfId="251" xr:uid="{00000000-0005-0000-0000-0000F7000000}"/>
    <cellStyle name="Currency 3" xfId="252" xr:uid="{00000000-0005-0000-0000-0000F8000000}"/>
    <cellStyle name="Currency 3 2" xfId="253" xr:uid="{00000000-0005-0000-0000-0000F9000000}"/>
    <cellStyle name="Currency 3 2 2" xfId="254" xr:uid="{00000000-0005-0000-0000-0000FA000000}"/>
    <cellStyle name="Currency 3 3" xfId="255" xr:uid="{00000000-0005-0000-0000-0000FB000000}"/>
    <cellStyle name="Currency 3 3 2" xfId="256" xr:uid="{00000000-0005-0000-0000-0000FC000000}"/>
    <cellStyle name="Currency 3 4" xfId="257" xr:uid="{00000000-0005-0000-0000-0000FD000000}"/>
    <cellStyle name="Currency 3 5" xfId="258" xr:uid="{00000000-0005-0000-0000-0000FE000000}"/>
    <cellStyle name="Currency 4" xfId="259" xr:uid="{00000000-0005-0000-0000-0000FF000000}"/>
    <cellStyle name="Currency 4 2" xfId="260" xr:uid="{00000000-0005-0000-0000-000000010000}"/>
    <cellStyle name="Currency 4 2 2" xfId="261" xr:uid="{00000000-0005-0000-0000-000001010000}"/>
    <cellStyle name="Currency 4 3" xfId="262" xr:uid="{00000000-0005-0000-0000-000002010000}"/>
    <cellStyle name="Currency 4 4" xfId="263" xr:uid="{00000000-0005-0000-0000-000003010000}"/>
    <cellStyle name="Currency 5" xfId="264" xr:uid="{00000000-0005-0000-0000-000004010000}"/>
    <cellStyle name="Currency 5 2" xfId="265" xr:uid="{00000000-0005-0000-0000-000005010000}"/>
    <cellStyle name="Currency 5 3" xfId="266" xr:uid="{00000000-0005-0000-0000-000006010000}"/>
    <cellStyle name="Currency 6" xfId="267" xr:uid="{00000000-0005-0000-0000-000007010000}"/>
    <cellStyle name="Currency 7" xfId="268" xr:uid="{00000000-0005-0000-0000-000008010000}"/>
    <cellStyle name="Currency 8" xfId="269" xr:uid="{00000000-0005-0000-0000-000009010000}"/>
    <cellStyle name="Currency 8 2" xfId="270" xr:uid="{00000000-0005-0000-0000-00000A010000}"/>
    <cellStyle name="Currency 8 3" xfId="271" xr:uid="{00000000-0005-0000-0000-00000B010000}"/>
    <cellStyle name="Currency 9" xfId="272" xr:uid="{00000000-0005-0000-0000-00000C010000}"/>
    <cellStyle name="Currency0" xfId="273" xr:uid="{00000000-0005-0000-0000-00000D010000}"/>
    <cellStyle name="Data Enter" xfId="274" xr:uid="{00000000-0005-0000-0000-00000E010000}"/>
    <cellStyle name="date" xfId="275" xr:uid="{00000000-0005-0000-0000-00000F010000}"/>
    <cellStyle name="Explanatory Text 2" xfId="276" xr:uid="{00000000-0005-0000-0000-000010010000}"/>
    <cellStyle name="Explanatory Text 3" xfId="277" xr:uid="{00000000-0005-0000-0000-000011010000}"/>
    <cellStyle name="F9ReportControlStyle_ctpInquire" xfId="278" xr:uid="{00000000-0005-0000-0000-000012010000}"/>
    <cellStyle name="FactSheet" xfId="279" xr:uid="{00000000-0005-0000-0000-000013010000}"/>
    <cellStyle name="fish" xfId="280" xr:uid="{00000000-0005-0000-0000-000014010000}"/>
    <cellStyle name="Good 2" xfId="281" xr:uid="{00000000-0005-0000-0000-000015010000}"/>
    <cellStyle name="Good 2 2" xfId="282" xr:uid="{00000000-0005-0000-0000-000016010000}"/>
    <cellStyle name="Good 3" xfId="283" xr:uid="{00000000-0005-0000-0000-000017010000}"/>
    <cellStyle name="Good 3 2" xfId="284" xr:uid="{00000000-0005-0000-0000-000018010000}"/>
    <cellStyle name="Good 4" xfId="285" xr:uid="{00000000-0005-0000-0000-000019010000}"/>
    <cellStyle name="Heading 1 2" xfId="286" xr:uid="{00000000-0005-0000-0000-00001A010000}"/>
    <cellStyle name="Heading 1 2 2" xfId="287" xr:uid="{00000000-0005-0000-0000-00001B010000}"/>
    <cellStyle name="Heading 1 2 3" xfId="288" xr:uid="{00000000-0005-0000-0000-00001C010000}"/>
    <cellStyle name="Heading 1 3" xfId="289" xr:uid="{00000000-0005-0000-0000-00001D010000}"/>
    <cellStyle name="Heading 1 3 2" xfId="290" xr:uid="{00000000-0005-0000-0000-00001E010000}"/>
    <cellStyle name="Heading 1 3 3" xfId="291" xr:uid="{00000000-0005-0000-0000-00001F010000}"/>
    <cellStyle name="Heading 1 4" xfId="292" xr:uid="{00000000-0005-0000-0000-000020010000}"/>
    <cellStyle name="Heading 2 2" xfId="293" xr:uid="{00000000-0005-0000-0000-000021010000}"/>
    <cellStyle name="Heading 2 2 2" xfId="294" xr:uid="{00000000-0005-0000-0000-000022010000}"/>
    <cellStyle name="Heading 2 2 3" xfId="295" xr:uid="{00000000-0005-0000-0000-000023010000}"/>
    <cellStyle name="Heading 2 3" xfId="296" xr:uid="{00000000-0005-0000-0000-000024010000}"/>
    <cellStyle name="Heading 2 3 2" xfId="297" xr:uid="{00000000-0005-0000-0000-000025010000}"/>
    <cellStyle name="Heading 2 3 3" xfId="298" xr:uid="{00000000-0005-0000-0000-000026010000}"/>
    <cellStyle name="Heading 2 4" xfId="299" xr:uid="{00000000-0005-0000-0000-000027010000}"/>
    <cellStyle name="Heading 3 2" xfId="300" xr:uid="{00000000-0005-0000-0000-000028010000}"/>
    <cellStyle name="Heading 3 2 2" xfId="301" xr:uid="{00000000-0005-0000-0000-000029010000}"/>
    <cellStyle name="Heading 3 2 3" xfId="302" xr:uid="{00000000-0005-0000-0000-00002A010000}"/>
    <cellStyle name="Heading 3 3" xfId="303" xr:uid="{00000000-0005-0000-0000-00002B010000}"/>
    <cellStyle name="Heading 3 3 2" xfId="304" xr:uid="{00000000-0005-0000-0000-00002C010000}"/>
    <cellStyle name="Heading 3 3 3" xfId="305" xr:uid="{00000000-0005-0000-0000-00002D010000}"/>
    <cellStyle name="Heading 3 4" xfId="306" xr:uid="{00000000-0005-0000-0000-00002E010000}"/>
    <cellStyle name="Heading 4 2" xfId="307" xr:uid="{00000000-0005-0000-0000-00002F010000}"/>
    <cellStyle name="Heading 4 3" xfId="308" xr:uid="{00000000-0005-0000-0000-000030010000}"/>
    <cellStyle name="Heading 4 3 2" xfId="309" xr:uid="{00000000-0005-0000-0000-000031010000}"/>
    <cellStyle name="Hyperlink 2" xfId="310" xr:uid="{00000000-0005-0000-0000-000032010000}"/>
    <cellStyle name="Hyperlink 3" xfId="311" xr:uid="{00000000-0005-0000-0000-000033010000}"/>
    <cellStyle name="Hyperlink 3 2" xfId="312" xr:uid="{00000000-0005-0000-0000-000034010000}"/>
    <cellStyle name="Input 2" xfId="313" xr:uid="{00000000-0005-0000-0000-000035010000}"/>
    <cellStyle name="Input 3" xfId="314" xr:uid="{00000000-0005-0000-0000-000036010000}"/>
    <cellStyle name="Input 3 2" xfId="315" xr:uid="{00000000-0005-0000-0000-000037010000}"/>
    <cellStyle name="input(0)" xfId="316" xr:uid="{00000000-0005-0000-0000-000038010000}"/>
    <cellStyle name="Input(2)" xfId="317" xr:uid="{00000000-0005-0000-0000-000039010000}"/>
    <cellStyle name="Labels" xfId="318" xr:uid="{00000000-0005-0000-0000-00003A010000}"/>
    <cellStyle name="Linked Cell 2" xfId="319" xr:uid="{00000000-0005-0000-0000-00003B010000}"/>
    <cellStyle name="Linked Cell 2 2" xfId="320" xr:uid="{00000000-0005-0000-0000-00003C010000}"/>
    <cellStyle name="Linked Cell 2 3" xfId="321" xr:uid="{00000000-0005-0000-0000-00003D010000}"/>
    <cellStyle name="Linked Cell 3" xfId="322" xr:uid="{00000000-0005-0000-0000-00003E010000}"/>
    <cellStyle name="Linked Cell 3 2" xfId="323" xr:uid="{00000000-0005-0000-0000-00003F010000}"/>
    <cellStyle name="Neutral 2" xfId="324" xr:uid="{00000000-0005-0000-0000-000040010000}"/>
    <cellStyle name="Neutral 2 2" xfId="325" xr:uid="{00000000-0005-0000-0000-000041010000}"/>
    <cellStyle name="Neutral 2 3" xfId="326" xr:uid="{00000000-0005-0000-0000-000042010000}"/>
    <cellStyle name="Neutral 3" xfId="327" xr:uid="{00000000-0005-0000-0000-000043010000}"/>
    <cellStyle name="Neutral 3 2" xfId="328" xr:uid="{00000000-0005-0000-0000-000044010000}"/>
    <cellStyle name="New_normal" xfId="329" xr:uid="{00000000-0005-0000-0000-000045010000}"/>
    <cellStyle name="Normal" xfId="0" builtinId="0"/>
    <cellStyle name="Normal - Style1" xfId="330" xr:uid="{00000000-0005-0000-0000-000047010000}"/>
    <cellStyle name="Normal - Style2" xfId="331" xr:uid="{00000000-0005-0000-0000-000048010000}"/>
    <cellStyle name="Normal - Style3" xfId="332" xr:uid="{00000000-0005-0000-0000-000049010000}"/>
    <cellStyle name="Normal - Style4" xfId="333" xr:uid="{00000000-0005-0000-0000-00004A010000}"/>
    <cellStyle name="Normal - Style5" xfId="334" xr:uid="{00000000-0005-0000-0000-00004B010000}"/>
    <cellStyle name="Normal 10" xfId="335" xr:uid="{00000000-0005-0000-0000-00004C010000}"/>
    <cellStyle name="Normal 10 2" xfId="336" xr:uid="{00000000-0005-0000-0000-00004D010000}"/>
    <cellStyle name="Normal 10 2 2" xfId="337" xr:uid="{00000000-0005-0000-0000-00004E010000}"/>
    <cellStyle name="Normal 10 2 3" xfId="338" xr:uid="{00000000-0005-0000-0000-00004F010000}"/>
    <cellStyle name="Normal 10 2 4" xfId="339" xr:uid="{00000000-0005-0000-0000-000050010000}"/>
    <cellStyle name="Normal 10 2 5" xfId="340" xr:uid="{00000000-0005-0000-0000-000051010000}"/>
    <cellStyle name="Normal 10 3" xfId="341" xr:uid="{00000000-0005-0000-0000-000052010000}"/>
    <cellStyle name="Normal 10 9" xfId="678" xr:uid="{00000000-0005-0000-0000-000053010000}"/>
    <cellStyle name="Normal 10_2112 DF Schedule" xfId="342" xr:uid="{00000000-0005-0000-0000-000054010000}"/>
    <cellStyle name="Normal 100" xfId="343" xr:uid="{00000000-0005-0000-0000-000055010000}"/>
    <cellStyle name="Normal 101" xfId="344" xr:uid="{00000000-0005-0000-0000-000056010000}"/>
    <cellStyle name="Normal 102" xfId="345" xr:uid="{00000000-0005-0000-0000-000057010000}"/>
    <cellStyle name="Normal 103" xfId="346" xr:uid="{00000000-0005-0000-0000-000058010000}"/>
    <cellStyle name="Normal 104" xfId="347" xr:uid="{00000000-0005-0000-0000-000059010000}"/>
    <cellStyle name="Normal 105" xfId="348" xr:uid="{00000000-0005-0000-0000-00005A010000}"/>
    <cellStyle name="Normal 106" xfId="349" xr:uid="{00000000-0005-0000-0000-00005B010000}"/>
    <cellStyle name="Normal 107" xfId="350" xr:uid="{00000000-0005-0000-0000-00005C010000}"/>
    <cellStyle name="Normal 108" xfId="351" xr:uid="{00000000-0005-0000-0000-00005D010000}"/>
    <cellStyle name="Normal 109" xfId="352" xr:uid="{00000000-0005-0000-0000-00005E010000}"/>
    <cellStyle name="Normal 109 2" xfId="353" xr:uid="{00000000-0005-0000-0000-00005F010000}"/>
    <cellStyle name="Normal 11" xfId="354" xr:uid="{00000000-0005-0000-0000-000060010000}"/>
    <cellStyle name="Normal 11 2" xfId="355" xr:uid="{00000000-0005-0000-0000-000061010000}"/>
    <cellStyle name="Normal 11 2 2" xfId="356" xr:uid="{00000000-0005-0000-0000-000062010000}"/>
    <cellStyle name="Normal 11 2 3" xfId="357" xr:uid="{00000000-0005-0000-0000-000063010000}"/>
    <cellStyle name="Normal 11 3" xfId="358" xr:uid="{00000000-0005-0000-0000-000064010000}"/>
    <cellStyle name="Normal 110" xfId="359" xr:uid="{00000000-0005-0000-0000-000065010000}"/>
    <cellStyle name="Normal 111" xfId="360" xr:uid="{00000000-0005-0000-0000-000066010000}"/>
    <cellStyle name="Normal 112" xfId="361" xr:uid="{00000000-0005-0000-0000-000067010000}"/>
    <cellStyle name="Normal 113" xfId="362" xr:uid="{00000000-0005-0000-0000-000068010000}"/>
    <cellStyle name="Normal 113 2" xfId="363" xr:uid="{00000000-0005-0000-0000-000069010000}"/>
    <cellStyle name="Normal 12" xfId="364" xr:uid="{00000000-0005-0000-0000-00006A010000}"/>
    <cellStyle name="Normal 12 2" xfId="365" xr:uid="{00000000-0005-0000-0000-00006B010000}"/>
    <cellStyle name="Normal 12 2 2" xfId="366" xr:uid="{00000000-0005-0000-0000-00006C010000}"/>
    <cellStyle name="Normal 12 3" xfId="367" xr:uid="{00000000-0005-0000-0000-00006D010000}"/>
    <cellStyle name="Normal 12 4" xfId="368" xr:uid="{00000000-0005-0000-0000-00006E010000}"/>
    <cellStyle name="Normal 12 5" xfId="369" xr:uid="{00000000-0005-0000-0000-00006F010000}"/>
    <cellStyle name="Normal 12 6" xfId="370" xr:uid="{00000000-0005-0000-0000-000070010000}"/>
    <cellStyle name="Normal 12_Sheet1" xfId="371" xr:uid="{00000000-0005-0000-0000-000071010000}"/>
    <cellStyle name="Normal 13" xfId="372" xr:uid="{00000000-0005-0000-0000-000072010000}"/>
    <cellStyle name="Normal 13 2" xfId="373" xr:uid="{00000000-0005-0000-0000-000073010000}"/>
    <cellStyle name="Normal 13 2 2" xfId="374" xr:uid="{00000000-0005-0000-0000-000074010000}"/>
    <cellStyle name="Normal 13 3" xfId="375" xr:uid="{00000000-0005-0000-0000-000075010000}"/>
    <cellStyle name="Normal 13 4" xfId="376" xr:uid="{00000000-0005-0000-0000-000076010000}"/>
    <cellStyle name="Normal 13 5" xfId="377" xr:uid="{00000000-0005-0000-0000-000077010000}"/>
    <cellStyle name="Normal 13 6" xfId="378" xr:uid="{00000000-0005-0000-0000-000078010000}"/>
    <cellStyle name="Normal 13_Sheet1" xfId="379" xr:uid="{00000000-0005-0000-0000-000079010000}"/>
    <cellStyle name="Normal 14" xfId="380" xr:uid="{00000000-0005-0000-0000-00007A010000}"/>
    <cellStyle name="Normal 14 2" xfId="381" xr:uid="{00000000-0005-0000-0000-00007B010000}"/>
    <cellStyle name="Normal 14 3" xfId="382" xr:uid="{00000000-0005-0000-0000-00007C010000}"/>
    <cellStyle name="Normal 14 4" xfId="383" xr:uid="{00000000-0005-0000-0000-00007D010000}"/>
    <cellStyle name="Normal 14 5" xfId="384" xr:uid="{00000000-0005-0000-0000-00007E010000}"/>
    <cellStyle name="Normal 14_Sheet1" xfId="385" xr:uid="{00000000-0005-0000-0000-00007F010000}"/>
    <cellStyle name="Normal 15" xfId="386" xr:uid="{00000000-0005-0000-0000-000080010000}"/>
    <cellStyle name="Normal 15 2" xfId="387" xr:uid="{00000000-0005-0000-0000-000081010000}"/>
    <cellStyle name="Normal 15 3" xfId="388" xr:uid="{00000000-0005-0000-0000-000082010000}"/>
    <cellStyle name="Normal 15 4" xfId="389" xr:uid="{00000000-0005-0000-0000-000083010000}"/>
    <cellStyle name="Normal 15 5" xfId="390" xr:uid="{00000000-0005-0000-0000-000084010000}"/>
    <cellStyle name="Normal 16" xfId="391" xr:uid="{00000000-0005-0000-0000-000085010000}"/>
    <cellStyle name="Normal 16 2" xfId="392" xr:uid="{00000000-0005-0000-0000-000086010000}"/>
    <cellStyle name="Normal 16 3" xfId="393" xr:uid="{00000000-0005-0000-0000-000087010000}"/>
    <cellStyle name="Normal 17" xfId="394" xr:uid="{00000000-0005-0000-0000-000088010000}"/>
    <cellStyle name="Normal 17 2" xfId="395" xr:uid="{00000000-0005-0000-0000-000089010000}"/>
    <cellStyle name="Normal 17 3" xfId="396" xr:uid="{00000000-0005-0000-0000-00008A010000}"/>
    <cellStyle name="Normal 18" xfId="397" xr:uid="{00000000-0005-0000-0000-00008B010000}"/>
    <cellStyle name="Normal 18 2" xfId="398" xr:uid="{00000000-0005-0000-0000-00008C010000}"/>
    <cellStyle name="Normal 18 3" xfId="399" xr:uid="{00000000-0005-0000-0000-00008D010000}"/>
    <cellStyle name="Normal 19" xfId="400" xr:uid="{00000000-0005-0000-0000-00008E010000}"/>
    <cellStyle name="Normal 19 2" xfId="401" xr:uid="{00000000-0005-0000-0000-00008F010000}"/>
    <cellStyle name="Normal 19 3" xfId="402" xr:uid="{00000000-0005-0000-0000-000090010000}"/>
    <cellStyle name="Normal 2" xfId="403" xr:uid="{00000000-0005-0000-0000-000091010000}"/>
    <cellStyle name="Normal 2 10" xfId="404" xr:uid="{00000000-0005-0000-0000-000092010000}"/>
    <cellStyle name="Normal 2 11" xfId="405" xr:uid="{00000000-0005-0000-0000-000093010000}"/>
    <cellStyle name="Normal 2 2" xfId="406" xr:uid="{00000000-0005-0000-0000-000094010000}"/>
    <cellStyle name="Normal 2 2 2" xfId="407" xr:uid="{00000000-0005-0000-0000-000095010000}"/>
    <cellStyle name="Normal 2 2 2 2" xfId="408" xr:uid="{00000000-0005-0000-0000-000096010000}"/>
    <cellStyle name="Normal 2 2 2_JE_IS11" xfId="409" xr:uid="{00000000-0005-0000-0000-000097010000}"/>
    <cellStyle name="Normal 2 2 3" xfId="410" xr:uid="{00000000-0005-0000-0000-000098010000}"/>
    <cellStyle name="Normal 2 2 4" xfId="411" xr:uid="{00000000-0005-0000-0000-000099010000}"/>
    <cellStyle name="Normal 2 2_4MthProj2" xfId="412" xr:uid="{00000000-0005-0000-0000-00009A010000}"/>
    <cellStyle name="Normal 2 3" xfId="413" xr:uid="{00000000-0005-0000-0000-00009B010000}"/>
    <cellStyle name="Normal 2 3 2" xfId="414" xr:uid="{00000000-0005-0000-0000-00009C010000}"/>
    <cellStyle name="Normal 2 3 2 2" xfId="415" xr:uid="{00000000-0005-0000-0000-00009D010000}"/>
    <cellStyle name="Normal 2 3 2 3" xfId="416" xr:uid="{00000000-0005-0000-0000-00009E010000}"/>
    <cellStyle name="Normal 2 3 3" xfId="417" xr:uid="{00000000-0005-0000-0000-00009F010000}"/>
    <cellStyle name="Normal 2 3 4" xfId="418" xr:uid="{00000000-0005-0000-0000-0000A0010000}"/>
    <cellStyle name="Normal 2 3_4MthProj2" xfId="419" xr:uid="{00000000-0005-0000-0000-0000A1010000}"/>
    <cellStyle name="Normal 2 4" xfId="420" xr:uid="{00000000-0005-0000-0000-0000A2010000}"/>
    <cellStyle name="Normal 2 4 2" xfId="421" xr:uid="{00000000-0005-0000-0000-0000A3010000}"/>
    <cellStyle name="Normal 2 4 3" xfId="422" xr:uid="{00000000-0005-0000-0000-0000A4010000}"/>
    <cellStyle name="Normal 2 5" xfId="423" xr:uid="{00000000-0005-0000-0000-0000A5010000}"/>
    <cellStyle name="Normal 2 6" xfId="424" xr:uid="{00000000-0005-0000-0000-0000A6010000}"/>
    <cellStyle name="Normal 2 7" xfId="425" xr:uid="{00000000-0005-0000-0000-0000A7010000}"/>
    <cellStyle name="Normal 2 8" xfId="426" xr:uid="{00000000-0005-0000-0000-0000A8010000}"/>
    <cellStyle name="Normal 2 9" xfId="427" xr:uid="{00000000-0005-0000-0000-0000A9010000}"/>
    <cellStyle name="Normal 2_2009 Regulated Price Out" xfId="428" xr:uid="{00000000-0005-0000-0000-0000AA010000}"/>
    <cellStyle name="Normal 20" xfId="429" xr:uid="{00000000-0005-0000-0000-0000AB010000}"/>
    <cellStyle name="Normal 20 2" xfId="430" xr:uid="{00000000-0005-0000-0000-0000AC010000}"/>
    <cellStyle name="Normal 20 3" xfId="431" xr:uid="{00000000-0005-0000-0000-0000AD010000}"/>
    <cellStyle name="Normal 20 4" xfId="432" xr:uid="{00000000-0005-0000-0000-0000AE010000}"/>
    <cellStyle name="Normal 20 5" xfId="433" xr:uid="{00000000-0005-0000-0000-0000AF010000}"/>
    <cellStyle name="Normal 20 6" xfId="434" xr:uid="{00000000-0005-0000-0000-0000B0010000}"/>
    <cellStyle name="Normal 21" xfId="435" xr:uid="{00000000-0005-0000-0000-0000B1010000}"/>
    <cellStyle name="Normal 21 2" xfId="436" xr:uid="{00000000-0005-0000-0000-0000B2010000}"/>
    <cellStyle name="Normal 21 3" xfId="437" xr:uid="{00000000-0005-0000-0000-0000B3010000}"/>
    <cellStyle name="Normal 21 4" xfId="438" xr:uid="{00000000-0005-0000-0000-0000B4010000}"/>
    <cellStyle name="Normal 22" xfId="439" xr:uid="{00000000-0005-0000-0000-0000B5010000}"/>
    <cellStyle name="Normal 22 2" xfId="440" xr:uid="{00000000-0005-0000-0000-0000B6010000}"/>
    <cellStyle name="Normal 22 3" xfId="441" xr:uid="{00000000-0005-0000-0000-0000B7010000}"/>
    <cellStyle name="Normal 22 4" xfId="442" xr:uid="{00000000-0005-0000-0000-0000B8010000}"/>
    <cellStyle name="Normal 23" xfId="443" xr:uid="{00000000-0005-0000-0000-0000B9010000}"/>
    <cellStyle name="Normal 23 2" xfId="444" xr:uid="{00000000-0005-0000-0000-0000BA010000}"/>
    <cellStyle name="Normal 23 3" xfId="445" xr:uid="{00000000-0005-0000-0000-0000BB010000}"/>
    <cellStyle name="Normal 24" xfId="446" xr:uid="{00000000-0005-0000-0000-0000BC010000}"/>
    <cellStyle name="Normal 24 2" xfId="447" xr:uid="{00000000-0005-0000-0000-0000BD010000}"/>
    <cellStyle name="Normal 25" xfId="448" xr:uid="{00000000-0005-0000-0000-0000BE010000}"/>
    <cellStyle name="Normal 25 2" xfId="449" xr:uid="{00000000-0005-0000-0000-0000BF010000}"/>
    <cellStyle name="Normal 26" xfId="450" xr:uid="{00000000-0005-0000-0000-0000C0010000}"/>
    <cellStyle name="Normal 26 2" xfId="451" xr:uid="{00000000-0005-0000-0000-0000C1010000}"/>
    <cellStyle name="Normal 26 3" xfId="452" xr:uid="{00000000-0005-0000-0000-0000C2010000}"/>
    <cellStyle name="Normal 26 4" xfId="453" xr:uid="{00000000-0005-0000-0000-0000C3010000}"/>
    <cellStyle name="Normal 27" xfId="454" xr:uid="{00000000-0005-0000-0000-0000C4010000}"/>
    <cellStyle name="Normal 27 2" xfId="455" xr:uid="{00000000-0005-0000-0000-0000C5010000}"/>
    <cellStyle name="Normal 27 3" xfId="456" xr:uid="{00000000-0005-0000-0000-0000C6010000}"/>
    <cellStyle name="Normal 27 4" xfId="457" xr:uid="{00000000-0005-0000-0000-0000C7010000}"/>
    <cellStyle name="Normal 27 5" xfId="458" xr:uid="{00000000-0005-0000-0000-0000C8010000}"/>
    <cellStyle name="Normal 28" xfId="459" xr:uid="{00000000-0005-0000-0000-0000C9010000}"/>
    <cellStyle name="Normal 28 2" xfId="460" xr:uid="{00000000-0005-0000-0000-0000CA010000}"/>
    <cellStyle name="Normal 28 3" xfId="461" xr:uid="{00000000-0005-0000-0000-0000CB010000}"/>
    <cellStyle name="Normal 29" xfId="462" xr:uid="{00000000-0005-0000-0000-0000CC010000}"/>
    <cellStyle name="Normal 29 2" xfId="463" xr:uid="{00000000-0005-0000-0000-0000CD010000}"/>
    <cellStyle name="Normal 3" xfId="464" xr:uid="{00000000-0005-0000-0000-0000CE010000}"/>
    <cellStyle name="Normal 3 2" xfId="465" xr:uid="{00000000-0005-0000-0000-0000CF010000}"/>
    <cellStyle name="Normal 3 2 2" xfId="466" xr:uid="{00000000-0005-0000-0000-0000D0010000}"/>
    <cellStyle name="Normal 3 3" xfId="467" xr:uid="{00000000-0005-0000-0000-0000D1010000}"/>
    <cellStyle name="Normal 3 3 2" xfId="468" xr:uid="{00000000-0005-0000-0000-0000D2010000}"/>
    <cellStyle name="Normal 3 3 3" xfId="469" xr:uid="{00000000-0005-0000-0000-0000D3010000}"/>
    <cellStyle name="Normal 3 3 4" xfId="470" xr:uid="{00000000-0005-0000-0000-0000D4010000}"/>
    <cellStyle name="Normal 3 4" xfId="471" xr:uid="{00000000-0005-0000-0000-0000D5010000}"/>
    <cellStyle name="Normal 3_2012 PR" xfId="472" xr:uid="{00000000-0005-0000-0000-0000D6010000}"/>
    <cellStyle name="Normal 30" xfId="473" xr:uid="{00000000-0005-0000-0000-0000D7010000}"/>
    <cellStyle name="Normal 30 2" xfId="474" xr:uid="{00000000-0005-0000-0000-0000D8010000}"/>
    <cellStyle name="Normal 31" xfId="475" xr:uid="{00000000-0005-0000-0000-0000D9010000}"/>
    <cellStyle name="Normal 31 2" xfId="476" xr:uid="{00000000-0005-0000-0000-0000DA010000}"/>
    <cellStyle name="Normal 31 3" xfId="477" xr:uid="{00000000-0005-0000-0000-0000DB010000}"/>
    <cellStyle name="Normal 32" xfId="478" xr:uid="{00000000-0005-0000-0000-0000DC010000}"/>
    <cellStyle name="Normal 32 2" xfId="479" xr:uid="{00000000-0005-0000-0000-0000DD010000}"/>
    <cellStyle name="Normal 33" xfId="480" xr:uid="{00000000-0005-0000-0000-0000DE010000}"/>
    <cellStyle name="Normal 34" xfId="481" xr:uid="{00000000-0005-0000-0000-0000DF010000}"/>
    <cellStyle name="Normal 35" xfId="482" xr:uid="{00000000-0005-0000-0000-0000E0010000}"/>
    <cellStyle name="Normal 36" xfId="483" xr:uid="{00000000-0005-0000-0000-0000E1010000}"/>
    <cellStyle name="Normal 37" xfId="484" xr:uid="{00000000-0005-0000-0000-0000E2010000}"/>
    <cellStyle name="Normal 38" xfId="485" xr:uid="{00000000-0005-0000-0000-0000E3010000}"/>
    <cellStyle name="Normal 39" xfId="486" xr:uid="{00000000-0005-0000-0000-0000E4010000}"/>
    <cellStyle name="Normal 4" xfId="487" xr:uid="{00000000-0005-0000-0000-0000E5010000}"/>
    <cellStyle name="Normal 4 2" xfId="488" xr:uid="{00000000-0005-0000-0000-0000E6010000}"/>
    <cellStyle name="Normal 4 2 2" xfId="489" xr:uid="{00000000-0005-0000-0000-0000E7010000}"/>
    <cellStyle name="Normal 4 2 3" xfId="490" xr:uid="{00000000-0005-0000-0000-0000E8010000}"/>
    <cellStyle name="Normal 4 2 4" xfId="491" xr:uid="{00000000-0005-0000-0000-0000E9010000}"/>
    <cellStyle name="Normal 4 3" xfId="492" xr:uid="{00000000-0005-0000-0000-0000EA010000}"/>
    <cellStyle name="Normal 4 3 2" xfId="493" xr:uid="{00000000-0005-0000-0000-0000EB010000}"/>
    <cellStyle name="Normal 4 3 3" xfId="494" xr:uid="{00000000-0005-0000-0000-0000EC010000}"/>
    <cellStyle name="Normal 4 4" xfId="495" xr:uid="{00000000-0005-0000-0000-0000ED010000}"/>
    <cellStyle name="Normal 4 5" xfId="496" xr:uid="{00000000-0005-0000-0000-0000EE010000}"/>
    <cellStyle name="Normal 4_Consolidated IS" xfId="497" xr:uid="{00000000-0005-0000-0000-0000EF010000}"/>
    <cellStyle name="Normal 40" xfId="498" xr:uid="{00000000-0005-0000-0000-0000F0010000}"/>
    <cellStyle name="Normal 41" xfId="499" xr:uid="{00000000-0005-0000-0000-0000F1010000}"/>
    <cellStyle name="Normal 42" xfId="500" xr:uid="{00000000-0005-0000-0000-0000F2010000}"/>
    <cellStyle name="Normal 43" xfId="501" xr:uid="{00000000-0005-0000-0000-0000F3010000}"/>
    <cellStyle name="Normal 44" xfId="502" xr:uid="{00000000-0005-0000-0000-0000F4010000}"/>
    <cellStyle name="Normal 45" xfId="503" xr:uid="{00000000-0005-0000-0000-0000F5010000}"/>
    <cellStyle name="Normal 46" xfId="504" xr:uid="{00000000-0005-0000-0000-0000F6010000}"/>
    <cellStyle name="Normal 47" xfId="505" xr:uid="{00000000-0005-0000-0000-0000F7010000}"/>
    <cellStyle name="Normal 48" xfId="506" xr:uid="{00000000-0005-0000-0000-0000F8010000}"/>
    <cellStyle name="Normal 49" xfId="507" xr:uid="{00000000-0005-0000-0000-0000F9010000}"/>
    <cellStyle name="Normal 5" xfId="508" xr:uid="{00000000-0005-0000-0000-0000FA010000}"/>
    <cellStyle name="Normal 5 2" xfId="509" xr:uid="{00000000-0005-0000-0000-0000FB010000}"/>
    <cellStyle name="Normal 5 2 2" xfId="510" xr:uid="{00000000-0005-0000-0000-0000FC010000}"/>
    <cellStyle name="Normal 5 3" xfId="511" xr:uid="{00000000-0005-0000-0000-0000FD010000}"/>
    <cellStyle name="Normal 5 4" xfId="512" xr:uid="{00000000-0005-0000-0000-0000FE010000}"/>
    <cellStyle name="Normal 5 5" xfId="513" xr:uid="{00000000-0005-0000-0000-0000FF010000}"/>
    <cellStyle name="Normal 5_2112 DF Schedule" xfId="514" xr:uid="{00000000-0005-0000-0000-000000020000}"/>
    <cellStyle name="Normal 50" xfId="515" xr:uid="{00000000-0005-0000-0000-000001020000}"/>
    <cellStyle name="Normal 51" xfId="516" xr:uid="{00000000-0005-0000-0000-000002020000}"/>
    <cellStyle name="Normal 52" xfId="517" xr:uid="{00000000-0005-0000-0000-000003020000}"/>
    <cellStyle name="Normal 53" xfId="518" xr:uid="{00000000-0005-0000-0000-000004020000}"/>
    <cellStyle name="Normal 54" xfId="519" xr:uid="{00000000-0005-0000-0000-000005020000}"/>
    <cellStyle name="Normal 55" xfId="520" xr:uid="{00000000-0005-0000-0000-000006020000}"/>
    <cellStyle name="Normal 56" xfId="521" xr:uid="{00000000-0005-0000-0000-000007020000}"/>
    <cellStyle name="Normal 57" xfId="522" xr:uid="{00000000-0005-0000-0000-000008020000}"/>
    <cellStyle name="Normal 58" xfId="523" xr:uid="{00000000-0005-0000-0000-000009020000}"/>
    <cellStyle name="Normal 59" xfId="524" xr:uid="{00000000-0005-0000-0000-00000A020000}"/>
    <cellStyle name="Normal 6" xfId="525" xr:uid="{00000000-0005-0000-0000-00000B020000}"/>
    <cellStyle name="Normal 6 2" xfId="526" xr:uid="{00000000-0005-0000-0000-00000C020000}"/>
    <cellStyle name="Normal 6 2 2" xfId="527" xr:uid="{00000000-0005-0000-0000-00000D020000}"/>
    <cellStyle name="Normal 6 2 3" xfId="528" xr:uid="{00000000-0005-0000-0000-00000E020000}"/>
    <cellStyle name="Normal 6 3" xfId="529" xr:uid="{00000000-0005-0000-0000-00000F020000}"/>
    <cellStyle name="Normal 60" xfId="530" xr:uid="{00000000-0005-0000-0000-000010020000}"/>
    <cellStyle name="Normal 61" xfId="531" xr:uid="{00000000-0005-0000-0000-000011020000}"/>
    <cellStyle name="Normal 62" xfId="532" xr:uid="{00000000-0005-0000-0000-000012020000}"/>
    <cellStyle name="Normal 63" xfId="533" xr:uid="{00000000-0005-0000-0000-000013020000}"/>
    <cellStyle name="Normal 64" xfId="534" xr:uid="{00000000-0005-0000-0000-000014020000}"/>
    <cellStyle name="Normal 65" xfId="535" xr:uid="{00000000-0005-0000-0000-000015020000}"/>
    <cellStyle name="Normal 66" xfId="536" xr:uid="{00000000-0005-0000-0000-000016020000}"/>
    <cellStyle name="Normal 67" xfId="537" xr:uid="{00000000-0005-0000-0000-000017020000}"/>
    <cellStyle name="Normal 68" xfId="538" xr:uid="{00000000-0005-0000-0000-000018020000}"/>
    <cellStyle name="Normal 69" xfId="539" xr:uid="{00000000-0005-0000-0000-000019020000}"/>
    <cellStyle name="Normal 7" xfId="540" xr:uid="{00000000-0005-0000-0000-00001A020000}"/>
    <cellStyle name="Normal 7 2" xfId="541" xr:uid="{00000000-0005-0000-0000-00001B020000}"/>
    <cellStyle name="Normal 7 2 2" xfId="542" xr:uid="{00000000-0005-0000-0000-00001C020000}"/>
    <cellStyle name="Normal 7 2 2 2" xfId="543" xr:uid="{00000000-0005-0000-0000-00001D020000}"/>
    <cellStyle name="Normal 7 2 3" xfId="544" xr:uid="{00000000-0005-0000-0000-00001E020000}"/>
    <cellStyle name="Normal 7 3" xfId="545" xr:uid="{00000000-0005-0000-0000-00001F020000}"/>
    <cellStyle name="Normal 7 3 2" xfId="546" xr:uid="{00000000-0005-0000-0000-000020020000}"/>
    <cellStyle name="Normal 7 4" xfId="547" xr:uid="{00000000-0005-0000-0000-000021020000}"/>
    <cellStyle name="Normal 70" xfId="548" xr:uid="{00000000-0005-0000-0000-000022020000}"/>
    <cellStyle name="Normal 71" xfId="549" xr:uid="{00000000-0005-0000-0000-000023020000}"/>
    <cellStyle name="Normal 72" xfId="550" xr:uid="{00000000-0005-0000-0000-000024020000}"/>
    <cellStyle name="Normal 73" xfId="551" xr:uid="{00000000-0005-0000-0000-000025020000}"/>
    <cellStyle name="Normal 74" xfId="552" xr:uid="{00000000-0005-0000-0000-000026020000}"/>
    <cellStyle name="Normal 75" xfId="553" xr:uid="{00000000-0005-0000-0000-000027020000}"/>
    <cellStyle name="Normal 76" xfId="554" xr:uid="{00000000-0005-0000-0000-000028020000}"/>
    <cellStyle name="Normal 77" xfId="555" xr:uid="{00000000-0005-0000-0000-000029020000}"/>
    <cellStyle name="Normal 78" xfId="556" xr:uid="{00000000-0005-0000-0000-00002A020000}"/>
    <cellStyle name="Normal 79" xfId="557" xr:uid="{00000000-0005-0000-0000-00002B020000}"/>
    <cellStyle name="Normal 8" xfId="558" xr:uid="{00000000-0005-0000-0000-00002C020000}"/>
    <cellStyle name="Normal 8 2" xfId="559" xr:uid="{00000000-0005-0000-0000-00002D020000}"/>
    <cellStyle name="Normal 8 2 2" xfId="560" xr:uid="{00000000-0005-0000-0000-00002E020000}"/>
    <cellStyle name="Normal 8 2 3" xfId="561" xr:uid="{00000000-0005-0000-0000-00002F020000}"/>
    <cellStyle name="Normal 8 3" xfId="562" xr:uid="{00000000-0005-0000-0000-000030020000}"/>
    <cellStyle name="Normal 8 4" xfId="563" xr:uid="{00000000-0005-0000-0000-000031020000}"/>
    <cellStyle name="Normal 80" xfId="564" xr:uid="{00000000-0005-0000-0000-000032020000}"/>
    <cellStyle name="Normal 81" xfId="565" xr:uid="{00000000-0005-0000-0000-000033020000}"/>
    <cellStyle name="Normal 82" xfId="566" xr:uid="{00000000-0005-0000-0000-000034020000}"/>
    <cellStyle name="Normal 83" xfId="567" xr:uid="{00000000-0005-0000-0000-000035020000}"/>
    <cellStyle name="Normal 84" xfId="568" xr:uid="{00000000-0005-0000-0000-000036020000}"/>
    <cellStyle name="Normal 84 2" xfId="569" xr:uid="{00000000-0005-0000-0000-000037020000}"/>
    <cellStyle name="Normal 84 3" xfId="570" xr:uid="{00000000-0005-0000-0000-000038020000}"/>
    <cellStyle name="Normal 85" xfId="571" xr:uid="{00000000-0005-0000-0000-000039020000}"/>
    <cellStyle name="Normal 85 2" xfId="572" xr:uid="{00000000-0005-0000-0000-00003A020000}"/>
    <cellStyle name="Normal 85 3" xfId="573" xr:uid="{00000000-0005-0000-0000-00003B020000}"/>
    <cellStyle name="Normal 86" xfId="574" xr:uid="{00000000-0005-0000-0000-00003C020000}"/>
    <cellStyle name="Normal 87" xfId="575" xr:uid="{00000000-0005-0000-0000-00003D020000}"/>
    <cellStyle name="Normal 88" xfId="576" xr:uid="{00000000-0005-0000-0000-00003E020000}"/>
    <cellStyle name="Normal 89" xfId="577" xr:uid="{00000000-0005-0000-0000-00003F020000}"/>
    <cellStyle name="Normal 9" xfId="578" xr:uid="{00000000-0005-0000-0000-000040020000}"/>
    <cellStyle name="Normal 9 2" xfId="579" xr:uid="{00000000-0005-0000-0000-000041020000}"/>
    <cellStyle name="Normal 9 2 2" xfId="580" xr:uid="{00000000-0005-0000-0000-000042020000}"/>
    <cellStyle name="Normal 9 2 3" xfId="581" xr:uid="{00000000-0005-0000-0000-000043020000}"/>
    <cellStyle name="Normal 9 3" xfId="582" xr:uid="{00000000-0005-0000-0000-000044020000}"/>
    <cellStyle name="Normal 90" xfId="583" xr:uid="{00000000-0005-0000-0000-000045020000}"/>
    <cellStyle name="Normal 91" xfId="584" xr:uid="{00000000-0005-0000-0000-000046020000}"/>
    <cellStyle name="Normal 92" xfId="585" xr:uid="{00000000-0005-0000-0000-000047020000}"/>
    <cellStyle name="Normal 92 2" xfId="586" xr:uid="{00000000-0005-0000-0000-000048020000}"/>
    <cellStyle name="Normal 93" xfId="587" xr:uid="{00000000-0005-0000-0000-000049020000}"/>
    <cellStyle name="Normal 93 2" xfId="588" xr:uid="{00000000-0005-0000-0000-00004A020000}"/>
    <cellStyle name="Normal 94" xfId="589" xr:uid="{00000000-0005-0000-0000-00004B020000}"/>
    <cellStyle name="Normal 95" xfId="590" xr:uid="{00000000-0005-0000-0000-00004C020000}"/>
    <cellStyle name="Normal 96" xfId="591" xr:uid="{00000000-0005-0000-0000-00004D020000}"/>
    <cellStyle name="Normal 97" xfId="592" xr:uid="{00000000-0005-0000-0000-00004E020000}"/>
    <cellStyle name="Normal 98" xfId="593" xr:uid="{00000000-0005-0000-0000-00004F020000}"/>
    <cellStyle name="Normal 99" xfId="594" xr:uid="{00000000-0005-0000-0000-000050020000}"/>
    <cellStyle name="Normal_2183 Regulated Price Out Final 6-7-2012" xfId="5" xr:uid="{00000000-0005-0000-0000-000051020000}"/>
    <cellStyle name="Normal_Proforma Yakima UTC-Nicki 2009" xfId="676" xr:uid="{00000000-0005-0000-0000-000052020000}"/>
    <cellStyle name="Normal_Regulated Price Out 9-6-2011 Final HL" xfId="4" xr:uid="{00000000-0005-0000-0000-000053020000}"/>
    <cellStyle name="Normal_Regulated-Non-Regulated Revenue" xfId="677" xr:uid="{00000000-0005-0000-0000-000054020000}"/>
    <cellStyle name="Note 2" xfId="595" xr:uid="{00000000-0005-0000-0000-000055020000}"/>
    <cellStyle name="Note 2 2" xfId="596" xr:uid="{00000000-0005-0000-0000-000056020000}"/>
    <cellStyle name="Note 2 3" xfId="597" xr:uid="{00000000-0005-0000-0000-000057020000}"/>
    <cellStyle name="Note 3" xfId="598" xr:uid="{00000000-0005-0000-0000-000058020000}"/>
    <cellStyle name="Note 3 2" xfId="599" xr:uid="{00000000-0005-0000-0000-000059020000}"/>
    <cellStyle name="Note 3 3" xfId="600" xr:uid="{00000000-0005-0000-0000-00005A020000}"/>
    <cellStyle name="Note 4" xfId="601" xr:uid="{00000000-0005-0000-0000-00005B020000}"/>
    <cellStyle name="Notes" xfId="602" xr:uid="{00000000-0005-0000-0000-00005C020000}"/>
    <cellStyle name="Output 2" xfId="603" xr:uid="{00000000-0005-0000-0000-00005D020000}"/>
    <cellStyle name="Output 3" xfId="604" xr:uid="{00000000-0005-0000-0000-00005E020000}"/>
    <cellStyle name="Output 3 2" xfId="605" xr:uid="{00000000-0005-0000-0000-00005F020000}"/>
    <cellStyle name="Percent" xfId="3" builtinId="5"/>
    <cellStyle name="Percent 10" xfId="606" xr:uid="{00000000-0005-0000-0000-000061020000}"/>
    <cellStyle name="Percent 11" xfId="679" xr:uid="{00000000-0005-0000-0000-000062020000}"/>
    <cellStyle name="Percent 12" xfId="680" xr:uid="{00000000-0005-0000-0000-000063020000}"/>
    <cellStyle name="Percent 2" xfId="607" xr:uid="{00000000-0005-0000-0000-000064020000}"/>
    <cellStyle name="Percent 2 2" xfId="608" xr:uid="{00000000-0005-0000-0000-000065020000}"/>
    <cellStyle name="Percent 2 2 2" xfId="609" xr:uid="{00000000-0005-0000-0000-000066020000}"/>
    <cellStyle name="Percent 2 2 3" xfId="610" xr:uid="{00000000-0005-0000-0000-000067020000}"/>
    <cellStyle name="Percent 2 3" xfId="611" xr:uid="{00000000-0005-0000-0000-000068020000}"/>
    <cellStyle name="Percent 2 4" xfId="612" xr:uid="{00000000-0005-0000-0000-000069020000}"/>
    <cellStyle name="Percent 2 6" xfId="613" xr:uid="{00000000-0005-0000-0000-00006A020000}"/>
    <cellStyle name="Percent 3" xfId="614" xr:uid="{00000000-0005-0000-0000-00006B020000}"/>
    <cellStyle name="Percent 3 2" xfId="615" xr:uid="{00000000-0005-0000-0000-00006C020000}"/>
    <cellStyle name="Percent 3 2 2" xfId="616" xr:uid="{00000000-0005-0000-0000-00006D020000}"/>
    <cellStyle name="Percent 3 3" xfId="617" xr:uid="{00000000-0005-0000-0000-00006E020000}"/>
    <cellStyle name="Percent 4" xfId="618" xr:uid="{00000000-0005-0000-0000-00006F020000}"/>
    <cellStyle name="Percent 4 2" xfId="619" xr:uid="{00000000-0005-0000-0000-000070020000}"/>
    <cellStyle name="Percent 4 3" xfId="620" xr:uid="{00000000-0005-0000-0000-000071020000}"/>
    <cellStyle name="Percent 4 4" xfId="621" xr:uid="{00000000-0005-0000-0000-000072020000}"/>
    <cellStyle name="Percent 5" xfId="622" xr:uid="{00000000-0005-0000-0000-000073020000}"/>
    <cellStyle name="Percent 5 2" xfId="623" xr:uid="{00000000-0005-0000-0000-000074020000}"/>
    <cellStyle name="Percent 5 2 2" xfId="624" xr:uid="{00000000-0005-0000-0000-000075020000}"/>
    <cellStyle name="Percent 5 3" xfId="625" xr:uid="{00000000-0005-0000-0000-000076020000}"/>
    <cellStyle name="Percent 5 4" xfId="626" xr:uid="{00000000-0005-0000-0000-000077020000}"/>
    <cellStyle name="Percent 6" xfId="627" xr:uid="{00000000-0005-0000-0000-000078020000}"/>
    <cellStyle name="Percent 6 2" xfId="628" xr:uid="{00000000-0005-0000-0000-000079020000}"/>
    <cellStyle name="Percent 7" xfId="629" xr:uid="{00000000-0005-0000-0000-00007A020000}"/>
    <cellStyle name="Percent 7 2" xfId="630" xr:uid="{00000000-0005-0000-0000-00007B020000}"/>
    <cellStyle name="Percent 7 3" xfId="631" xr:uid="{00000000-0005-0000-0000-00007C020000}"/>
    <cellStyle name="Percent 8" xfId="632" xr:uid="{00000000-0005-0000-0000-00007D020000}"/>
    <cellStyle name="Percent 9" xfId="633" xr:uid="{00000000-0005-0000-0000-00007E020000}"/>
    <cellStyle name="Percent(1)" xfId="634" xr:uid="{00000000-0005-0000-0000-00007F020000}"/>
    <cellStyle name="Percent(2)" xfId="635" xr:uid="{00000000-0005-0000-0000-000080020000}"/>
    <cellStyle name="Posting_Period" xfId="636" xr:uid="{00000000-0005-0000-0000-000081020000}"/>
    <cellStyle name="PRM" xfId="637" xr:uid="{00000000-0005-0000-0000-000082020000}"/>
    <cellStyle name="PRM 2" xfId="638" xr:uid="{00000000-0005-0000-0000-000083020000}"/>
    <cellStyle name="PRM 3" xfId="639" xr:uid="{00000000-0005-0000-0000-000084020000}"/>
    <cellStyle name="PRM_2011-11" xfId="640" xr:uid="{00000000-0005-0000-0000-000085020000}"/>
    <cellStyle name="PS_Comma" xfId="641" xr:uid="{00000000-0005-0000-0000-000086020000}"/>
    <cellStyle name="PSChar" xfId="642" xr:uid="{00000000-0005-0000-0000-000087020000}"/>
    <cellStyle name="PSDate" xfId="643" xr:uid="{00000000-0005-0000-0000-000088020000}"/>
    <cellStyle name="PSDec" xfId="644" xr:uid="{00000000-0005-0000-0000-000089020000}"/>
    <cellStyle name="PSHeading" xfId="645" xr:uid="{00000000-0005-0000-0000-00008A020000}"/>
    <cellStyle name="PSInt" xfId="646" xr:uid="{00000000-0005-0000-0000-00008B020000}"/>
    <cellStyle name="PSSpacer" xfId="647" xr:uid="{00000000-0005-0000-0000-00008C020000}"/>
    <cellStyle name="STYL0 - Style1" xfId="648" xr:uid="{00000000-0005-0000-0000-00008D020000}"/>
    <cellStyle name="STYL1 - Style2" xfId="649" xr:uid="{00000000-0005-0000-0000-00008E020000}"/>
    <cellStyle name="STYL2 - Style3" xfId="650" xr:uid="{00000000-0005-0000-0000-00008F020000}"/>
    <cellStyle name="STYL3 - Style4" xfId="651" xr:uid="{00000000-0005-0000-0000-000090020000}"/>
    <cellStyle name="STYL4 - Style5" xfId="652" xr:uid="{00000000-0005-0000-0000-000091020000}"/>
    <cellStyle name="STYL5 - Style6" xfId="653" xr:uid="{00000000-0005-0000-0000-000092020000}"/>
    <cellStyle name="STYL6 - Style7" xfId="654" xr:uid="{00000000-0005-0000-0000-000093020000}"/>
    <cellStyle name="STYL7 - Style8" xfId="655" xr:uid="{00000000-0005-0000-0000-000094020000}"/>
    <cellStyle name="Style 1" xfId="656" xr:uid="{00000000-0005-0000-0000-000095020000}"/>
    <cellStyle name="Style 1 2" xfId="657" xr:uid="{00000000-0005-0000-0000-000096020000}"/>
    <cellStyle name="STYLE1" xfId="658" xr:uid="{00000000-0005-0000-0000-000097020000}"/>
    <cellStyle name="STYLE1 2" xfId="659" xr:uid="{00000000-0005-0000-0000-000098020000}"/>
    <cellStyle name="sub heading" xfId="660" xr:uid="{00000000-0005-0000-0000-000099020000}"/>
    <cellStyle name="Tax_Rate" xfId="661" xr:uid="{00000000-0005-0000-0000-00009A020000}"/>
    <cellStyle name="Title 2" xfId="662" xr:uid="{00000000-0005-0000-0000-00009B020000}"/>
    <cellStyle name="Title 3" xfId="663" xr:uid="{00000000-0005-0000-0000-00009C020000}"/>
    <cellStyle name="Title 3 2" xfId="664" xr:uid="{00000000-0005-0000-0000-00009D020000}"/>
    <cellStyle name="Total 2" xfId="665" xr:uid="{00000000-0005-0000-0000-00009E020000}"/>
    <cellStyle name="Total 2 2" xfId="666" xr:uid="{00000000-0005-0000-0000-00009F020000}"/>
    <cellStyle name="Total 2 3" xfId="667" xr:uid="{00000000-0005-0000-0000-0000A0020000}"/>
    <cellStyle name="Total 3" xfId="668" xr:uid="{00000000-0005-0000-0000-0000A1020000}"/>
    <cellStyle name="Total 3 2" xfId="669" xr:uid="{00000000-0005-0000-0000-0000A2020000}"/>
    <cellStyle name="Total 3 3" xfId="670" xr:uid="{00000000-0005-0000-0000-0000A3020000}"/>
    <cellStyle name="Total 4" xfId="671" xr:uid="{00000000-0005-0000-0000-0000A4020000}"/>
    <cellStyle name="Transcript_Date" xfId="672" xr:uid="{00000000-0005-0000-0000-0000A5020000}"/>
    <cellStyle name="Warning Text 2" xfId="673" xr:uid="{00000000-0005-0000-0000-0000A6020000}"/>
    <cellStyle name="Warning Text 3" xfId="674" xr:uid="{00000000-0005-0000-0000-0000A7020000}"/>
    <cellStyle name="WM_STANDARD" xfId="675" xr:uid="{00000000-0005-0000-0000-0000A8020000}"/>
  </cellStyles>
  <dxfs count="0"/>
  <tableStyles count="0" defaultTableStyle="TableStyleMedium2" defaultPivotStyle="PivotStyleLight16"/>
  <colors>
    <mruColors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47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45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microsoft.com/office/2017/10/relationships/person" Target="persons/person.xml"/><Relationship Id="rId48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son\Rate%20Increase%201-1-2013\1%20Filing%2011-14-2012\Revised%202-21-2013\staff%20Mason%20Proforma%209-30-2012-Linked%20Cust%20Count%20Fix%2012-2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stern%20Region\ControllerDir\JoeW\My%20Local%20Documents\OPF\Rate%20Reviews\2010\Clackamas%20County\Clackamas%20DCR%20WCI%20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_opf_joew\JoeW%20C%20Drive\Documents%20and%20Settings\joew\My%20Documents\OPF\Rate%20Reviews\2001\Gresham\Arrow\Gresham%202001%20DCR%202nd%20submi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Western%20Region\WUTC\WUTC-Columbia%202025\General%20Filing%204-15-2016\Filed%204-15-16\CRD%20Pro%20forma%203-31-20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2000%20Western%20Region%20Office/WUTC/WUTC-Clark%20County%202009/Rate%20Filing/Gen%20Rate%20Incr%207-1-22/Audit/FINAL/Staff%20new%20workbook.Clark%20Co%20Proforma%20YE%203.31.22%20(C)%20-%20FINAL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ControllerDir\Brent_Blair_Kortney\PO%20Report%20by%20Division\PO%20Report_v3b%202013-08-26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Western%20Region\ControllerDir\Brent_Blair_Kortney\PO%20Report%20by%20Division\PO%20Report_v3b%202013-08-26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WUTC\WIP%20Files\2010%20Clark%20County-%202009%20Vancouver\Misc%20Analsysis%20Non-Filing\Pro%20froma%208.31.2013%20for%20Budgets\Consolidated%20Pro%20forma%20Year%20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ControllerDir/JoeW/My%20Local%20Documents/OPF/Rate%20Reviews/2016/2016%20OPF%20Master%20DCR%20V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WUTC\WUTC-Murrey%20%202111\General%20Rate%20Filings\Rate%20Filing%201-1-2019\Fuel%20Stats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WUTC\WIP%20Files\2010%20Clark%20County-%202009%20Vancouver\12.31.2010%20Test%20Year\Proforma%20Clark%20County%20101231%20Filing-Draft-FINAL%20VERSION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Western%20Region\WUTC\WIP%20Files\2010%20Clark%20County-%202009%20Vancouver\12.31.2010%20Test%20Year\Proforma%20Clark%20County%20101231%20Filing-Draft-FINAL%20VERSION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Reports\2180%20LeMay\2009\LeMay%20Annual%20Report%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Master%20Truck%20Schedule\South_LeMay%20Master%20Truck%20Schedule-Shar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vandenburg\AppData\Roaming\Microsoft\Excel\DF%20Allocation%20Calculation%203.31%20(version%201).xlsb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WUTC/WIP%20Files/2010%20Clark%20County-%202009%20Vancouver/General%20Filings/3.31.22%20Rate%20Review/40139%20Support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WUTC/WIP%20Files/2010%20Clark%20County-%202009%20Vancouver/General%20Filings/3.31.22%20Rate%20Review/DF%20Allocation%20Calculation%203.31.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2183-1%20Pacific%20Disp,%20Butlers%20Cove\Filing%20Possibly%202012\Filing\Audit\Final%20Outcome%208-14-2012\Pro%20Forma%20Pacific%20Disposal_Staf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2183-1%20Pacific%20Disp,%20Butlers%20Cove\Filing%20Possibly%202012\Filing\Audit\Final%20Outcome%208-14-2012\Pro%20Forma%20Pacific%20Disposal_Staf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son\Rate%20Increase%201-1-2013\1%20Filing%2011-14-2012\Revised%202-21-2013\staff%20Mason%20Proforma%209-30-2012-Linked%20Cust%20Count%20Fix%2012-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Inputs"/>
      <sheetName val="AllocationMethods"/>
      <sheetName val="Gen'l Info"/>
      <sheetName val="AccrualExpense"/>
      <sheetName val="AccrualRevenue"/>
      <sheetName val="TypeSUMM"/>
      <sheetName val="ServiceSUMM"/>
      <sheetName val="SUMM"/>
      <sheetName val="Rev Summary"/>
      <sheetName val="Dir_Costs"/>
      <sheetName val="G and A Costs"/>
      <sheetName val="Itemize"/>
      <sheetName val="Cust_Count1"/>
      <sheetName val="Cust_Count2"/>
      <sheetName val="DropBoxPullsbyType"/>
      <sheetName val="Rev_Breakdown"/>
      <sheetName val="Truck Hours"/>
      <sheetName val="NoDB_TkHr"/>
      <sheetName val="Labor Hours"/>
      <sheetName val="NoDB_LbrHr"/>
      <sheetName val="Container Breakdown"/>
      <sheetName val="Cart Breakdown"/>
      <sheetName val="Gross Yardage Worksheet"/>
      <sheetName val="RecycleContainerYds"/>
      <sheetName val="CartYardage"/>
      <sheetName val="TonnageAllocation"/>
      <sheetName val="ContainerTonsAllocation"/>
      <sheetName val="CanCartTonsAllocate"/>
      <sheetName val="TONWKSHT"/>
      <sheetName val="TONWKSHT_DropBox"/>
      <sheetName val="PrintInstructions"/>
      <sheetName val="grphResiCust"/>
      <sheetName val="grhpMFcancarts"/>
      <sheetName val="grphCMcancarts"/>
      <sheetName val="grphJuris1ResiCrt"/>
      <sheetName val="grphJuris2ResiCrt"/>
      <sheetName val="grphJuris3ResiCrt"/>
      <sheetName val="grphJuris4ResiCrt"/>
      <sheetName val="Juris5ResiCrt"/>
      <sheetName val="Juris1MFcancarts"/>
      <sheetName val="Juris2MFcancarts"/>
      <sheetName val="Juris3MFcancarts"/>
      <sheetName val="Juris4MFcancarts"/>
      <sheetName val="Juris5MFcancarts"/>
      <sheetName val="Juris1CMcarts"/>
      <sheetName val="Juris2CMcarts"/>
      <sheetName val="Juris3CMcarts"/>
      <sheetName val="Juris4CMcarts"/>
      <sheetName val="Juris5CMcarts"/>
      <sheetName val="grphCollect_TkHr"/>
      <sheetName val="grphRecycleRevPerCust"/>
      <sheetName val="grphDirCst per TkHr"/>
      <sheetName val="grphCompareDirCostPerTrkHr "/>
      <sheetName val="grphG_A CostperTkHr"/>
      <sheetName val="grphDBxDirCst per Pull"/>
      <sheetName val="grphDBxTkHrs per Pull"/>
      <sheetName val="grphLbr Csts per TkHr"/>
      <sheetName val="Grph AdminSal per TkHr"/>
      <sheetName val="Program data"/>
      <sheetName val="Census Data"/>
      <sheetName val="Financial Data"/>
    </sheetNames>
    <sheetDataSet>
      <sheetData sheetId="0">
        <row r="3">
          <cell r="C3">
            <v>2010</v>
          </cell>
        </row>
        <row r="4">
          <cell r="C4" t="str">
            <v>Clackamas County</v>
          </cell>
        </row>
        <row r="5">
          <cell r="C5" t="str">
            <v>Arrow</v>
          </cell>
        </row>
        <row r="6">
          <cell r="C6" t="str">
            <v>American</v>
          </cell>
        </row>
        <row r="7">
          <cell r="C7" t="str">
            <v>Other</v>
          </cell>
        </row>
        <row r="8">
          <cell r="C8" t="str">
            <v>Other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>
            <v>155</v>
          </cell>
        </row>
        <row r="30">
          <cell r="C30">
            <v>459.2632034958001</v>
          </cell>
          <cell r="D30">
            <v>1119.4009262496004</v>
          </cell>
          <cell r="E30">
            <v>16017.642352085402</v>
          </cell>
          <cell r="F30">
            <v>0</v>
          </cell>
          <cell r="G30">
            <v>0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F60" t="e">
            <v>#REF!</v>
          </cell>
          <cell r="G60" t="e">
            <v>#REF!</v>
          </cell>
        </row>
      </sheetData>
      <sheetData sheetId="13">
        <row r="15">
          <cell r="E15">
            <v>3586.96</v>
          </cell>
        </row>
        <row r="28">
          <cell r="E28">
            <v>5</v>
          </cell>
          <cell r="F28">
            <v>2</v>
          </cell>
          <cell r="G28">
            <v>2125.58</v>
          </cell>
        </row>
        <row r="39">
          <cell r="E39">
            <v>0.02</v>
          </cell>
          <cell r="F39">
            <v>0.05</v>
          </cell>
          <cell r="G39">
            <v>0.93</v>
          </cell>
          <cell r="H39">
            <v>0</v>
          </cell>
          <cell r="I39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6">
          <cell r="L16">
            <v>3586.96</v>
          </cell>
          <cell r="X16">
            <v>0</v>
          </cell>
        </row>
        <row r="33">
          <cell r="L33">
            <v>3476.46</v>
          </cell>
          <cell r="X33">
            <v>546</v>
          </cell>
        </row>
        <row r="51">
          <cell r="L51">
            <v>256944.47999999998</v>
          </cell>
          <cell r="X51">
            <v>126700.08</v>
          </cell>
        </row>
        <row r="68">
          <cell r="L68">
            <v>0</v>
          </cell>
          <cell r="X68">
            <v>0</v>
          </cell>
        </row>
        <row r="85">
          <cell r="L85">
            <v>0</v>
          </cell>
          <cell r="X85">
            <v>0</v>
          </cell>
        </row>
      </sheetData>
      <sheetData sheetId="23"/>
      <sheetData sheetId="24"/>
      <sheetData sheetId="25"/>
      <sheetData sheetId="26"/>
      <sheetData sheetId="27">
        <row r="3">
          <cell r="E3">
            <v>0</v>
          </cell>
        </row>
      </sheetData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"/>
      <sheetName val="Revenue"/>
      <sheetName val="Dir_Costs"/>
      <sheetName val="G and A Costs"/>
      <sheetName val="Itemize"/>
      <sheetName val="Cust_Count1"/>
      <sheetName val="Cust_Count2"/>
      <sheetName val="DropBoxPullsbyType "/>
      <sheetName val="Rev_Breakdown"/>
      <sheetName val="TruckHours"/>
      <sheetName val="NoDB_TkHr"/>
      <sheetName val="LaborHours"/>
      <sheetName val="NoDB_LbrHr"/>
      <sheetName val="Container Breakdown"/>
      <sheetName val="Cart Breakdown"/>
      <sheetName val="Gross Yardage Worksheet"/>
      <sheetName val="Tonnage Allocation "/>
      <sheetName val="TONWKSHT"/>
      <sheetName val="TONWKSHT_DropBox"/>
      <sheetName val="PoundsPerReceptacle"/>
      <sheetName val="PrintInstructions"/>
    </sheetNames>
    <sheetDataSet>
      <sheetData sheetId="0"/>
      <sheetData sheetId="1"/>
      <sheetData sheetId="2"/>
      <sheetData sheetId="3"/>
      <sheetData sheetId="4"/>
      <sheetData sheetId="5" refreshError="1">
        <row r="28">
          <cell r="M28">
            <v>403.64620554239997</v>
          </cell>
          <cell r="N28">
            <v>4560.3873359231993</v>
          </cell>
          <cell r="O28" t="e">
            <v>#REF!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16">
          <cell r="L16">
            <v>7280</v>
          </cell>
        </row>
        <row r="31">
          <cell r="L31">
            <v>3848</v>
          </cell>
        </row>
        <row r="49">
          <cell r="L49">
            <v>249236</v>
          </cell>
        </row>
        <row r="64">
          <cell r="L64">
            <v>0</v>
          </cell>
        </row>
        <row r="82">
          <cell r="L82">
            <v>0</v>
          </cell>
        </row>
        <row r="98">
          <cell r="L98">
            <v>0</v>
          </cell>
        </row>
        <row r="101">
          <cell r="N101">
            <v>260364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 refreshError="1"/>
      <sheetData sheetId="4"/>
      <sheetData sheetId="5">
        <row r="78">
          <cell r="D78">
            <v>13340.018881532844</v>
          </cell>
        </row>
      </sheetData>
      <sheetData sheetId="6">
        <row r="27">
          <cell r="B27">
            <v>353.32367365298381</v>
          </cell>
        </row>
      </sheetData>
      <sheetData sheetId="7">
        <row r="13">
          <cell r="B13">
            <v>0.89361089902323576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178633.12500000003</v>
          </cell>
        </row>
      </sheetData>
      <sheetData sheetId="17">
        <row r="1">
          <cell r="A1" t="str">
            <v>Columbia River Disposal, Inc. G-48/G-51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D6">
            <v>10000</v>
          </cell>
        </row>
        <row r="8">
          <cell r="H8" t="str">
            <v>2016-06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s Restating Adj"/>
      <sheetName val="Staff Proforma ADJ"/>
      <sheetName val="2010 IS (C)"/>
      <sheetName val="Master IS (C)"/>
      <sheetName val="LOB (C)"/>
      <sheetName val="Restating Adj (C)"/>
      <sheetName val="Pro forma Adj (C)"/>
      <sheetName val="Allocators (C)"/>
      <sheetName val="Proposed Rates"/>
      <sheetName val="Automation Data"/>
      <sheetName val="Clark Co. Regulated - Price Out"/>
      <sheetName val="LG Public"/>
      <sheetName val="LG Public-No Automation"/>
      <sheetName val="2022 Vancouver Payroll"/>
      <sheetName val="Job Postings"/>
      <sheetName val="Dep Summary (C)"/>
      <sheetName val="Disposal"/>
      <sheetName val="Shop Outside Labor (C)"/>
      <sheetName val="2010 BS 2022.03 (C)"/>
      <sheetName val="2010 BS 2021.03 (C)"/>
      <sheetName val="Insurance Claims JE Query (C)"/>
      <sheetName val="3 Yr Insurance (C)"/>
      <sheetName val="43001 JE Query"/>
      <sheetName val="57170 JE Query"/>
      <sheetName val="70195 JE Query (C)"/>
      <sheetName val="41201 JE Query"/>
      <sheetName val="70225 JE Query"/>
      <sheetName val="70255 JE Query (C)"/>
      <sheetName val="91010 JE Query"/>
      <sheetName val="10070 JE Query"/>
      <sheetName val="70235 JE Query (C)"/>
      <sheetName val="Interject_LastPulledValues"/>
      <sheetName val="DVP-DivCon Allocs  (C)"/>
      <sheetName val="Region OH (C)"/>
      <sheetName val="Corp-OH (C)"/>
      <sheetName val="Corp BS &amp; IS"/>
    </sheetNames>
    <sheetDataSet>
      <sheetData sheetId="0"/>
      <sheetData sheetId="1"/>
      <sheetData sheetId="2"/>
      <sheetData sheetId="3">
        <row r="29">
          <cell r="E29">
            <v>8455261.0300000012</v>
          </cell>
        </row>
        <row r="150">
          <cell r="E150">
            <v>25898341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283">
          <cell r="AF283">
            <v>30392.812145581309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">
          <cell r="D6">
            <v>10000</v>
          </cell>
        </row>
        <row r="12">
          <cell r="I12" t="str">
            <v>2021-04</v>
          </cell>
        </row>
        <row r="13">
          <cell r="I13" t="str">
            <v>2022-03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>
        <row r="5">
          <cell r="D5">
            <v>10.71</v>
          </cell>
        </row>
      </sheetData>
      <sheetData sheetId="4">
        <row r="6">
          <cell r="F6" t="str">
            <v>Time Series</v>
          </cell>
        </row>
      </sheetData>
      <sheetData sheetId="5">
        <row r="4">
          <cell r="B4" t="str">
            <v>P&amp;L Trend</v>
          </cell>
          <cell r="D4" t="str">
            <v>(no extension)</v>
          </cell>
          <cell r="AA4" t="str">
            <v>XLS</v>
          </cell>
        </row>
        <row r="5">
          <cell r="B5" t="str">
            <v>Ereports</v>
          </cell>
          <cell r="AA5" t="str">
            <v>XLS5</v>
          </cell>
        </row>
        <row r="6">
          <cell r="B6" t="str">
            <v>Ereports</v>
          </cell>
          <cell r="D6" t="str">
            <v>(XLS file format only)</v>
          </cell>
          <cell r="AA6" t="str">
            <v>CSV</v>
          </cell>
        </row>
        <row r="7">
          <cell r="AA7" t="str">
            <v>PRN</v>
          </cell>
        </row>
        <row r="8">
          <cell r="D8" t="str">
            <v>Source Tab Name:</v>
          </cell>
          <cell r="AA8" t="str">
            <v>WK1</v>
          </cell>
        </row>
        <row r="9">
          <cell r="B9" t="b">
            <v>1</v>
          </cell>
          <cell r="D9" t="str">
            <v>Target Tab Name:</v>
          </cell>
          <cell r="AA9" t="str">
            <v>WK4</v>
          </cell>
        </row>
        <row r="10">
          <cell r="B10" t="b">
            <v>0</v>
          </cell>
          <cell r="D10" t="str">
            <v>Retain Excel Formulas:</v>
          </cell>
          <cell r="AA10" t="str">
            <v>HTML</v>
          </cell>
        </row>
        <row r="11">
          <cell r="B11" t="b">
            <v>0</v>
          </cell>
          <cell r="D11" t="str">
            <v>Protect with Password:</v>
          </cell>
        </row>
        <row r="12">
          <cell r="D12" t="str">
            <v>Password:</v>
          </cell>
        </row>
        <row r="13">
          <cell r="D13" t="str">
            <v>Top Left Cell to Lock:</v>
          </cell>
        </row>
        <row r="14">
          <cell r="D14" t="str">
            <v>Bottom Right Cell to Lock:</v>
          </cell>
        </row>
        <row r="17">
          <cell r="D17" t="str">
            <v>Column with Delete Chars:</v>
          </cell>
        </row>
        <row r="18">
          <cell r="B18" t="str">
            <v>brentd@wcnx.org</v>
          </cell>
        </row>
        <row r="19">
          <cell r="B19" t="b">
            <v>1</v>
          </cell>
        </row>
        <row r="20">
          <cell r="B20" t="b">
            <v>0</v>
          </cell>
          <cell r="D20" t="str">
            <v>Columns to Delete:</v>
          </cell>
        </row>
        <row r="26">
          <cell r="B26" t="str">
            <v>C</v>
          </cell>
        </row>
        <row r="31">
          <cell r="D31" t="str">
            <v>Rows to Delete:</v>
          </cell>
        </row>
      </sheetData>
      <sheetData sheetId="6" refreshError="1"/>
      <sheetData sheetId="7">
        <row r="11">
          <cell r="D11">
            <v>47001</v>
          </cell>
          <cell r="F11">
            <v>1843.92</v>
          </cell>
          <cell r="G11">
            <v>5768.4</v>
          </cell>
          <cell r="H11">
            <v>6357.6</v>
          </cell>
          <cell r="I11">
            <v>4940.2700000000004</v>
          </cell>
          <cell r="J11">
            <v>4133.1400000000003</v>
          </cell>
          <cell r="K11">
            <v>434.11</v>
          </cell>
          <cell r="L11">
            <v>2232.0700000000002</v>
          </cell>
          <cell r="M11">
            <v>3534.05</v>
          </cell>
          <cell r="N11">
            <v>14494.59</v>
          </cell>
          <cell r="O11">
            <v>13165.37</v>
          </cell>
          <cell r="P11">
            <v>8843.58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 BS"/>
      <sheetName val="2010 BS"/>
      <sheetName val="2009 IS"/>
      <sheetName val="2010 IS"/>
      <sheetName val="Consolidated IS"/>
      <sheetName val="Alloc %"/>
      <sheetName val="Rest Expl"/>
      <sheetName val="Prof Expl"/>
      <sheetName val="2009 Price Out (REG)"/>
      <sheetName val="LG-Total Reg"/>
      <sheetName val="LG-Pckr"/>
      <sheetName val="LG-RO"/>
      <sheetName val="2009-2010"/>
      <sheetName val="2009 Depr Summary"/>
      <sheetName val="2009 Trks"/>
      <sheetName val="2009 Cont, DB"/>
      <sheetName val="2009 Serv, Shop"/>
      <sheetName val="2009 Office"/>
      <sheetName val="2009 Leasehold"/>
      <sheetName val="2010 Deprec Summary"/>
      <sheetName val="2010 Trks"/>
      <sheetName val="2010 Cont, DB"/>
      <sheetName val="2010 Serv, Shop"/>
      <sheetName val="2010 Office"/>
      <sheetName val="2010 Leaseh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Sum"/>
      <sheetName val="Cust Count"/>
      <sheetName val="Disposal"/>
      <sheetName val="Taxes &amp; Fees"/>
      <sheetName val="Ton Alloc"/>
      <sheetName val="2011_IS210 170306"/>
      <sheetName val="Sorted Master"/>
      <sheetName val="EBITDA by Area"/>
      <sheetName val="Vital Metrics"/>
      <sheetName val="Gresham"/>
      <sheetName val="Clackamas Rural"/>
      <sheetName val="Clackamas Dist Rural"/>
      <sheetName val="PDX Arrow"/>
      <sheetName val="All Areas"/>
      <sheetName val="Interject_LastPulledValues"/>
      <sheetName val="Debt"/>
      <sheetName val="Capex"/>
      <sheetName val="3rd Party Disposal-39"/>
      <sheetName val="TRF Disposal-39"/>
      <sheetName val="Interco Disposal-39"/>
      <sheetName val="Rent-43"/>
      <sheetName val="Co Op &amp; Sub-54"/>
      <sheetName val="Advertising-69"/>
      <sheetName val="Dues-78"/>
      <sheetName val="Contributions-70"/>
      <sheetName val="Prof Fees-71"/>
      <sheetName val="Misc Exp-86"/>
      <sheetName val="Travel-87"/>
      <sheetName val="Shop Allocation"/>
      <sheetName val="Mgmt Reclasses"/>
      <sheetName val="Proceeds- 35518"/>
      <sheetName val="Estacada-not used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Z8">
            <v>22770.134694115299</v>
          </cell>
          <cell r="AD8">
            <v>16658.304514730477</v>
          </cell>
        </row>
        <row r="9">
          <cell r="K9">
            <v>78561.19</v>
          </cell>
          <cell r="Z9">
            <v>1372.6699999999998</v>
          </cell>
        </row>
      </sheetData>
      <sheetData sheetId="7"/>
      <sheetData sheetId="8"/>
      <sheetData sheetId="9">
        <row r="12">
          <cell r="E12" t="str">
            <v>Rate Code</v>
          </cell>
          <cell r="F12" t="str">
            <v>Base</v>
          </cell>
          <cell r="G12" t="str">
            <v>Franchise Percent of Total Company</v>
          </cell>
          <cell r="H12" t="str">
            <v>Reverse Mt View Sanitary</v>
          </cell>
          <cell r="I12" t="str">
            <v xml:space="preserve">Adjust In/Out </v>
          </cell>
          <cell r="J12" t="str">
            <v>Same Line Reclass</v>
          </cell>
          <cell r="K12"/>
          <cell r="L12" t="str">
            <v>Base Allocation</v>
          </cell>
          <cell r="M12" t="str">
            <v>Adjust</v>
          </cell>
          <cell r="N12" t="str">
            <v>Descrip</v>
          </cell>
          <cell r="O12" t="str">
            <v>Res SW Adjusted</v>
          </cell>
          <cell r="P12" t="str">
            <v>Base Allocation</v>
          </cell>
          <cell r="Q12" t="str">
            <v>Adjust</v>
          </cell>
          <cell r="R12" t="str">
            <v>Descrip</v>
          </cell>
          <cell r="S12" t="str">
            <v>FEL SW Adjusted</v>
          </cell>
          <cell r="T12" t="str">
            <v>Base Allocation</v>
          </cell>
          <cell r="U12" t="str">
            <v>Adjust</v>
          </cell>
          <cell r="V12" t="str">
            <v>Descrip</v>
          </cell>
          <cell r="W12" t="str">
            <v>Res Rec Adjusted</v>
          </cell>
          <cell r="X12" t="str">
            <v>Base Allocation</v>
          </cell>
          <cell r="Y12" t="str">
            <v>Adjust</v>
          </cell>
          <cell r="Z12" t="str">
            <v>Descrip</v>
          </cell>
          <cell r="AA12" t="str">
            <v>Com Rec Adjusted</v>
          </cell>
          <cell r="AB12" t="str">
            <v>Base Allocation</v>
          </cell>
          <cell r="AC12" t="str">
            <v>Adjust</v>
          </cell>
          <cell r="AD12" t="str">
            <v>Descrip</v>
          </cell>
          <cell r="AE12" t="str">
            <v>Debris Adjusted</v>
          </cell>
          <cell r="AF12" t="str">
            <v>Base Allocation</v>
          </cell>
          <cell r="AG12" t="str">
            <v>Adjust</v>
          </cell>
          <cell r="AH12" t="str">
            <v>Descrip</v>
          </cell>
          <cell r="AI12" t="str">
            <v>Drop Box Adjusted</v>
          </cell>
        </row>
        <row r="13">
          <cell r="E13">
            <v>18</v>
          </cell>
          <cell r="F13" t="str">
            <v>ACT</v>
          </cell>
          <cell r="G13">
            <v>3.7309466339435216E-2</v>
          </cell>
          <cell r="H13"/>
          <cell r="I13"/>
          <cell r="J13"/>
          <cell r="K13"/>
          <cell r="L13">
            <v>0</v>
          </cell>
          <cell r="M13"/>
          <cell r="N13"/>
          <cell r="O13">
            <v>0</v>
          </cell>
          <cell r="P13">
            <v>0</v>
          </cell>
          <cell r="Q13"/>
          <cell r="R13"/>
          <cell r="S13">
            <v>0</v>
          </cell>
          <cell r="T13">
            <v>0</v>
          </cell>
          <cell r="U13"/>
          <cell r="V13"/>
          <cell r="W13">
            <v>0</v>
          </cell>
          <cell r="X13">
            <v>0</v>
          </cell>
          <cell r="Y13"/>
          <cell r="Z13"/>
          <cell r="AA13">
            <v>0</v>
          </cell>
          <cell r="AB13">
            <v>0</v>
          </cell>
          <cell r="AC13"/>
          <cell r="AD13"/>
          <cell r="AE13">
            <v>0</v>
          </cell>
          <cell r="AF13">
            <v>0</v>
          </cell>
          <cell r="AG13">
            <v>132534.08000000002</v>
          </cell>
          <cell r="AH13"/>
          <cell r="AI13">
            <v>132534.08000000002</v>
          </cell>
        </row>
        <row r="14">
          <cell r="E14">
            <v>18</v>
          </cell>
          <cell r="F14" t="str">
            <v>ACT</v>
          </cell>
          <cell r="G14">
            <v>0</v>
          </cell>
          <cell r="H14"/>
          <cell r="I14"/>
          <cell r="J14"/>
          <cell r="K14"/>
          <cell r="L14">
            <v>0</v>
          </cell>
          <cell r="M14"/>
          <cell r="N14"/>
          <cell r="O14">
            <v>0</v>
          </cell>
          <cell r="P14">
            <v>0</v>
          </cell>
          <cell r="Q14"/>
          <cell r="R14"/>
          <cell r="S14">
            <v>0</v>
          </cell>
          <cell r="T14">
            <v>0</v>
          </cell>
          <cell r="U14"/>
          <cell r="V14"/>
          <cell r="W14">
            <v>0</v>
          </cell>
          <cell r="X14">
            <v>0</v>
          </cell>
          <cell r="Y14"/>
          <cell r="Z14"/>
          <cell r="AA14">
            <v>0</v>
          </cell>
          <cell r="AB14">
            <v>0</v>
          </cell>
          <cell r="AC14"/>
          <cell r="AD14"/>
          <cell r="AE14">
            <v>0</v>
          </cell>
          <cell r="AF14">
            <v>0</v>
          </cell>
          <cell r="AG14"/>
          <cell r="AH14"/>
          <cell r="AI14">
            <v>0</v>
          </cell>
        </row>
        <row r="15">
          <cell r="E15">
            <v>18</v>
          </cell>
          <cell r="F15" t="str">
            <v>ACT</v>
          </cell>
          <cell r="G15">
            <v>0</v>
          </cell>
          <cell r="H15"/>
          <cell r="I15"/>
          <cell r="J15"/>
          <cell r="K15"/>
          <cell r="L15">
            <v>0</v>
          </cell>
          <cell r="M15"/>
          <cell r="N15"/>
          <cell r="O15">
            <v>0</v>
          </cell>
          <cell r="P15">
            <v>0</v>
          </cell>
          <cell r="Q15"/>
          <cell r="R15"/>
          <cell r="S15">
            <v>0</v>
          </cell>
          <cell r="T15">
            <v>0</v>
          </cell>
          <cell r="U15"/>
          <cell r="V15"/>
          <cell r="W15">
            <v>0</v>
          </cell>
          <cell r="X15">
            <v>0</v>
          </cell>
          <cell r="Y15"/>
          <cell r="Z15"/>
          <cell r="AA15">
            <v>0</v>
          </cell>
          <cell r="AB15">
            <v>0</v>
          </cell>
          <cell r="AC15"/>
          <cell r="AD15"/>
          <cell r="AE15">
            <v>0</v>
          </cell>
          <cell r="AF15">
            <v>0</v>
          </cell>
          <cell r="AG15"/>
          <cell r="AH15"/>
          <cell r="AI15">
            <v>0</v>
          </cell>
        </row>
        <row r="16">
          <cell r="E16">
            <v>18</v>
          </cell>
          <cell r="F16" t="str">
            <v>ACT</v>
          </cell>
          <cell r="G16">
            <v>0</v>
          </cell>
          <cell r="H16"/>
          <cell r="I16"/>
          <cell r="J16"/>
          <cell r="K16"/>
          <cell r="L16">
            <v>0</v>
          </cell>
          <cell r="M16"/>
          <cell r="N16"/>
          <cell r="O16">
            <v>0</v>
          </cell>
          <cell r="P16">
            <v>0</v>
          </cell>
          <cell r="Q16"/>
          <cell r="R16"/>
          <cell r="S16">
            <v>0</v>
          </cell>
          <cell r="T16">
            <v>0</v>
          </cell>
          <cell r="U16"/>
          <cell r="V16"/>
          <cell r="W16">
            <v>0</v>
          </cell>
          <cell r="X16">
            <v>0</v>
          </cell>
          <cell r="Y16"/>
          <cell r="Z16"/>
          <cell r="AA16">
            <v>0</v>
          </cell>
          <cell r="AB16">
            <v>0</v>
          </cell>
          <cell r="AC16"/>
          <cell r="AD16"/>
          <cell r="AE16">
            <v>0</v>
          </cell>
          <cell r="AF16">
            <v>0</v>
          </cell>
          <cell r="AG16"/>
          <cell r="AH16"/>
          <cell r="AI16">
            <v>0</v>
          </cell>
        </row>
        <row r="17">
          <cell r="E17">
            <v>18</v>
          </cell>
          <cell r="F17" t="str">
            <v>ACT</v>
          </cell>
          <cell r="G17">
            <v>0</v>
          </cell>
          <cell r="H17"/>
          <cell r="I17"/>
          <cell r="J17"/>
          <cell r="K17"/>
          <cell r="L17">
            <v>0</v>
          </cell>
          <cell r="M17"/>
          <cell r="N17"/>
          <cell r="O17">
            <v>0</v>
          </cell>
          <cell r="P17">
            <v>0</v>
          </cell>
          <cell r="Q17"/>
          <cell r="R17"/>
          <cell r="S17">
            <v>0</v>
          </cell>
          <cell r="T17">
            <v>0</v>
          </cell>
          <cell r="U17"/>
          <cell r="V17"/>
          <cell r="W17">
            <v>0</v>
          </cell>
          <cell r="X17">
            <v>0</v>
          </cell>
          <cell r="Y17"/>
          <cell r="Z17"/>
          <cell r="AA17">
            <v>0</v>
          </cell>
          <cell r="AB17">
            <v>0</v>
          </cell>
          <cell r="AC17"/>
          <cell r="AD17"/>
          <cell r="AE17">
            <v>0</v>
          </cell>
          <cell r="AF17">
            <v>0</v>
          </cell>
          <cell r="AG17"/>
          <cell r="AH17"/>
          <cell r="AI17">
            <v>0</v>
          </cell>
        </row>
        <row r="18">
          <cell r="E18">
            <v>18</v>
          </cell>
          <cell r="F18" t="str">
            <v>ACT</v>
          </cell>
          <cell r="G18">
            <v>0</v>
          </cell>
          <cell r="H18"/>
          <cell r="I18"/>
          <cell r="J18"/>
          <cell r="K18"/>
          <cell r="L18">
            <v>0</v>
          </cell>
          <cell r="M18"/>
          <cell r="N18"/>
          <cell r="O18">
            <v>0</v>
          </cell>
          <cell r="P18">
            <v>0</v>
          </cell>
          <cell r="Q18"/>
          <cell r="R18"/>
          <cell r="S18">
            <v>0</v>
          </cell>
          <cell r="T18">
            <v>0</v>
          </cell>
          <cell r="U18"/>
          <cell r="V18"/>
          <cell r="W18">
            <v>0</v>
          </cell>
          <cell r="X18">
            <v>0</v>
          </cell>
          <cell r="Y18"/>
          <cell r="Z18"/>
          <cell r="AA18">
            <v>0</v>
          </cell>
          <cell r="AB18">
            <v>0</v>
          </cell>
          <cell r="AC18"/>
          <cell r="AD18"/>
          <cell r="AE18">
            <v>0</v>
          </cell>
          <cell r="AF18">
            <v>0</v>
          </cell>
          <cell r="AG18"/>
          <cell r="AH18"/>
          <cell r="AI18">
            <v>0</v>
          </cell>
        </row>
        <row r="19">
          <cell r="E19">
            <v>18</v>
          </cell>
          <cell r="F19" t="str">
            <v>ACT</v>
          </cell>
          <cell r="G19">
            <v>0.18043182976003175</v>
          </cell>
          <cell r="H19"/>
          <cell r="I19"/>
          <cell r="J19"/>
          <cell r="K19"/>
          <cell r="L19">
            <v>0</v>
          </cell>
          <cell r="M19">
            <v>1853120.12</v>
          </cell>
          <cell r="N19" t="str">
            <v>Res Can</v>
          </cell>
          <cell r="O19">
            <v>1853120.12</v>
          </cell>
          <cell r="P19">
            <v>0</v>
          </cell>
          <cell r="Q19">
            <v>27865.999999999996</v>
          </cell>
          <cell r="R19" t="str">
            <v>Res Cont</v>
          </cell>
          <cell r="S19">
            <v>27865.999999999996</v>
          </cell>
          <cell r="T19">
            <v>0</v>
          </cell>
          <cell r="U19">
            <v>1448.5700000000002</v>
          </cell>
          <cell r="V19" t="str">
            <v>Res Rec Can</v>
          </cell>
          <cell r="W19">
            <v>1448.5700000000002</v>
          </cell>
          <cell r="X19">
            <v>0</v>
          </cell>
          <cell r="Y19">
            <v>537.6</v>
          </cell>
          <cell r="Z19" t="str">
            <v>Comm Rec Can</v>
          </cell>
          <cell r="AA19">
            <v>537.6</v>
          </cell>
          <cell r="AB19">
            <v>0</v>
          </cell>
          <cell r="AC19">
            <v>5464.8999999999987</v>
          </cell>
          <cell r="AD19" t="str">
            <v>Res Can</v>
          </cell>
          <cell r="AE19">
            <v>5464.8999999999987</v>
          </cell>
          <cell r="AF19">
            <v>0</v>
          </cell>
          <cell r="AG19"/>
          <cell r="AH19"/>
          <cell r="AI19">
            <v>0</v>
          </cell>
        </row>
        <row r="20">
          <cell r="E20">
            <v>18</v>
          </cell>
          <cell r="F20" t="str">
            <v>ACT</v>
          </cell>
          <cell r="G20">
            <v>0</v>
          </cell>
          <cell r="H20"/>
          <cell r="I20"/>
          <cell r="J20"/>
          <cell r="K20"/>
          <cell r="L20">
            <v>0</v>
          </cell>
          <cell r="M20"/>
          <cell r="N20"/>
          <cell r="O20">
            <v>0</v>
          </cell>
          <cell r="P20">
            <v>0</v>
          </cell>
          <cell r="Q20"/>
          <cell r="R20"/>
          <cell r="S20">
            <v>0</v>
          </cell>
          <cell r="T20">
            <v>0</v>
          </cell>
          <cell r="U20"/>
          <cell r="V20"/>
          <cell r="W20">
            <v>0</v>
          </cell>
          <cell r="X20">
            <v>0</v>
          </cell>
          <cell r="Y20"/>
          <cell r="Z20"/>
          <cell r="AA20">
            <v>0</v>
          </cell>
          <cell r="AB20">
            <v>0</v>
          </cell>
          <cell r="AC20">
            <v>10975.320000000002</v>
          </cell>
          <cell r="AD20" t="str">
            <v>Comm Can</v>
          </cell>
          <cell r="AE20">
            <v>10975.320000000002</v>
          </cell>
          <cell r="AF20">
            <v>0</v>
          </cell>
          <cell r="AG20"/>
          <cell r="AH20"/>
          <cell r="AI20">
            <v>0</v>
          </cell>
        </row>
        <row r="21">
          <cell r="E21">
            <v>18</v>
          </cell>
          <cell r="F21" t="str">
            <v>ACT</v>
          </cell>
          <cell r="G21">
            <v>7.9848082741454565E-2</v>
          </cell>
          <cell r="H21"/>
          <cell r="I21"/>
          <cell r="J21"/>
          <cell r="K21"/>
          <cell r="L21">
            <v>0</v>
          </cell>
          <cell r="M21">
            <v>57863.759999999995</v>
          </cell>
          <cell r="N21" t="str">
            <v>Comm Can</v>
          </cell>
          <cell r="O21">
            <v>57863.759999999995</v>
          </cell>
          <cell r="P21">
            <v>0</v>
          </cell>
          <cell r="Q21">
            <v>617570.07999999984</v>
          </cell>
          <cell r="R21" t="str">
            <v>Comm Cont</v>
          </cell>
          <cell r="S21">
            <v>617570.07999999984</v>
          </cell>
          <cell r="T21">
            <v>0</v>
          </cell>
          <cell r="U21">
            <v>0</v>
          </cell>
          <cell r="V21" t="str">
            <v>Res Rec Cont</v>
          </cell>
          <cell r="W21">
            <v>0</v>
          </cell>
          <cell r="X21">
            <v>0</v>
          </cell>
          <cell r="Y21">
            <v>5536.83</v>
          </cell>
          <cell r="Z21" t="str">
            <v>Comm Rec Cont</v>
          </cell>
          <cell r="AA21">
            <v>5536.83</v>
          </cell>
          <cell r="AB21">
            <v>0</v>
          </cell>
          <cell r="AC21">
            <v>1230.4000000000001</v>
          </cell>
          <cell r="AD21" t="str">
            <v>Comm Cont</v>
          </cell>
          <cell r="AE21">
            <v>1230.4000000000001</v>
          </cell>
          <cell r="AF21">
            <v>0</v>
          </cell>
          <cell r="AG21"/>
          <cell r="AH21"/>
          <cell r="AI21">
            <v>0</v>
          </cell>
        </row>
        <row r="22">
          <cell r="E22">
            <v>18</v>
          </cell>
          <cell r="F22" t="str">
            <v>ACT</v>
          </cell>
          <cell r="G22">
            <v>0</v>
          </cell>
          <cell r="H22"/>
          <cell r="I22"/>
          <cell r="J22"/>
          <cell r="K22"/>
          <cell r="L22">
            <v>0</v>
          </cell>
          <cell r="M22"/>
          <cell r="N22"/>
          <cell r="O22">
            <v>0</v>
          </cell>
          <cell r="P22">
            <v>0</v>
          </cell>
          <cell r="Q22"/>
          <cell r="R22"/>
          <cell r="S22">
            <v>0</v>
          </cell>
          <cell r="T22">
            <v>0</v>
          </cell>
          <cell r="U22"/>
          <cell r="V22"/>
          <cell r="W22">
            <v>0</v>
          </cell>
          <cell r="X22">
            <v>0</v>
          </cell>
          <cell r="Y22">
            <v>1602.7800000000002</v>
          </cell>
          <cell r="Z22" t="str">
            <v>Food Cont</v>
          </cell>
          <cell r="AA22">
            <v>1602.7800000000002</v>
          </cell>
          <cell r="AB22">
            <v>0</v>
          </cell>
          <cell r="AC22"/>
          <cell r="AD22"/>
          <cell r="AE22">
            <v>0</v>
          </cell>
          <cell r="AF22">
            <v>0</v>
          </cell>
          <cell r="AG22"/>
          <cell r="AH22"/>
          <cell r="AI22">
            <v>0</v>
          </cell>
        </row>
        <row r="23">
          <cell r="E23">
            <v>18</v>
          </cell>
          <cell r="F23" t="str">
            <v>ACT</v>
          </cell>
          <cell r="G23">
            <v>0</v>
          </cell>
          <cell r="H23"/>
          <cell r="I23"/>
          <cell r="J23"/>
          <cell r="K23"/>
          <cell r="L23">
            <v>0</v>
          </cell>
          <cell r="O23">
            <v>0</v>
          </cell>
          <cell r="P23">
            <v>0</v>
          </cell>
          <cell r="Q23"/>
          <cell r="S23">
            <v>0</v>
          </cell>
          <cell r="T23">
            <v>0</v>
          </cell>
          <cell r="U23"/>
          <cell r="W23">
            <v>0</v>
          </cell>
          <cell r="X23">
            <v>0</v>
          </cell>
          <cell r="Y23">
            <v>3007.32</v>
          </cell>
          <cell r="Z23" t="str">
            <v>Food Can</v>
          </cell>
          <cell r="AA23">
            <v>3007.32</v>
          </cell>
          <cell r="AB23">
            <v>0</v>
          </cell>
          <cell r="AE23">
            <v>0</v>
          </cell>
          <cell r="AF23">
            <v>0</v>
          </cell>
          <cell r="AG23"/>
          <cell r="AI23">
            <v>0</v>
          </cell>
        </row>
        <row r="24">
          <cell r="E24">
            <v>19</v>
          </cell>
          <cell r="F24" t="str">
            <v>ACT</v>
          </cell>
          <cell r="G24">
            <v>1.3062872838081262E-2</v>
          </cell>
          <cell r="H24"/>
          <cell r="I24"/>
          <cell r="J24"/>
          <cell r="K24"/>
          <cell r="L24">
            <v>0</v>
          </cell>
          <cell r="O24">
            <v>0</v>
          </cell>
          <cell r="P24">
            <v>0</v>
          </cell>
          <cell r="S24">
            <v>0</v>
          </cell>
          <cell r="T24">
            <v>0</v>
          </cell>
          <cell r="U24">
            <v>10336.727432729604</v>
          </cell>
          <cell r="W24">
            <v>10336.727432729604</v>
          </cell>
          <cell r="X24">
            <v>0</v>
          </cell>
          <cell r="Y24">
            <v>120.21500674709182</v>
          </cell>
          <cell r="AA24">
            <v>120.21500674709182</v>
          </cell>
          <cell r="AB24">
            <v>0</v>
          </cell>
          <cell r="AC24"/>
          <cell r="AE24">
            <v>0</v>
          </cell>
          <cell r="AF24">
            <v>0</v>
          </cell>
          <cell r="AG24">
            <v>0</v>
          </cell>
          <cell r="AI24">
            <v>0</v>
          </cell>
        </row>
        <row r="25">
          <cell r="E25">
            <v>19</v>
          </cell>
          <cell r="F25" t="str">
            <v>ACT</v>
          </cell>
          <cell r="G25">
            <v>0</v>
          </cell>
          <cell r="H25"/>
          <cell r="I25"/>
          <cell r="J25"/>
          <cell r="K25"/>
          <cell r="L25">
            <v>0</v>
          </cell>
          <cell r="O25">
            <v>0</v>
          </cell>
          <cell r="P25">
            <v>0</v>
          </cell>
          <cell r="S25">
            <v>0</v>
          </cell>
          <cell r="T25">
            <v>0</v>
          </cell>
          <cell r="U25"/>
          <cell r="W25">
            <v>0</v>
          </cell>
          <cell r="X25">
            <v>0</v>
          </cell>
          <cell r="Y25"/>
          <cell r="AA25">
            <v>0</v>
          </cell>
          <cell r="AB25">
            <v>0</v>
          </cell>
          <cell r="AE25">
            <v>0</v>
          </cell>
          <cell r="AF25">
            <v>0</v>
          </cell>
          <cell r="AG25"/>
          <cell r="AI25">
            <v>0</v>
          </cell>
        </row>
        <row r="26">
          <cell r="E26">
            <v>19</v>
          </cell>
          <cell r="F26" t="str">
            <v>ACT</v>
          </cell>
          <cell r="G26">
            <v>0</v>
          </cell>
          <cell r="H26"/>
          <cell r="I26"/>
          <cell r="J26"/>
          <cell r="K26"/>
          <cell r="L26">
            <v>0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U26"/>
          <cell r="W26">
            <v>0</v>
          </cell>
          <cell r="X26">
            <v>0</v>
          </cell>
          <cell r="Y26"/>
          <cell r="AA26">
            <v>0</v>
          </cell>
          <cell r="AB26">
            <v>0</v>
          </cell>
          <cell r="AE26">
            <v>0</v>
          </cell>
          <cell r="AF26">
            <v>0</v>
          </cell>
          <cell r="AG26"/>
          <cell r="AI26">
            <v>0</v>
          </cell>
        </row>
        <row r="27">
          <cell r="E27">
            <v>19</v>
          </cell>
          <cell r="F27" t="str">
            <v>ACT</v>
          </cell>
          <cell r="G27">
            <v>0</v>
          </cell>
          <cell r="H27"/>
          <cell r="I27"/>
          <cell r="J27"/>
          <cell r="K27"/>
          <cell r="L27">
            <v>0</v>
          </cell>
          <cell r="O27">
            <v>0</v>
          </cell>
          <cell r="P27">
            <v>0</v>
          </cell>
          <cell r="S27">
            <v>0</v>
          </cell>
          <cell r="T27">
            <v>0</v>
          </cell>
          <cell r="U27"/>
          <cell r="W27">
            <v>0</v>
          </cell>
          <cell r="X27">
            <v>0</v>
          </cell>
          <cell r="Y27"/>
          <cell r="AA27">
            <v>0</v>
          </cell>
          <cell r="AB27">
            <v>0</v>
          </cell>
          <cell r="AE27">
            <v>0</v>
          </cell>
          <cell r="AF27">
            <v>0</v>
          </cell>
          <cell r="AG27"/>
          <cell r="AI27">
            <v>0</v>
          </cell>
        </row>
        <row r="28">
          <cell r="E28">
            <v>19</v>
          </cell>
          <cell r="F28" t="str">
            <v>ACT</v>
          </cell>
          <cell r="G28">
            <v>0</v>
          </cell>
          <cell r="H28"/>
          <cell r="I28"/>
          <cell r="J28"/>
          <cell r="K28"/>
          <cell r="L28">
            <v>0</v>
          </cell>
          <cell r="O28">
            <v>0</v>
          </cell>
          <cell r="P28">
            <v>0</v>
          </cell>
          <cell r="S28">
            <v>0</v>
          </cell>
          <cell r="T28">
            <v>0</v>
          </cell>
          <cell r="U28"/>
          <cell r="W28">
            <v>0</v>
          </cell>
          <cell r="X28">
            <v>0</v>
          </cell>
          <cell r="Y28"/>
          <cell r="AA28">
            <v>0</v>
          </cell>
          <cell r="AB28">
            <v>0</v>
          </cell>
          <cell r="AE28">
            <v>0</v>
          </cell>
          <cell r="AF28">
            <v>0</v>
          </cell>
          <cell r="AG28"/>
          <cell r="AI28">
            <v>0</v>
          </cell>
        </row>
        <row r="29">
          <cell r="E29">
            <v>19</v>
          </cell>
          <cell r="F29" t="str">
            <v>ACT</v>
          </cell>
          <cell r="G29">
            <v>0</v>
          </cell>
          <cell r="H29"/>
          <cell r="I29"/>
          <cell r="J29"/>
          <cell r="K29"/>
          <cell r="L29">
            <v>0</v>
          </cell>
          <cell r="O29">
            <v>0</v>
          </cell>
          <cell r="P29">
            <v>0</v>
          </cell>
          <cell r="S29">
            <v>0</v>
          </cell>
          <cell r="T29">
            <v>0</v>
          </cell>
          <cell r="U29"/>
          <cell r="W29">
            <v>0</v>
          </cell>
          <cell r="X29">
            <v>0</v>
          </cell>
          <cell r="Y29"/>
          <cell r="AA29">
            <v>0</v>
          </cell>
          <cell r="AB29">
            <v>0</v>
          </cell>
          <cell r="AE29">
            <v>0</v>
          </cell>
          <cell r="AF29">
            <v>0</v>
          </cell>
          <cell r="AG29"/>
          <cell r="AI29">
            <v>0</v>
          </cell>
        </row>
        <row r="30">
          <cell r="E30">
            <v>19</v>
          </cell>
          <cell r="F30" t="str">
            <v>ACT</v>
          </cell>
          <cell r="G30">
            <v>0</v>
          </cell>
          <cell r="H30"/>
          <cell r="I30"/>
          <cell r="K30"/>
          <cell r="L30">
            <v>0</v>
          </cell>
          <cell r="O30">
            <v>0</v>
          </cell>
          <cell r="P30">
            <v>0</v>
          </cell>
          <cell r="S30">
            <v>0</v>
          </cell>
          <cell r="T30">
            <v>0</v>
          </cell>
          <cell r="U30"/>
          <cell r="W30">
            <v>0</v>
          </cell>
          <cell r="X30">
            <v>0</v>
          </cell>
          <cell r="AA30">
            <v>0</v>
          </cell>
          <cell r="AB30">
            <v>0</v>
          </cell>
          <cell r="AE30">
            <v>0</v>
          </cell>
          <cell r="AF30">
            <v>0</v>
          </cell>
          <cell r="AI30">
            <v>0</v>
          </cell>
        </row>
        <row r="31">
          <cell r="E31">
            <v>19</v>
          </cell>
          <cell r="F31" t="str">
            <v>ACT</v>
          </cell>
          <cell r="G31">
            <v>0</v>
          </cell>
          <cell r="H31"/>
          <cell r="I31"/>
          <cell r="K31"/>
          <cell r="L31">
            <v>0</v>
          </cell>
          <cell r="O31">
            <v>0</v>
          </cell>
          <cell r="P31">
            <v>0</v>
          </cell>
          <cell r="S31">
            <v>0</v>
          </cell>
          <cell r="T31">
            <v>0</v>
          </cell>
          <cell r="U31"/>
          <cell r="W31">
            <v>0</v>
          </cell>
          <cell r="X31">
            <v>0</v>
          </cell>
          <cell r="AA31">
            <v>0</v>
          </cell>
          <cell r="AB31">
            <v>0</v>
          </cell>
          <cell r="AE31">
            <v>0</v>
          </cell>
          <cell r="AF31">
            <v>0</v>
          </cell>
          <cell r="AI31">
            <v>0</v>
          </cell>
        </row>
        <row r="32">
          <cell r="E32">
            <v>19</v>
          </cell>
          <cell r="F32" t="str">
            <v>ACT</v>
          </cell>
          <cell r="G32">
            <v>0</v>
          </cell>
          <cell r="H32"/>
          <cell r="I32"/>
          <cell r="K32"/>
          <cell r="L32">
            <v>0</v>
          </cell>
          <cell r="O32">
            <v>0</v>
          </cell>
          <cell r="P32">
            <v>0</v>
          </cell>
          <cell r="S32">
            <v>0</v>
          </cell>
          <cell r="T32">
            <v>0</v>
          </cell>
          <cell r="U32"/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E32">
            <v>0</v>
          </cell>
          <cell r="AF32">
            <v>0</v>
          </cell>
          <cell r="AI32">
            <v>0</v>
          </cell>
        </row>
        <row r="33">
          <cell r="E33">
            <v>19</v>
          </cell>
          <cell r="F33" t="str">
            <v>ACT</v>
          </cell>
          <cell r="G33">
            <v>0</v>
          </cell>
          <cell r="H33"/>
          <cell r="I33"/>
          <cell r="J33"/>
          <cell r="K33"/>
          <cell r="L33">
            <v>0</v>
          </cell>
          <cell r="O33">
            <v>0</v>
          </cell>
          <cell r="P33">
            <v>0</v>
          </cell>
          <cell r="S33">
            <v>0</v>
          </cell>
          <cell r="T33">
            <v>0</v>
          </cell>
          <cell r="U33"/>
          <cell r="W33">
            <v>0</v>
          </cell>
          <cell r="X33">
            <v>0</v>
          </cell>
          <cell r="Y33"/>
          <cell r="AA33">
            <v>0</v>
          </cell>
          <cell r="AB33">
            <v>0</v>
          </cell>
          <cell r="AE33">
            <v>0</v>
          </cell>
          <cell r="AF33">
            <v>0</v>
          </cell>
          <cell r="AG33"/>
          <cell r="AI33">
            <v>0</v>
          </cell>
        </row>
        <row r="34">
          <cell r="E34">
            <v>20</v>
          </cell>
          <cell r="F34" t="str">
            <v>ACT</v>
          </cell>
          <cell r="G34">
            <v>0</v>
          </cell>
          <cell r="H34"/>
          <cell r="I34"/>
          <cell r="K34"/>
          <cell r="L34">
            <v>0</v>
          </cell>
          <cell r="O34">
            <v>0</v>
          </cell>
          <cell r="P34">
            <v>0</v>
          </cell>
          <cell r="S34">
            <v>0</v>
          </cell>
          <cell r="T34">
            <v>0</v>
          </cell>
          <cell r="W34">
            <v>0</v>
          </cell>
          <cell r="X34">
            <v>0</v>
          </cell>
          <cell r="AA34">
            <v>0</v>
          </cell>
          <cell r="AB34">
            <v>0</v>
          </cell>
          <cell r="AC34"/>
          <cell r="AD34"/>
          <cell r="AE34">
            <v>0</v>
          </cell>
          <cell r="AF34">
            <v>0</v>
          </cell>
          <cell r="AI34">
            <v>0</v>
          </cell>
        </row>
        <row r="35">
          <cell r="E35">
            <v>20</v>
          </cell>
          <cell r="F35" t="str">
            <v>REV</v>
          </cell>
          <cell r="G35">
            <v>0.12050036179656672</v>
          </cell>
          <cell r="H35"/>
          <cell r="I35"/>
          <cell r="K35"/>
          <cell r="L35">
            <v>669.859631661192</v>
          </cell>
          <cell r="O35">
            <v>669.859631661192</v>
          </cell>
          <cell r="P35">
            <v>226.2455373562039</v>
          </cell>
          <cell r="S35">
            <v>226.2455373562039</v>
          </cell>
          <cell r="T35">
            <v>0.50776910092797478</v>
          </cell>
          <cell r="W35">
            <v>0.50776910092797478</v>
          </cell>
          <cell r="X35">
            <v>3.7452620114581792</v>
          </cell>
          <cell r="AA35">
            <v>3.7452620114581792</v>
          </cell>
          <cell r="AB35">
            <v>6.1941051038195543</v>
          </cell>
          <cell r="AC35"/>
          <cell r="AD35"/>
          <cell r="AE35">
            <v>6.1941051038195543</v>
          </cell>
          <cell r="AF35">
            <v>46.457341132231299</v>
          </cell>
          <cell r="AI35">
            <v>46.457341132231299</v>
          </cell>
        </row>
        <row r="36">
          <cell r="E36">
            <v>20</v>
          </cell>
          <cell r="F36" t="str">
            <v>REV</v>
          </cell>
          <cell r="G36">
            <v>0.12050036179656672</v>
          </cell>
          <cell r="H36"/>
          <cell r="I36"/>
          <cell r="K36"/>
          <cell r="L36">
            <v>4496.2719671540799</v>
          </cell>
          <cell r="O36">
            <v>4496.2719671540799</v>
          </cell>
          <cell r="P36">
            <v>1518.6188556932343</v>
          </cell>
          <cell r="S36">
            <v>1518.6188556932343</v>
          </cell>
          <cell r="T36">
            <v>3.4082781919962537</v>
          </cell>
          <cell r="W36">
            <v>3.4082781919962537</v>
          </cell>
          <cell r="X36">
            <v>25.139172142685357</v>
          </cell>
          <cell r="AA36">
            <v>25.139172142685357</v>
          </cell>
          <cell r="AB36">
            <v>41.576443516746068</v>
          </cell>
          <cell r="AC36"/>
          <cell r="AD36"/>
          <cell r="AE36">
            <v>41.576443516746068</v>
          </cell>
          <cell r="AF36">
            <v>311.8337495324954</v>
          </cell>
          <cell r="AI36">
            <v>311.8337495324954</v>
          </cell>
        </row>
        <row r="37">
          <cell r="E37">
            <v>20</v>
          </cell>
          <cell r="F37" t="str">
            <v>REV</v>
          </cell>
          <cell r="G37">
            <v>0.1205003617965667</v>
          </cell>
          <cell r="H37"/>
          <cell r="I37"/>
          <cell r="K37"/>
          <cell r="L37">
            <v>48.701541226408828</v>
          </cell>
          <cell r="O37">
            <v>48.701541226408828</v>
          </cell>
          <cell r="P37">
            <v>16.44897803069469</v>
          </cell>
          <cell r="S37">
            <v>16.44897803069469</v>
          </cell>
          <cell r="T37">
            <v>3.6916895172521835E-2</v>
          </cell>
          <cell r="W37">
            <v>3.6916895172521835E-2</v>
          </cell>
          <cell r="X37">
            <v>0.27229590145982913</v>
          </cell>
          <cell r="AA37">
            <v>0.27229590145982913</v>
          </cell>
          <cell r="AB37">
            <v>0.45033683299631211</v>
          </cell>
          <cell r="AC37"/>
          <cell r="AD37"/>
          <cell r="AE37">
            <v>0.45033683299631211</v>
          </cell>
          <cell r="AF37">
            <v>3.3776391462936703</v>
          </cell>
          <cell r="AI37">
            <v>3.3776391462936703</v>
          </cell>
        </row>
        <row r="38">
          <cell r="E38">
            <v>20</v>
          </cell>
          <cell r="F38" t="str">
            <v>REV</v>
          </cell>
          <cell r="G38">
            <v>0</v>
          </cell>
          <cell r="H38"/>
          <cell r="I38"/>
          <cell r="K38"/>
          <cell r="L38">
            <v>0</v>
          </cell>
          <cell r="O38">
            <v>0</v>
          </cell>
          <cell r="P38">
            <v>0</v>
          </cell>
          <cell r="S38">
            <v>0</v>
          </cell>
          <cell r="T38">
            <v>0</v>
          </cell>
          <cell r="W38">
            <v>0</v>
          </cell>
          <cell r="X38">
            <v>0</v>
          </cell>
          <cell r="AA38">
            <v>0</v>
          </cell>
          <cell r="AB38">
            <v>0</v>
          </cell>
          <cell r="AC38"/>
          <cell r="AD38"/>
          <cell r="AE38">
            <v>0</v>
          </cell>
          <cell r="AF38">
            <v>0</v>
          </cell>
          <cell r="AI38">
            <v>0</v>
          </cell>
        </row>
        <row r="39">
          <cell r="E39">
            <v>20</v>
          </cell>
          <cell r="F39" t="str">
            <v>REV</v>
          </cell>
          <cell r="G39">
            <v>0</v>
          </cell>
          <cell r="H39"/>
          <cell r="I39"/>
          <cell r="K39"/>
          <cell r="L39">
            <v>0</v>
          </cell>
          <cell r="O39">
            <v>0</v>
          </cell>
          <cell r="P39">
            <v>0</v>
          </cell>
          <cell r="S39">
            <v>0</v>
          </cell>
          <cell r="T39">
            <v>0</v>
          </cell>
          <cell r="W39">
            <v>0</v>
          </cell>
          <cell r="X39">
            <v>0</v>
          </cell>
          <cell r="AA39">
            <v>0</v>
          </cell>
          <cell r="AB39">
            <v>0</v>
          </cell>
          <cell r="AC39"/>
          <cell r="AD39"/>
          <cell r="AE39">
            <v>0</v>
          </cell>
          <cell r="AF39">
            <v>0</v>
          </cell>
          <cell r="AI39">
            <v>0</v>
          </cell>
        </row>
        <row r="40">
          <cell r="E40"/>
          <cell r="F40"/>
          <cell r="G40"/>
          <cell r="H40"/>
          <cell r="I40"/>
          <cell r="K40"/>
          <cell r="L40"/>
          <cell r="O40"/>
          <cell r="P40"/>
          <cell r="S40"/>
          <cell r="T40"/>
          <cell r="W40"/>
          <cell r="X40"/>
          <cell r="AA40"/>
          <cell r="AB40"/>
          <cell r="AC40"/>
          <cell r="AD40"/>
          <cell r="AE40"/>
          <cell r="AF40"/>
          <cell r="AI40"/>
        </row>
        <row r="41">
          <cell r="E41"/>
          <cell r="F41"/>
          <cell r="G41">
            <v>0.11682876518931071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5214.833140041681</v>
          </cell>
          <cell r="M41">
            <v>1910983.8800000001</v>
          </cell>
          <cell r="N41">
            <v>0</v>
          </cell>
          <cell r="O41">
            <v>1916198.7131400416</v>
          </cell>
          <cell r="P41">
            <v>1761.3133710801328</v>
          </cell>
          <cell r="Q41">
            <v>645436.07999999984</v>
          </cell>
          <cell r="R41">
            <v>0</v>
          </cell>
          <cell r="S41">
            <v>647197.39337108005</v>
          </cell>
          <cell r="T41">
            <v>3.9529641880967503</v>
          </cell>
          <cell r="U41">
            <v>11785.297432729603</v>
          </cell>
          <cell r="V41"/>
          <cell r="W41">
            <v>11789.250396917701</v>
          </cell>
          <cell r="X41">
            <v>29.156730055603365</v>
          </cell>
          <cell r="Y41">
            <v>10804.745006747093</v>
          </cell>
          <cell r="Z41">
            <v>0</v>
          </cell>
          <cell r="AA41">
            <v>10833.901736802696</v>
          </cell>
          <cell r="AB41">
            <v>48.220885453561934</v>
          </cell>
          <cell r="AC41">
            <v>17670.620000000003</v>
          </cell>
          <cell r="AD41">
            <v>0</v>
          </cell>
          <cell r="AE41">
            <v>17718.840885453566</v>
          </cell>
          <cell r="AF41">
            <v>361.6687298110204</v>
          </cell>
          <cell r="AG41">
            <v>132534.08000000002</v>
          </cell>
          <cell r="AH41">
            <v>0</v>
          </cell>
          <cell r="AI41">
            <v>132895.74872981102</v>
          </cell>
        </row>
        <row r="42">
          <cell r="E42"/>
          <cell r="F42"/>
          <cell r="G42"/>
          <cell r="H42"/>
          <cell r="I42"/>
          <cell r="K42"/>
        </row>
        <row r="43">
          <cell r="E43"/>
          <cell r="F43"/>
          <cell r="G43"/>
          <cell r="H43"/>
          <cell r="I43"/>
          <cell r="J43"/>
          <cell r="K43"/>
        </row>
        <row r="44">
          <cell r="E44"/>
          <cell r="F44"/>
          <cell r="G44"/>
          <cell r="H44"/>
          <cell r="I44"/>
          <cell r="J44"/>
          <cell r="K44"/>
        </row>
        <row r="45">
          <cell r="E45"/>
          <cell r="F45"/>
          <cell r="G45"/>
          <cell r="H45"/>
          <cell r="I45"/>
          <cell r="J45"/>
          <cell r="K45"/>
          <cell r="M45" t="str">
            <v>NEED TO CHECK PERCENTS AGAINST THE BLACK BOX!</v>
          </cell>
          <cell r="N45"/>
          <cell r="O45"/>
          <cell r="P45"/>
          <cell r="Q45" t="str">
            <v>NEED TO CHECK PERCENTS AGAINST THE BLACK BOX!</v>
          </cell>
        </row>
        <row r="46">
          <cell r="E46">
            <v>39</v>
          </cell>
          <cell r="F46" t="str">
            <v>Act</v>
          </cell>
          <cell r="G46">
            <v>9.5772165128849479E-2</v>
          </cell>
          <cell r="H46"/>
          <cell r="I46"/>
          <cell r="J46"/>
          <cell r="K46"/>
          <cell r="L46">
            <v>0</v>
          </cell>
          <cell r="M46">
            <v>295020.6315689031</v>
          </cell>
          <cell r="N46"/>
          <cell r="O46">
            <v>295020.6315689031</v>
          </cell>
          <cell r="P46">
            <v>0</v>
          </cell>
          <cell r="Q46">
            <v>263307.58865990676</v>
          </cell>
          <cell r="S46">
            <v>263307.58865990676</v>
          </cell>
          <cell r="T46">
            <v>0</v>
          </cell>
          <cell r="W46">
            <v>0</v>
          </cell>
          <cell r="X46">
            <v>0</v>
          </cell>
          <cell r="Y46">
            <v>3874.1574784596964</v>
          </cell>
          <cell r="Z46" t="str">
            <v>Food Waste</v>
          </cell>
          <cell r="AA46">
            <v>3874.1574784596964</v>
          </cell>
          <cell r="AB46">
            <v>0</v>
          </cell>
          <cell r="AC46">
            <v>55800.366266949328</v>
          </cell>
          <cell r="AD46" t="str">
            <v>Yard Deb</v>
          </cell>
          <cell r="AE46">
            <v>55800.366266949328</v>
          </cell>
          <cell r="AF46">
            <v>0</v>
          </cell>
          <cell r="AG46">
            <v>73418.010941884408</v>
          </cell>
          <cell r="AI46">
            <v>73418.010941884408</v>
          </cell>
        </row>
        <row r="47">
          <cell r="E47">
            <v>39</v>
          </cell>
          <cell r="F47" t="str">
            <v>Act</v>
          </cell>
          <cell r="G47">
            <v>0</v>
          </cell>
          <cell r="H47"/>
          <cell r="I47"/>
          <cell r="J47"/>
          <cell r="K47"/>
          <cell r="L47">
            <v>0</v>
          </cell>
          <cell r="M47"/>
          <cell r="N47"/>
          <cell r="O47">
            <v>0</v>
          </cell>
          <cell r="P47">
            <v>0</v>
          </cell>
          <cell r="Q47"/>
          <cell r="S47">
            <v>0</v>
          </cell>
          <cell r="T47">
            <v>0</v>
          </cell>
          <cell r="W47">
            <v>0</v>
          </cell>
          <cell r="X47">
            <v>0</v>
          </cell>
          <cell r="AA47">
            <v>0</v>
          </cell>
          <cell r="AB47">
            <v>0</v>
          </cell>
          <cell r="AD47"/>
          <cell r="AE47">
            <v>0</v>
          </cell>
          <cell r="AF47">
            <v>0</v>
          </cell>
          <cell r="AG47"/>
          <cell r="AI47">
            <v>0</v>
          </cell>
        </row>
        <row r="48">
          <cell r="E48">
            <v>54</v>
          </cell>
          <cell r="F48" t="str">
            <v>Act</v>
          </cell>
          <cell r="G48">
            <v>0</v>
          </cell>
          <cell r="H48"/>
          <cell r="I48"/>
          <cell r="J48"/>
          <cell r="K48"/>
          <cell r="L48">
            <v>0</v>
          </cell>
          <cell r="M48"/>
          <cell r="N48"/>
          <cell r="O48">
            <v>0</v>
          </cell>
          <cell r="P48">
            <v>0</v>
          </cell>
          <cell r="Q48"/>
          <cell r="S48">
            <v>0</v>
          </cell>
          <cell r="T48">
            <v>0</v>
          </cell>
          <cell r="W48">
            <v>0</v>
          </cell>
          <cell r="X48">
            <v>0</v>
          </cell>
          <cell r="AA48">
            <v>0</v>
          </cell>
          <cell r="AB48">
            <v>0</v>
          </cell>
          <cell r="AD48"/>
          <cell r="AE48">
            <v>0</v>
          </cell>
          <cell r="AF48">
            <v>0</v>
          </cell>
          <cell r="AG48"/>
          <cell r="AI48">
            <v>0</v>
          </cell>
        </row>
        <row r="49">
          <cell r="E49">
            <v>39</v>
          </cell>
          <cell r="F49" t="str">
            <v>Act</v>
          </cell>
          <cell r="G49">
            <v>0</v>
          </cell>
          <cell r="H49"/>
          <cell r="I49"/>
          <cell r="J49"/>
          <cell r="K49"/>
          <cell r="L49">
            <v>0</v>
          </cell>
          <cell r="M49"/>
          <cell r="N49"/>
          <cell r="O49">
            <v>0</v>
          </cell>
          <cell r="P49">
            <v>0</v>
          </cell>
          <cell r="Q49"/>
          <cell r="S49">
            <v>0</v>
          </cell>
          <cell r="T49">
            <v>0</v>
          </cell>
          <cell r="W49">
            <v>0</v>
          </cell>
          <cell r="X49">
            <v>0</v>
          </cell>
          <cell r="AA49">
            <v>0</v>
          </cell>
          <cell r="AB49">
            <v>0</v>
          </cell>
          <cell r="AD49"/>
          <cell r="AE49">
            <v>0</v>
          </cell>
          <cell r="AF49">
            <v>0</v>
          </cell>
          <cell r="AG49"/>
          <cell r="AI49">
            <v>0</v>
          </cell>
        </row>
        <row r="50">
          <cell r="E50">
            <v>39</v>
          </cell>
          <cell r="F50" t="str">
            <v>Act</v>
          </cell>
          <cell r="G50">
            <v>0</v>
          </cell>
          <cell r="H50"/>
          <cell r="I50"/>
          <cell r="J50"/>
          <cell r="K50"/>
          <cell r="L50">
            <v>0</v>
          </cell>
          <cell r="M50"/>
          <cell r="N50"/>
          <cell r="O50">
            <v>0</v>
          </cell>
          <cell r="P50">
            <v>0</v>
          </cell>
          <cell r="Q50"/>
          <cell r="S50">
            <v>0</v>
          </cell>
          <cell r="T50">
            <v>0</v>
          </cell>
          <cell r="W50">
            <v>0</v>
          </cell>
          <cell r="X50">
            <v>0</v>
          </cell>
          <cell r="AA50">
            <v>0</v>
          </cell>
          <cell r="AB50">
            <v>0</v>
          </cell>
          <cell r="AD50"/>
          <cell r="AE50">
            <v>0</v>
          </cell>
          <cell r="AF50">
            <v>0</v>
          </cell>
          <cell r="AG50"/>
          <cell r="AI50">
            <v>0</v>
          </cell>
        </row>
        <row r="51">
          <cell r="E51">
            <v>54</v>
          </cell>
          <cell r="F51" t="str">
            <v>Act</v>
          </cell>
          <cell r="G51">
            <v>0</v>
          </cell>
          <cell r="H51"/>
          <cell r="J51"/>
          <cell r="K51"/>
          <cell r="L51">
            <v>0</v>
          </cell>
          <cell r="M51"/>
          <cell r="N51"/>
          <cell r="O51">
            <v>0</v>
          </cell>
          <cell r="P51">
            <v>0</v>
          </cell>
          <cell r="S51">
            <v>0</v>
          </cell>
          <cell r="T51">
            <v>0</v>
          </cell>
          <cell r="W51">
            <v>0</v>
          </cell>
          <cell r="X51">
            <v>0</v>
          </cell>
          <cell r="AA51">
            <v>0</v>
          </cell>
          <cell r="AB51">
            <v>0</v>
          </cell>
          <cell r="AC51"/>
          <cell r="AD51"/>
          <cell r="AE51">
            <v>0</v>
          </cell>
          <cell r="AF51">
            <v>0</v>
          </cell>
          <cell r="AI51">
            <v>0</v>
          </cell>
        </row>
        <row r="52">
          <cell r="E52">
            <v>54</v>
          </cell>
          <cell r="F52" t="str">
            <v>Act</v>
          </cell>
          <cell r="G52">
            <v>0</v>
          </cell>
          <cell r="H52"/>
          <cell r="I52"/>
          <cell r="J52"/>
          <cell r="K52"/>
          <cell r="L52">
            <v>0</v>
          </cell>
          <cell r="O52">
            <v>0</v>
          </cell>
          <cell r="P52">
            <v>0</v>
          </cell>
          <cell r="S52">
            <v>0</v>
          </cell>
          <cell r="T52">
            <v>0</v>
          </cell>
          <cell r="U52"/>
          <cell r="W52">
            <v>0</v>
          </cell>
          <cell r="X52">
            <v>0</v>
          </cell>
          <cell r="Y52"/>
          <cell r="AA52">
            <v>0</v>
          </cell>
          <cell r="AB52">
            <v>0</v>
          </cell>
          <cell r="AE52">
            <v>0</v>
          </cell>
          <cell r="AF52">
            <v>0</v>
          </cell>
          <cell r="AG52"/>
          <cell r="AI52">
            <v>0</v>
          </cell>
        </row>
        <row r="53">
          <cell r="E53">
            <v>48</v>
          </cell>
          <cell r="F53" t="str">
            <v>Act</v>
          </cell>
          <cell r="G53">
            <v>0.21335384186549883</v>
          </cell>
          <cell r="H53"/>
          <cell r="I53"/>
          <cell r="J53"/>
          <cell r="K53"/>
          <cell r="L53">
            <v>0</v>
          </cell>
          <cell r="M53">
            <v>164934.89010562061</v>
          </cell>
          <cell r="O53">
            <v>164934.89010562061</v>
          </cell>
          <cell r="P53">
            <v>0</v>
          </cell>
          <cell r="Q53">
            <v>60225.333011235838</v>
          </cell>
          <cell r="R53"/>
          <cell r="S53">
            <v>60225.333011235838</v>
          </cell>
          <cell r="T53">
            <v>0</v>
          </cell>
          <cell r="U53"/>
          <cell r="W53">
            <v>0</v>
          </cell>
          <cell r="X53">
            <v>0</v>
          </cell>
          <cell r="AA53">
            <v>0</v>
          </cell>
          <cell r="AB53">
            <v>0</v>
          </cell>
          <cell r="AC53"/>
          <cell r="AE53">
            <v>0</v>
          </cell>
          <cell r="AF53">
            <v>0</v>
          </cell>
          <cell r="AG53">
            <v>7481.8268831435735</v>
          </cell>
          <cell r="AI53">
            <v>7481.8268831435735</v>
          </cell>
        </row>
        <row r="54">
          <cell r="E54">
            <v>54</v>
          </cell>
          <cell r="F54" t="str">
            <v>Act</v>
          </cell>
          <cell r="G54">
            <v>0</v>
          </cell>
          <cell r="H54"/>
          <cell r="I54"/>
          <cell r="J54"/>
          <cell r="K54"/>
          <cell r="L54">
            <v>0</v>
          </cell>
          <cell r="O54">
            <v>0</v>
          </cell>
          <cell r="P54">
            <v>0</v>
          </cell>
          <cell r="R54"/>
          <cell r="S54">
            <v>0</v>
          </cell>
          <cell r="T54">
            <v>0</v>
          </cell>
          <cell r="W54">
            <v>0</v>
          </cell>
          <cell r="X54">
            <v>0</v>
          </cell>
          <cell r="AA54">
            <v>0</v>
          </cell>
          <cell r="AB54">
            <v>0</v>
          </cell>
          <cell r="AC54"/>
          <cell r="AD54"/>
          <cell r="AE54">
            <v>0</v>
          </cell>
          <cell r="AF54">
            <v>0</v>
          </cell>
          <cell r="AI54">
            <v>0</v>
          </cell>
        </row>
        <row r="55">
          <cell r="E55">
            <v>39</v>
          </cell>
          <cell r="F55" t="str">
            <v>Act</v>
          </cell>
          <cell r="G55">
            <v>5.5405754530033581E-2</v>
          </cell>
          <cell r="H55"/>
          <cell r="I55"/>
          <cell r="J55"/>
          <cell r="K55"/>
          <cell r="L55">
            <v>0</v>
          </cell>
          <cell r="O55">
            <v>0</v>
          </cell>
          <cell r="P55">
            <v>0</v>
          </cell>
          <cell r="R55"/>
          <cell r="S55">
            <v>0</v>
          </cell>
          <cell r="T55">
            <v>0</v>
          </cell>
          <cell r="U55">
            <v>6302.445557525336</v>
          </cell>
          <cell r="W55">
            <v>6302.445557525336</v>
          </cell>
          <cell r="X55">
            <v>0</v>
          </cell>
          <cell r="Y55">
            <v>4359.7126272290916</v>
          </cell>
          <cell r="AA55">
            <v>4359.7126272290916</v>
          </cell>
          <cell r="AB55">
            <v>0</v>
          </cell>
          <cell r="AC55"/>
          <cell r="AD55"/>
          <cell r="AE55">
            <v>0</v>
          </cell>
          <cell r="AF55">
            <v>0</v>
          </cell>
          <cell r="AG55">
            <v>0</v>
          </cell>
          <cell r="AI55">
            <v>0</v>
          </cell>
        </row>
        <row r="56">
          <cell r="E56">
            <v>54</v>
          </cell>
          <cell r="F56" t="str">
            <v>Act</v>
          </cell>
          <cell r="G56">
            <v>0</v>
          </cell>
          <cell r="H56"/>
          <cell r="I56"/>
          <cell r="J56"/>
          <cell r="K56"/>
          <cell r="L56">
            <v>0</v>
          </cell>
          <cell r="O56">
            <v>0</v>
          </cell>
          <cell r="P56">
            <v>0</v>
          </cell>
          <cell r="S56">
            <v>0</v>
          </cell>
          <cell r="T56">
            <v>0</v>
          </cell>
          <cell r="W56">
            <v>0</v>
          </cell>
          <cell r="X56">
            <v>0</v>
          </cell>
          <cell r="AA56">
            <v>0</v>
          </cell>
          <cell r="AB56">
            <v>0</v>
          </cell>
          <cell r="AC56"/>
          <cell r="AD56"/>
          <cell r="AE56">
            <v>0</v>
          </cell>
          <cell r="AF56">
            <v>0</v>
          </cell>
          <cell r="AI56">
            <v>0</v>
          </cell>
        </row>
        <row r="57">
          <cell r="E57">
            <v>54</v>
          </cell>
          <cell r="F57" t="str">
            <v>Act</v>
          </cell>
          <cell r="G57">
            <v>0</v>
          </cell>
          <cell r="H57"/>
          <cell r="I57"/>
          <cell r="J57"/>
          <cell r="K57"/>
          <cell r="L57">
            <v>0</v>
          </cell>
          <cell r="O57">
            <v>0</v>
          </cell>
          <cell r="P57">
            <v>0</v>
          </cell>
          <cell r="S57">
            <v>0</v>
          </cell>
          <cell r="T57">
            <v>0</v>
          </cell>
          <cell r="W57">
            <v>0</v>
          </cell>
          <cell r="X57">
            <v>0</v>
          </cell>
          <cell r="AA57">
            <v>0</v>
          </cell>
          <cell r="AB57">
            <v>0</v>
          </cell>
          <cell r="AC57"/>
          <cell r="AD57"/>
          <cell r="AE57">
            <v>0</v>
          </cell>
          <cell r="AF57">
            <v>0</v>
          </cell>
          <cell r="AI57">
            <v>0</v>
          </cell>
        </row>
        <row r="58">
          <cell r="E58">
            <v>54</v>
          </cell>
          <cell r="F58" t="str">
            <v>Act</v>
          </cell>
          <cell r="G58">
            <v>0</v>
          </cell>
          <cell r="H58"/>
          <cell r="I58"/>
          <cell r="J58"/>
          <cell r="K58"/>
          <cell r="L58">
            <v>0</v>
          </cell>
          <cell r="O58">
            <v>0</v>
          </cell>
          <cell r="P58">
            <v>0</v>
          </cell>
          <cell r="S58">
            <v>0</v>
          </cell>
          <cell r="T58">
            <v>0</v>
          </cell>
          <cell r="W58">
            <v>0</v>
          </cell>
          <cell r="X58">
            <v>0</v>
          </cell>
          <cell r="AA58">
            <v>0</v>
          </cell>
          <cell r="AB58">
            <v>0</v>
          </cell>
          <cell r="AC58"/>
          <cell r="AD58"/>
          <cell r="AE58">
            <v>0</v>
          </cell>
          <cell r="AF58">
            <v>0</v>
          </cell>
          <cell r="AI58">
            <v>0</v>
          </cell>
        </row>
        <row r="59">
          <cell r="E59">
            <v>22</v>
          </cell>
          <cell r="F59" t="str">
            <v>DH</v>
          </cell>
          <cell r="G59">
            <v>0.10951493477640761</v>
          </cell>
          <cell r="H59"/>
          <cell r="I59">
            <v>0</v>
          </cell>
          <cell r="J59"/>
          <cell r="K59"/>
          <cell r="L59">
            <v>109907.81996125523</v>
          </cell>
          <cell r="M59"/>
          <cell r="O59">
            <v>109907.81996125523</v>
          </cell>
          <cell r="P59">
            <v>48391.065282337433</v>
          </cell>
          <cell r="S59">
            <v>48391.065282337433</v>
          </cell>
          <cell r="T59">
            <v>89980.477135606416</v>
          </cell>
          <cell r="W59">
            <v>89980.477135606416</v>
          </cell>
          <cell r="X59">
            <v>41326.49360727099</v>
          </cell>
          <cell r="AA59">
            <v>41326.49360727099</v>
          </cell>
          <cell r="AB59">
            <v>87632.456329744018</v>
          </cell>
          <cell r="AC59"/>
          <cell r="AD59"/>
          <cell r="AE59">
            <v>87632.456329744018</v>
          </cell>
          <cell r="AF59">
            <v>19743.786478955604</v>
          </cell>
          <cell r="AI59">
            <v>19743.786478955604</v>
          </cell>
        </row>
        <row r="60">
          <cell r="E60">
            <v>22</v>
          </cell>
          <cell r="F60" t="str">
            <v>DH</v>
          </cell>
          <cell r="G60">
            <v>0</v>
          </cell>
          <cell r="H60"/>
          <cell r="I60"/>
          <cell r="J60"/>
          <cell r="K60"/>
          <cell r="L60">
            <v>0</v>
          </cell>
          <cell r="O60">
            <v>0</v>
          </cell>
          <cell r="P60">
            <v>0</v>
          </cell>
          <cell r="S60">
            <v>0</v>
          </cell>
          <cell r="T60">
            <v>0</v>
          </cell>
          <cell r="W60">
            <v>0</v>
          </cell>
          <cell r="X60">
            <v>0</v>
          </cell>
          <cell r="AA60">
            <v>0</v>
          </cell>
          <cell r="AB60">
            <v>0</v>
          </cell>
          <cell r="AC60"/>
          <cell r="AD60"/>
          <cell r="AE60">
            <v>0</v>
          </cell>
          <cell r="AF60">
            <v>0</v>
          </cell>
          <cell r="AI60">
            <v>0</v>
          </cell>
        </row>
        <row r="61">
          <cell r="E61">
            <v>22</v>
          </cell>
          <cell r="F61" t="str">
            <v>DH</v>
          </cell>
          <cell r="G61">
            <v>0.11021083809358594</v>
          </cell>
          <cell r="H61"/>
          <cell r="I61"/>
          <cell r="J61"/>
          <cell r="K61"/>
          <cell r="L61">
            <v>1482.5598048577583</v>
          </cell>
          <cell r="O61">
            <v>1482.5598048577583</v>
          </cell>
          <cell r="P61">
            <v>652.44766278053555</v>
          </cell>
          <cell r="S61">
            <v>652.44766278053555</v>
          </cell>
          <cell r="T61">
            <v>1292.9312994140553</v>
          </cell>
          <cell r="W61">
            <v>1292.9312994140553</v>
          </cell>
          <cell r="X61">
            <v>567.20793216437187</v>
          </cell>
          <cell r="AA61">
            <v>567.20793216437187</v>
          </cell>
          <cell r="AB61">
            <v>1216.6125299274947</v>
          </cell>
          <cell r="AC61"/>
          <cell r="AD61"/>
          <cell r="AE61">
            <v>1216.6125299274947</v>
          </cell>
          <cell r="AF61">
            <v>265.35352412453517</v>
          </cell>
          <cell r="AI61">
            <v>265.35352412453517</v>
          </cell>
        </row>
        <row r="62">
          <cell r="E62">
            <v>22</v>
          </cell>
          <cell r="F62" t="str">
            <v>DH</v>
          </cell>
          <cell r="G62">
            <v>0.11021083809358595</v>
          </cell>
          <cell r="H62"/>
          <cell r="I62"/>
          <cell r="J62"/>
          <cell r="K62"/>
          <cell r="L62">
            <v>177.50141133982515</v>
          </cell>
          <cell r="O62">
            <v>177.50141133982515</v>
          </cell>
          <cell r="P62">
            <v>78.115149614505171</v>
          </cell>
          <cell r="S62">
            <v>78.115149614505171</v>
          </cell>
          <cell r="T62">
            <v>154.79789055352649</v>
          </cell>
          <cell r="W62">
            <v>154.79789055352649</v>
          </cell>
          <cell r="X62">
            <v>67.909711400802081</v>
          </cell>
          <cell r="AA62">
            <v>67.909711400802081</v>
          </cell>
          <cell r="AB62">
            <v>145.66052607676394</v>
          </cell>
          <cell r="AC62"/>
          <cell r="AD62"/>
          <cell r="AE62">
            <v>145.66052607676394</v>
          </cell>
          <cell r="AF62">
            <v>31.769797671413549</v>
          </cell>
          <cell r="AI62">
            <v>31.769797671413549</v>
          </cell>
        </row>
        <row r="63">
          <cell r="E63">
            <v>22</v>
          </cell>
          <cell r="F63" t="str">
            <v>DH</v>
          </cell>
          <cell r="G63">
            <v>0.11021083809358595</v>
          </cell>
          <cell r="H63"/>
          <cell r="I63"/>
          <cell r="J63"/>
          <cell r="K63"/>
          <cell r="L63">
            <v>596.78927877276556</v>
          </cell>
          <cell r="O63">
            <v>596.78927877276556</v>
          </cell>
          <cell r="P63">
            <v>262.63613031457453</v>
          </cell>
          <cell r="S63">
            <v>262.63613031457453</v>
          </cell>
          <cell r="T63">
            <v>520.45626432862798</v>
          </cell>
          <cell r="W63">
            <v>520.45626432862798</v>
          </cell>
          <cell r="X63">
            <v>228.32374899240193</v>
          </cell>
          <cell r="AA63">
            <v>228.32374899240193</v>
          </cell>
          <cell r="AB63">
            <v>489.73492462315869</v>
          </cell>
          <cell r="AC63"/>
          <cell r="AD63"/>
          <cell r="AE63">
            <v>489.73492462315869</v>
          </cell>
          <cell r="AF63">
            <v>106.81534583846792</v>
          </cell>
          <cell r="AI63">
            <v>106.81534583846792</v>
          </cell>
        </row>
        <row r="64">
          <cell r="E64">
            <v>24</v>
          </cell>
          <cell r="F64" t="str">
            <v>DH</v>
          </cell>
          <cell r="G64">
            <v>0.1095159744420213</v>
          </cell>
          <cell r="H64"/>
          <cell r="I64"/>
          <cell r="J64"/>
          <cell r="K64"/>
          <cell r="L64">
            <v>10652.264468431229</v>
          </cell>
          <cell r="O64">
            <v>10652.264468431229</v>
          </cell>
          <cell r="P64">
            <v>4690.0581883060158</v>
          </cell>
          <cell r="S64">
            <v>4690.0581883060158</v>
          </cell>
          <cell r="T64">
            <v>8721.7428828797492</v>
          </cell>
          <cell r="W64">
            <v>8721.7428828797492</v>
          </cell>
          <cell r="X64">
            <v>4005.4661946963706</v>
          </cell>
          <cell r="AA64">
            <v>4005.4661946963706</v>
          </cell>
          <cell r="AB64">
            <v>8493.7011938091073</v>
          </cell>
          <cell r="AC64"/>
          <cell r="AD64"/>
          <cell r="AE64">
            <v>8493.7011938091073</v>
          </cell>
          <cell r="AF64">
            <v>1913.5572520630421</v>
          </cell>
          <cell r="AI64">
            <v>1913.5572520630421</v>
          </cell>
        </row>
        <row r="65">
          <cell r="E65">
            <v>25</v>
          </cell>
          <cell r="F65" t="str">
            <v>DH</v>
          </cell>
          <cell r="G65">
            <v>0</v>
          </cell>
          <cell r="H65"/>
          <cell r="I65"/>
          <cell r="J65"/>
          <cell r="K65"/>
          <cell r="L65">
            <v>0</v>
          </cell>
          <cell r="O65">
            <v>0</v>
          </cell>
          <cell r="P65">
            <v>0</v>
          </cell>
          <cell r="S65">
            <v>0</v>
          </cell>
          <cell r="T65">
            <v>0</v>
          </cell>
          <cell r="W65">
            <v>0</v>
          </cell>
          <cell r="X65">
            <v>0</v>
          </cell>
          <cell r="AA65">
            <v>0</v>
          </cell>
          <cell r="AB65">
            <v>0</v>
          </cell>
          <cell r="AC65"/>
          <cell r="AD65"/>
          <cell r="AE65">
            <v>0</v>
          </cell>
          <cell r="AF65">
            <v>0</v>
          </cell>
          <cell r="AI65">
            <v>0</v>
          </cell>
        </row>
        <row r="66">
          <cell r="E66">
            <v>22</v>
          </cell>
          <cell r="F66" t="str">
            <v>DH</v>
          </cell>
          <cell r="G66">
            <v>0</v>
          </cell>
          <cell r="H66"/>
          <cell r="I66"/>
          <cell r="J66"/>
          <cell r="K66"/>
          <cell r="L66">
            <v>0</v>
          </cell>
          <cell r="O66">
            <v>0</v>
          </cell>
          <cell r="P66">
            <v>0</v>
          </cell>
          <cell r="S66">
            <v>0</v>
          </cell>
          <cell r="T66">
            <v>0</v>
          </cell>
          <cell r="W66">
            <v>0</v>
          </cell>
          <cell r="X66">
            <v>0</v>
          </cell>
          <cell r="AA66">
            <v>0</v>
          </cell>
          <cell r="AB66">
            <v>0</v>
          </cell>
          <cell r="AC66"/>
          <cell r="AD66"/>
          <cell r="AE66">
            <v>0</v>
          </cell>
          <cell r="AF66">
            <v>0</v>
          </cell>
          <cell r="AI66">
            <v>0</v>
          </cell>
        </row>
        <row r="67">
          <cell r="E67">
            <v>22</v>
          </cell>
          <cell r="F67" t="str">
            <v>DH</v>
          </cell>
          <cell r="G67">
            <v>0</v>
          </cell>
          <cell r="H67"/>
          <cell r="I67"/>
          <cell r="J67"/>
          <cell r="K67"/>
          <cell r="L67">
            <v>0</v>
          </cell>
          <cell r="O67">
            <v>0</v>
          </cell>
          <cell r="P67">
            <v>0</v>
          </cell>
          <cell r="S67">
            <v>0</v>
          </cell>
          <cell r="T67">
            <v>0</v>
          </cell>
          <cell r="W67">
            <v>0</v>
          </cell>
          <cell r="X67">
            <v>0</v>
          </cell>
          <cell r="AA67">
            <v>0</v>
          </cell>
          <cell r="AB67">
            <v>0</v>
          </cell>
          <cell r="AC67"/>
          <cell r="AD67"/>
          <cell r="AE67">
            <v>0</v>
          </cell>
          <cell r="AF67">
            <v>0</v>
          </cell>
          <cell r="AI67">
            <v>0</v>
          </cell>
        </row>
        <row r="68">
          <cell r="E68">
            <v>29</v>
          </cell>
          <cell r="F68" t="str">
            <v>DH</v>
          </cell>
          <cell r="G68">
            <v>0.11021083809358595</v>
          </cell>
          <cell r="H68"/>
          <cell r="I68"/>
          <cell r="J68"/>
          <cell r="K68"/>
          <cell r="L68">
            <v>1335.5098793396542</v>
          </cell>
          <cell r="O68">
            <v>1335.5098793396542</v>
          </cell>
          <cell r="P68">
            <v>587.73365940477038</v>
          </cell>
          <cell r="S68">
            <v>587.73365940477038</v>
          </cell>
          <cell r="T68">
            <v>1164.6899626019435</v>
          </cell>
          <cell r="W68">
            <v>1164.6899626019435</v>
          </cell>
          <cell r="X68">
            <v>510.94855975676012</v>
          </cell>
          <cell r="AA68">
            <v>510.94855975676012</v>
          </cell>
          <cell r="AB68">
            <v>1095.9409851277253</v>
          </cell>
          <cell r="AC68"/>
          <cell r="AD68"/>
          <cell r="AE68">
            <v>1095.9409851277253</v>
          </cell>
          <cell r="AF68">
            <v>239.03403547346988</v>
          </cell>
          <cell r="AI68">
            <v>239.03403547346988</v>
          </cell>
        </row>
        <row r="69">
          <cell r="E69">
            <v>29</v>
          </cell>
          <cell r="F69" t="str">
            <v>DH</v>
          </cell>
          <cell r="G69">
            <v>0</v>
          </cell>
          <cell r="H69"/>
          <cell r="I69"/>
          <cell r="J69"/>
          <cell r="K69"/>
          <cell r="L69">
            <v>0</v>
          </cell>
          <cell r="O69">
            <v>0</v>
          </cell>
          <cell r="P69">
            <v>0</v>
          </cell>
          <cell r="S69">
            <v>0</v>
          </cell>
          <cell r="T69">
            <v>0</v>
          </cell>
          <cell r="W69">
            <v>0</v>
          </cell>
          <cell r="X69">
            <v>0</v>
          </cell>
          <cell r="AA69">
            <v>0</v>
          </cell>
          <cell r="AB69">
            <v>0</v>
          </cell>
          <cell r="AC69"/>
          <cell r="AD69"/>
          <cell r="AE69">
            <v>0</v>
          </cell>
          <cell r="AF69">
            <v>0</v>
          </cell>
          <cell r="AI69">
            <v>0</v>
          </cell>
        </row>
        <row r="70">
          <cell r="E70">
            <v>28</v>
          </cell>
          <cell r="F70" t="str">
            <v>DH</v>
          </cell>
          <cell r="G70">
            <v>0.11021083809358598</v>
          </cell>
          <cell r="H70"/>
          <cell r="I70"/>
          <cell r="J70"/>
          <cell r="K70"/>
          <cell r="L70">
            <v>1591.4138132291298</v>
          </cell>
          <cell r="O70">
            <v>1591.4138132291298</v>
          </cell>
          <cell r="P70">
            <v>700.35233624698526</v>
          </cell>
          <cell r="S70">
            <v>700.35233624698526</v>
          </cell>
          <cell r="T70">
            <v>1387.8622114952236</v>
          </cell>
          <cell r="W70">
            <v>1387.8622114952236</v>
          </cell>
          <cell r="X70">
            <v>608.85404775028087</v>
          </cell>
          <cell r="AA70">
            <v>608.85404775028087</v>
          </cell>
          <cell r="AB70">
            <v>1305.9398879763992</v>
          </cell>
          <cell r="AC70"/>
          <cell r="AD70"/>
          <cell r="AE70">
            <v>1305.9398879763992</v>
          </cell>
          <cell r="AF70">
            <v>284.83657947365572</v>
          </cell>
          <cell r="AI70">
            <v>284.83657947365572</v>
          </cell>
        </row>
        <row r="71">
          <cell r="E71">
            <v>26</v>
          </cell>
          <cell r="F71" t="str">
            <v>DH</v>
          </cell>
          <cell r="G71">
            <v>0</v>
          </cell>
          <cell r="H71"/>
          <cell r="I71"/>
          <cell r="J71"/>
          <cell r="K71"/>
          <cell r="L71">
            <v>0</v>
          </cell>
          <cell r="O71">
            <v>0</v>
          </cell>
          <cell r="P71">
            <v>0</v>
          </cell>
          <cell r="S71">
            <v>0</v>
          </cell>
          <cell r="T71">
            <v>0</v>
          </cell>
          <cell r="W71">
            <v>0</v>
          </cell>
          <cell r="X71">
            <v>0</v>
          </cell>
          <cell r="AA71">
            <v>0</v>
          </cell>
          <cell r="AB71">
            <v>0</v>
          </cell>
          <cell r="AC71"/>
          <cell r="AD71"/>
          <cell r="AE71">
            <v>0</v>
          </cell>
          <cell r="AF71">
            <v>0</v>
          </cell>
          <cell r="AI71">
            <v>0</v>
          </cell>
        </row>
        <row r="72">
          <cell r="E72">
            <v>25</v>
          </cell>
          <cell r="F72" t="str">
            <v>DH</v>
          </cell>
          <cell r="G72">
            <v>0.11021083809358592</v>
          </cell>
          <cell r="H72"/>
          <cell r="I72"/>
          <cell r="J72"/>
          <cell r="K72"/>
          <cell r="L72">
            <v>25651.866155037507</v>
          </cell>
          <cell r="O72">
            <v>25651.866155037507</v>
          </cell>
          <cell r="P72">
            <v>11288.920732893537</v>
          </cell>
          <cell r="S72">
            <v>11288.920732893537</v>
          </cell>
          <cell r="T72">
            <v>22370.834911047743</v>
          </cell>
          <cell r="W72">
            <v>22370.834911047743</v>
          </cell>
          <cell r="X72">
            <v>9814.0674732187472</v>
          </cell>
          <cell r="AA72">
            <v>9814.0674732187472</v>
          </cell>
          <cell r="AB72">
            <v>21050.335829950476</v>
          </cell>
          <cell r="AC72"/>
          <cell r="AD72"/>
          <cell r="AE72">
            <v>21050.335829950476</v>
          </cell>
          <cell r="AF72">
            <v>4591.2570017795406</v>
          </cell>
          <cell r="AI72">
            <v>4591.2570017795406</v>
          </cell>
        </row>
        <row r="73">
          <cell r="E73">
            <v>26</v>
          </cell>
          <cell r="F73" t="str">
            <v>DH</v>
          </cell>
          <cell r="G73">
            <v>0.11021083809358595</v>
          </cell>
          <cell r="H73"/>
          <cell r="I73"/>
          <cell r="J73"/>
          <cell r="K73"/>
          <cell r="L73">
            <v>9433.5493730845938</v>
          </cell>
          <cell r="O73">
            <v>9433.5493730845938</v>
          </cell>
          <cell r="P73">
            <v>4151.5338673196738</v>
          </cell>
          <cell r="S73">
            <v>4151.5338673196738</v>
          </cell>
          <cell r="T73">
            <v>8226.9404640975845</v>
          </cell>
          <cell r="W73">
            <v>8226.9404640975845</v>
          </cell>
          <cell r="X73">
            <v>3609.1522347668065</v>
          </cell>
          <cell r="AA73">
            <v>3609.1522347668065</v>
          </cell>
          <cell r="AB73">
            <v>7741.3230355894602</v>
          </cell>
          <cell r="AC73"/>
          <cell r="AD73"/>
          <cell r="AE73">
            <v>7741.3230355894602</v>
          </cell>
          <cell r="AF73">
            <v>1688.4482925739135</v>
          </cell>
          <cell r="AI73">
            <v>1688.4482925739135</v>
          </cell>
        </row>
        <row r="74">
          <cell r="E74">
            <v>22</v>
          </cell>
          <cell r="F74" t="str">
            <v>DH</v>
          </cell>
          <cell r="G74">
            <v>0</v>
          </cell>
          <cell r="H74"/>
          <cell r="I74"/>
          <cell r="J74"/>
          <cell r="K74"/>
          <cell r="L74">
            <v>0</v>
          </cell>
          <cell r="O74">
            <v>0</v>
          </cell>
          <cell r="P74">
            <v>0</v>
          </cell>
          <cell r="S74">
            <v>0</v>
          </cell>
          <cell r="T74">
            <v>0</v>
          </cell>
          <cell r="W74">
            <v>0</v>
          </cell>
          <cell r="X74">
            <v>0</v>
          </cell>
          <cell r="AA74">
            <v>0</v>
          </cell>
          <cell r="AB74">
            <v>0</v>
          </cell>
          <cell r="AC74"/>
          <cell r="AD74"/>
          <cell r="AE74">
            <v>0</v>
          </cell>
          <cell r="AF74">
            <v>0</v>
          </cell>
          <cell r="AI74">
            <v>0</v>
          </cell>
        </row>
        <row r="75">
          <cell r="E75">
            <v>22</v>
          </cell>
          <cell r="F75" t="str">
            <v>DH</v>
          </cell>
          <cell r="G75">
            <v>0</v>
          </cell>
          <cell r="H75"/>
          <cell r="I75"/>
          <cell r="J75"/>
          <cell r="K75"/>
          <cell r="L75">
            <v>0</v>
          </cell>
          <cell r="O75">
            <v>0</v>
          </cell>
          <cell r="P75">
            <v>0</v>
          </cell>
          <cell r="S75">
            <v>0</v>
          </cell>
          <cell r="T75">
            <v>0</v>
          </cell>
          <cell r="W75">
            <v>0</v>
          </cell>
          <cell r="X75">
            <v>0</v>
          </cell>
          <cell r="AA75">
            <v>0</v>
          </cell>
          <cell r="AB75">
            <v>0</v>
          </cell>
          <cell r="AC75"/>
          <cell r="AD75"/>
          <cell r="AE75">
            <v>0</v>
          </cell>
          <cell r="AF75">
            <v>0</v>
          </cell>
          <cell r="AI75">
            <v>0</v>
          </cell>
        </row>
        <row r="76">
          <cell r="E76">
            <v>54</v>
          </cell>
          <cell r="F76" t="str">
            <v>DH</v>
          </cell>
          <cell r="G76">
            <v>0</v>
          </cell>
          <cell r="H76"/>
          <cell r="I76"/>
          <cell r="J76"/>
          <cell r="K76"/>
          <cell r="L76">
            <v>0</v>
          </cell>
          <cell r="O76">
            <v>0</v>
          </cell>
          <cell r="P76">
            <v>0</v>
          </cell>
          <cell r="Q76"/>
          <cell r="R76"/>
          <cell r="S76">
            <v>0</v>
          </cell>
          <cell r="T76">
            <v>0</v>
          </cell>
          <cell r="W76">
            <v>0</v>
          </cell>
          <cell r="X76">
            <v>0</v>
          </cell>
          <cell r="AA76">
            <v>0</v>
          </cell>
          <cell r="AB76">
            <v>0</v>
          </cell>
          <cell r="AC76"/>
          <cell r="AD76"/>
          <cell r="AE76">
            <v>0</v>
          </cell>
          <cell r="AF76">
            <v>0</v>
          </cell>
          <cell r="AI76">
            <v>0</v>
          </cell>
        </row>
        <row r="77">
          <cell r="E77">
            <v>35</v>
          </cell>
          <cell r="F77" t="str">
            <v>TH</v>
          </cell>
          <cell r="G77">
            <v>0.12882804907631315</v>
          </cell>
          <cell r="H77"/>
          <cell r="I77"/>
          <cell r="J77"/>
          <cell r="K77"/>
          <cell r="L77">
            <v>28308.571266994888</v>
          </cell>
          <cell r="O77">
            <v>28308.571266994888</v>
          </cell>
          <cell r="P77">
            <v>17720.604324025688</v>
          </cell>
          <cell r="Q77"/>
          <cell r="R77"/>
          <cell r="S77">
            <v>17720.604324025688</v>
          </cell>
          <cell r="T77">
            <v>62453.897148033037</v>
          </cell>
          <cell r="W77">
            <v>62453.897148033037</v>
          </cell>
          <cell r="X77">
            <v>3554.3353707004512</v>
          </cell>
          <cell r="AA77">
            <v>3554.3353707004512</v>
          </cell>
          <cell r="AB77">
            <v>17887.560807564998</v>
          </cell>
          <cell r="AC77"/>
          <cell r="AD77"/>
          <cell r="AE77">
            <v>17887.560807564998</v>
          </cell>
          <cell r="AF77">
            <v>3805.7526649593115</v>
          </cell>
          <cell r="AI77">
            <v>3805.7526649593115</v>
          </cell>
        </row>
        <row r="78">
          <cell r="E78">
            <v>47</v>
          </cell>
          <cell r="F78" t="str">
            <v>TH</v>
          </cell>
          <cell r="G78">
            <v>0.10792364863995128</v>
          </cell>
          <cell r="H78"/>
          <cell r="I78"/>
          <cell r="J78"/>
          <cell r="K78"/>
          <cell r="L78">
            <v>1693.6444886329532</v>
          </cell>
          <cell r="O78">
            <v>1693.6444886329532</v>
          </cell>
          <cell r="P78">
            <v>857.52611642594184</v>
          </cell>
          <cell r="Q78"/>
          <cell r="R78"/>
          <cell r="S78">
            <v>857.52611642594184</v>
          </cell>
          <cell r="T78">
            <v>1536.5797541106647</v>
          </cell>
          <cell r="W78">
            <v>1536.5797541106647</v>
          </cell>
          <cell r="X78">
            <v>738.44928901078606</v>
          </cell>
          <cell r="AA78">
            <v>738.44928901078606</v>
          </cell>
          <cell r="AB78">
            <v>1376.0454654445682</v>
          </cell>
          <cell r="AC78"/>
          <cell r="AD78"/>
          <cell r="AE78">
            <v>1376.0454654445682</v>
          </cell>
          <cell r="AF78">
            <v>370.68929673727695</v>
          </cell>
          <cell r="AI78">
            <v>370.68929673727695</v>
          </cell>
        </row>
        <row r="79">
          <cell r="E79">
            <v>23</v>
          </cell>
          <cell r="F79" t="str">
            <v>TH</v>
          </cell>
          <cell r="G79">
            <v>0</v>
          </cell>
          <cell r="H79"/>
          <cell r="I79"/>
          <cell r="J79"/>
          <cell r="K79"/>
          <cell r="L79">
            <v>0</v>
          </cell>
          <cell r="O79">
            <v>0</v>
          </cell>
          <cell r="P79">
            <v>0</v>
          </cell>
          <cell r="Q79"/>
          <cell r="R79"/>
          <cell r="S79">
            <v>0</v>
          </cell>
          <cell r="T79">
            <v>0</v>
          </cell>
          <cell r="W79">
            <v>0</v>
          </cell>
          <cell r="X79">
            <v>0</v>
          </cell>
          <cell r="AA79">
            <v>0</v>
          </cell>
          <cell r="AB79">
            <v>0</v>
          </cell>
          <cell r="AC79"/>
          <cell r="AD79"/>
          <cell r="AE79">
            <v>0</v>
          </cell>
          <cell r="AF79">
            <v>0</v>
          </cell>
          <cell r="AI79">
            <v>0</v>
          </cell>
        </row>
        <row r="80">
          <cell r="E80">
            <v>23</v>
          </cell>
          <cell r="F80" t="str">
            <v>TH</v>
          </cell>
          <cell r="G80">
            <v>0.10792364863995127</v>
          </cell>
          <cell r="H80"/>
          <cell r="I80"/>
          <cell r="J80"/>
          <cell r="K80"/>
          <cell r="L80">
            <v>8534.5623532853224</v>
          </cell>
          <cell r="O80">
            <v>8534.5623532853224</v>
          </cell>
          <cell r="P80">
            <v>4321.219806947277</v>
          </cell>
          <cell r="Q80"/>
          <cell r="R80"/>
          <cell r="S80">
            <v>4321.219806947277</v>
          </cell>
          <cell r="T80">
            <v>7743.0864684231665</v>
          </cell>
          <cell r="W80">
            <v>7743.0864684231665</v>
          </cell>
          <cell r="X80">
            <v>3721.1714407011009</v>
          </cell>
          <cell r="AA80">
            <v>3721.1714407011009</v>
          </cell>
          <cell r="AB80">
            <v>6934.1269107021772</v>
          </cell>
          <cell r="AC80"/>
          <cell r="AD80"/>
          <cell r="AE80">
            <v>6934.1269107021772</v>
          </cell>
          <cell r="AF80">
            <v>1867.9663518129312</v>
          </cell>
          <cell r="AI80">
            <v>1867.9663518129312</v>
          </cell>
        </row>
        <row r="81">
          <cell r="E81">
            <v>23</v>
          </cell>
          <cell r="F81" t="str">
            <v>TH</v>
          </cell>
          <cell r="G81">
            <v>0.10792364863995128</v>
          </cell>
          <cell r="H81"/>
          <cell r="I81"/>
          <cell r="J81"/>
          <cell r="K81"/>
          <cell r="L81">
            <v>1395.9778677125855</v>
          </cell>
          <cell r="O81">
            <v>1395.9778677125855</v>
          </cell>
          <cell r="P81">
            <v>706.81154607740905</v>
          </cell>
          <cell r="Q81"/>
          <cell r="R81"/>
          <cell r="S81">
            <v>706.81154607740905</v>
          </cell>
          <cell r="T81">
            <v>1266.5180580164872</v>
          </cell>
          <cell r="W81">
            <v>1266.5180580164872</v>
          </cell>
          <cell r="X81">
            <v>608.66307587327401</v>
          </cell>
          <cell r="AA81">
            <v>608.66307587327401</v>
          </cell>
          <cell r="AB81">
            <v>1134.1984859392674</v>
          </cell>
          <cell r="AC81"/>
          <cell r="AD81"/>
          <cell r="AE81">
            <v>1134.1984859392674</v>
          </cell>
          <cell r="AF81">
            <v>305.53877009977901</v>
          </cell>
          <cell r="AI81">
            <v>305.53877009977901</v>
          </cell>
        </row>
        <row r="82">
          <cell r="E82">
            <v>23</v>
          </cell>
          <cell r="F82" t="str">
            <v>TH</v>
          </cell>
          <cell r="G82">
            <v>0.10792364863995128</v>
          </cell>
          <cell r="H82"/>
          <cell r="I82"/>
          <cell r="J82"/>
          <cell r="K82"/>
          <cell r="L82">
            <v>161.71473786331126</v>
          </cell>
          <cell r="O82">
            <v>161.71473786331126</v>
          </cell>
          <cell r="P82">
            <v>81.879409793195435</v>
          </cell>
          <cell r="S82">
            <v>81.879409793195435</v>
          </cell>
          <cell r="T82">
            <v>146.71768119568429</v>
          </cell>
          <cell r="W82">
            <v>146.71768119568429</v>
          </cell>
          <cell r="X82">
            <v>70.509563252036259</v>
          </cell>
          <cell r="AA82">
            <v>70.509563252036259</v>
          </cell>
          <cell r="AB82">
            <v>131.38934010406268</v>
          </cell>
          <cell r="AC82"/>
          <cell r="AD82"/>
          <cell r="AE82">
            <v>131.38934010406268</v>
          </cell>
          <cell r="AF82">
            <v>35.394631431174815</v>
          </cell>
          <cell r="AI82">
            <v>35.394631431174815</v>
          </cell>
        </row>
        <row r="83">
          <cell r="E83">
            <v>23</v>
          </cell>
          <cell r="F83" t="str">
            <v>TH</v>
          </cell>
          <cell r="G83">
            <v>0.10792364863995126</v>
          </cell>
          <cell r="H83"/>
          <cell r="I83"/>
          <cell r="J83"/>
          <cell r="K83"/>
          <cell r="L83">
            <v>8.3425886202692592</v>
          </cell>
          <cell r="O83">
            <v>8.3425886202692592</v>
          </cell>
          <cell r="P83">
            <v>4.2240196620326067</v>
          </cell>
          <cell r="S83">
            <v>4.2240196620326067</v>
          </cell>
          <cell r="T83">
            <v>7.5689159424046704</v>
          </cell>
          <cell r="W83">
            <v>7.5689159424046704</v>
          </cell>
          <cell r="X83">
            <v>3.6374685930220796</v>
          </cell>
          <cell r="AA83">
            <v>3.6374685930220796</v>
          </cell>
          <cell r="AB83">
            <v>6.7781528638616599</v>
          </cell>
          <cell r="AC83"/>
          <cell r="AD83"/>
          <cell r="AE83">
            <v>6.7781528638616599</v>
          </cell>
          <cell r="AF83">
            <v>1.8259489103951079</v>
          </cell>
          <cell r="AI83">
            <v>1.8259489103951079</v>
          </cell>
        </row>
        <row r="84">
          <cell r="E84">
            <v>23</v>
          </cell>
          <cell r="F84" t="str">
            <v>TH</v>
          </cell>
          <cell r="G84">
            <v>0.10792364863995128</v>
          </cell>
          <cell r="H84"/>
          <cell r="I84"/>
          <cell r="J84"/>
          <cell r="K84"/>
          <cell r="L84">
            <v>-26.362580040050855</v>
          </cell>
          <cell r="O84">
            <v>-26.362580040050855</v>
          </cell>
          <cell r="P84">
            <v>-13.347902132023036</v>
          </cell>
          <cell r="S84">
            <v>-13.347902132023036</v>
          </cell>
          <cell r="T84">
            <v>-23.917774377998761</v>
          </cell>
          <cell r="W84">
            <v>-23.917774377998761</v>
          </cell>
          <cell r="X84">
            <v>-11.494400753949771</v>
          </cell>
          <cell r="AA84">
            <v>-11.494400753949771</v>
          </cell>
          <cell r="AB84">
            <v>-21.418963049802848</v>
          </cell>
          <cell r="AC84"/>
          <cell r="AD84"/>
          <cell r="AE84">
            <v>-21.418963049802848</v>
          </cell>
          <cell r="AF84">
            <v>-5.7699985568485408</v>
          </cell>
          <cell r="AI84">
            <v>-5.7699985568485408</v>
          </cell>
        </row>
        <row r="85">
          <cell r="E85">
            <v>24</v>
          </cell>
          <cell r="F85" t="str">
            <v>TH</v>
          </cell>
          <cell r="G85">
            <v>0.10792364863995127</v>
          </cell>
          <cell r="H85"/>
          <cell r="I85"/>
          <cell r="J85"/>
          <cell r="K85"/>
          <cell r="L85">
            <v>934.41212542913149</v>
          </cell>
          <cell r="O85">
            <v>934.41212542913149</v>
          </cell>
          <cell r="P85">
            <v>473.11156883185015</v>
          </cell>
          <cell r="S85">
            <v>473.11156883185015</v>
          </cell>
          <cell r="T85">
            <v>847.75687198016487</v>
          </cell>
          <cell r="W85">
            <v>847.75687198016487</v>
          </cell>
          <cell r="X85">
            <v>407.41488210619377</v>
          </cell>
          <cell r="AA85">
            <v>407.41488210619377</v>
          </cell>
          <cell r="AB85">
            <v>759.18740720552387</v>
          </cell>
          <cell r="AC85"/>
          <cell r="AD85"/>
          <cell r="AE85">
            <v>759.18740720552387</v>
          </cell>
          <cell r="AF85">
            <v>204.51551430234994</v>
          </cell>
          <cell r="AI85">
            <v>204.51551430234994</v>
          </cell>
        </row>
        <row r="86">
          <cell r="E86">
            <v>25</v>
          </cell>
          <cell r="F86" t="str">
            <v>TH</v>
          </cell>
          <cell r="G86">
            <v>0.10792364863995127</v>
          </cell>
          <cell r="H86"/>
          <cell r="I86"/>
          <cell r="J86"/>
          <cell r="K86"/>
          <cell r="L86">
            <v>1984.9132433137609</v>
          </cell>
          <cell r="O86">
            <v>1984.9132433137609</v>
          </cell>
          <cell r="P86">
            <v>1005.001318992957</v>
          </cell>
          <cell r="S86">
            <v>1005.001318992957</v>
          </cell>
          <cell r="T86">
            <v>1800.836907516458</v>
          </cell>
          <cell r="W86">
            <v>1800.836907516458</v>
          </cell>
          <cell r="X86">
            <v>865.44595581345709</v>
          </cell>
          <cell r="AA86">
            <v>865.44595581345709</v>
          </cell>
          <cell r="AB86">
            <v>1612.6943323078385</v>
          </cell>
          <cell r="AC86"/>
          <cell r="AD86"/>
          <cell r="AE86">
            <v>1612.6943323078385</v>
          </cell>
          <cell r="AF86">
            <v>434.43951737615521</v>
          </cell>
          <cell r="AI86">
            <v>434.43951737615521</v>
          </cell>
        </row>
        <row r="87">
          <cell r="E87">
            <v>23</v>
          </cell>
          <cell r="F87" t="str">
            <v>TH</v>
          </cell>
          <cell r="G87">
            <v>0.10792364863995127</v>
          </cell>
          <cell r="H87"/>
          <cell r="I87"/>
          <cell r="J87"/>
          <cell r="K87"/>
          <cell r="L87">
            <v>602.61659979251829</v>
          </cell>
          <cell r="O87">
            <v>602.61659979251829</v>
          </cell>
          <cell r="P87">
            <v>305.11685066267552</v>
          </cell>
          <cell r="S87">
            <v>305.11685066267552</v>
          </cell>
          <cell r="T87">
            <v>546.73130810327245</v>
          </cell>
          <cell r="W87">
            <v>546.73130810327245</v>
          </cell>
          <cell r="X87">
            <v>262.74805760568518</v>
          </cell>
          <cell r="AA87">
            <v>262.74805760568518</v>
          </cell>
          <cell r="AB87">
            <v>489.61151239918161</v>
          </cell>
          <cell r="AC87"/>
          <cell r="AD87"/>
          <cell r="AE87">
            <v>489.61151239918161</v>
          </cell>
          <cell r="AF87">
            <v>131.89516753873448</v>
          </cell>
          <cell r="AI87">
            <v>131.89516753873448</v>
          </cell>
        </row>
        <row r="88">
          <cell r="E88">
            <v>23</v>
          </cell>
          <cell r="F88" t="str">
            <v>TH</v>
          </cell>
          <cell r="G88">
            <v>0.10792364863995128</v>
          </cell>
          <cell r="H88"/>
          <cell r="I88"/>
          <cell r="J88"/>
          <cell r="K88"/>
          <cell r="L88">
            <v>212.52160528932521</v>
          </cell>
          <cell r="O88">
            <v>212.52160528932521</v>
          </cell>
          <cell r="P88">
            <v>107.60394407651722</v>
          </cell>
          <cell r="S88">
            <v>107.60394407651722</v>
          </cell>
          <cell r="T88">
            <v>192.81283539159932</v>
          </cell>
          <cell r="W88">
            <v>192.81283539159932</v>
          </cell>
          <cell r="X88">
            <v>92.661966179222361</v>
          </cell>
          <cell r="AA88">
            <v>92.661966179222361</v>
          </cell>
          <cell r="AB88">
            <v>172.66869949987108</v>
          </cell>
          <cell r="AC88"/>
          <cell r="AD88"/>
          <cell r="AE88">
            <v>172.66869949987108</v>
          </cell>
          <cell r="AF88">
            <v>46.514770328078093</v>
          </cell>
          <cell r="AI88">
            <v>46.514770328078093</v>
          </cell>
        </row>
        <row r="89">
          <cell r="E89">
            <v>29</v>
          </cell>
          <cell r="F89" t="str">
            <v>TH</v>
          </cell>
          <cell r="G89">
            <v>0.10792364863995128</v>
          </cell>
          <cell r="H89"/>
          <cell r="I89"/>
          <cell r="J89"/>
          <cell r="K89"/>
          <cell r="L89">
            <v>7.6540469728097031</v>
          </cell>
          <cell r="O89">
            <v>7.6540469728097031</v>
          </cell>
          <cell r="P89">
            <v>3.8753972392595157</v>
          </cell>
          <cell r="S89">
            <v>3.8753972392595157</v>
          </cell>
          <cell r="T89">
            <v>6.9442280799582052</v>
          </cell>
          <cell r="W89">
            <v>6.9442280799582052</v>
          </cell>
          <cell r="X89">
            <v>3.3372561851446574</v>
          </cell>
          <cell r="AA89">
            <v>3.3372561851446574</v>
          </cell>
          <cell r="AB89">
            <v>6.2187293141642783</v>
          </cell>
          <cell r="AC89"/>
          <cell r="AD89"/>
          <cell r="AE89">
            <v>6.2187293141642783</v>
          </cell>
          <cell r="AF89">
            <v>1.6752472603238318</v>
          </cell>
          <cell r="AI89">
            <v>1.6752472603238318</v>
          </cell>
        </row>
        <row r="90">
          <cell r="E90">
            <v>28</v>
          </cell>
          <cell r="F90" t="str">
            <v>TH</v>
          </cell>
          <cell r="G90">
            <v>0.10792364863995128</v>
          </cell>
          <cell r="H90"/>
          <cell r="I90"/>
          <cell r="J90"/>
          <cell r="K90"/>
          <cell r="L90">
            <v>72.904491521096347</v>
          </cell>
          <cell r="O90">
            <v>72.904491521096347</v>
          </cell>
          <cell r="P90">
            <v>36.913003823225942</v>
          </cell>
          <cell r="S90">
            <v>36.913003823225942</v>
          </cell>
          <cell r="T90">
            <v>66.143494934684014</v>
          </cell>
          <cell r="W90">
            <v>66.143494934684014</v>
          </cell>
          <cell r="X90">
            <v>31.787231789654452</v>
          </cell>
          <cell r="AA90">
            <v>31.787231789654452</v>
          </cell>
          <cell r="AB90">
            <v>59.233148185143065</v>
          </cell>
          <cell r="AC90"/>
          <cell r="AD90"/>
          <cell r="AE90">
            <v>59.233148185143065</v>
          </cell>
          <cell r="AF90">
            <v>15.956663203124448</v>
          </cell>
          <cell r="AI90">
            <v>15.956663203124448</v>
          </cell>
        </row>
        <row r="91">
          <cell r="E91">
            <v>26</v>
          </cell>
          <cell r="F91" t="str">
            <v>TH</v>
          </cell>
          <cell r="G91">
            <v>0.10792364863995127</v>
          </cell>
          <cell r="H91"/>
          <cell r="I91"/>
          <cell r="J91"/>
          <cell r="K91"/>
          <cell r="L91">
            <v>207.04720204629956</v>
          </cell>
          <cell r="O91">
            <v>207.04720204629956</v>
          </cell>
          <cell r="P91">
            <v>104.83214410063768</v>
          </cell>
          <cell r="S91">
            <v>104.83214410063768</v>
          </cell>
          <cell r="T91">
            <v>187.84611584359033</v>
          </cell>
          <cell r="W91">
            <v>187.84611584359033</v>
          </cell>
          <cell r="X91">
            <v>90.275060775105572</v>
          </cell>
          <cell r="AA91">
            <v>90.275060775105572</v>
          </cell>
          <cell r="AB91">
            <v>168.22087836081911</v>
          </cell>
          <cell r="AC91"/>
          <cell r="AD91"/>
          <cell r="AE91">
            <v>168.22087836081911</v>
          </cell>
          <cell r="AF91">
            <v>45.316583399337567</v>
          </cell>
          <cell r="AI91">
            <v>45.316583399337567</v>
          </cell>
        </row>
        <row r="92">
          <cell r="E92">
            <v>31</v>
          </cell>
          <cell r="F92" t="str">
            <v>TH</v>
          </cell>
          <cell r="G92">
            <v>0.10792364863995128</v>
          </cell>
          <cell r="H92"/>
          <cell r="I92"/>
          <cell r="J92"/>
          <cell r="K92"/>
          <cell r="L92">
            <v>9337.6753495451612</v>
          </cell>
          <cell r="O92">
            <v>9337.6753495451612</v>
          </cell>
          <cell r="P92">
            <v>4727.8519976792213</v>
          </cell>
          <cell r="S92">
            <v>4727.8519976792213</v>
          </cell>
          <cell r="T92">
            <v>8471.7205935884194</v>
          </cell>
          <cell r="W92">
            <v>8471.7205935884194</v>
          </cell>
          <cell r="X92">
            <v>4071.3383293626612</v>
          </cell>
          <cell r="AA92">
            <v>4071.3383293626612</v>
          </cell>
          <cell r="AB92">
            <v>7586.636929280493</v>
          </cell>
          <cell r="AC92"/>
          <cell r="AD92"/>
          <cell r="AE92">
            <v>7586.636929280493</v>
          </cell>
          <cell r="AF92">
            <v>2043.7443227992885</v>
          </cell>
          <cell r="AI92">
            <v>2043.7443227992885</v>
          </cell>
        </row>
        <row r="93">
          <cell r="E93">
            <v>31</v>
          </cell>
          <cell r="F93" t="str">
            <v>TH</v>
          </cell>
          <cell r="G93">
            <v>0.10792364863995128</v>
          </cell>
          <cell r="H93"/>
          <cell r="I93"/>
          <cell r="J93"/>
          <cell r="K93"/>
          <cell r="L93">
            <v>228.49349120283068</v>
          </cell>
          <cell r="O93">
            <v>228.49349120283068</v>
          </cell>
          <cell r="P93">
            <v>115.69082971947864</v>
          </cell>
          <cell r="S93">
            <v>115.69082971947864</v>
          </cell>
          <cell r="T93">
            <v>207.30352496333305</v>
          </cell>
          <cell r="W93">
            <v>207.30352496333305</v>
          </cell>
          <cell r="X93">
            <v>99.625899800563133</v>
          </cell>
          <cell r="AA93">
            <v>99.625899800563133</v>
          </cell>
          <cell r="AB93">
            <v>185.64547315773422</v>
          </cell>
          <cell r="AC93"/>
          <cell r="AD93"/>
          <cell r="AE93">
            <v>185.64547315773422</v>
          </cell>
          <cell r="AF93">
            <v>50.010549517029531</v>
          </cell>
          <cell r="AI93">
            <v>50.010549517029531</v>
          </cell>
        </row>
        <row r="94">
          <cell r="E94">
            <v>31</v>
          </cell>
          <cell r="F94" t="str">
            <v>TH</v>
          </cell>
          <cell r="G94">
            <v>0.10792364863995128</v>
          </cell>
          <cell r="H94"/>
          <cell r="I94"/>
          <cell r="J94"/>
          <cell r="K94"/>
          <cell r="L94">
            <v>871.74294695665776</v>
          </cell>
          <cell r="O94">
            <v>871.74294695665776</v>
          </cell>
          <cell r="P94">
            <v>441.38090894673934</v>
          </cell>
          <cell r="S94">
            <v>441.38090894673934</v>
          </cell>
          <cell r="T94">
            <v>790.89949046128561</v>
          </cell>
          <cell r="W94">
            <v>790.89949046128561</v>
          </cell>
          <cell r="X94">
            <v>380.09036943751545</v>
          </cell>
          <cell r="AA94">
            <v>380.09036943751545</v>
          </cell>
          <cell r="AB94">
            <v>708.27020501878269</v>
          </cell>
          <cell r="AC94"/>
          <cell r="AD94"/>
          <cell r="AE94">
            <v>708.27020501878269</v>
          </cell>
          <cell r="AF94">
            <v>190.79906208880706</v>
          </cell>
          <cell r="AI94">
            <v>190.79906208880706</v>
          </cell>
        </row>
        <row r="95">
          <cell r="E95">
            <v>31</v>
          </cell>
          <cell r="F95" t="str">
            <v>TH</v>
          </cell>
          <cell r="G95">
            <v>0.10792364863995126</v>
          </cell>
          <cell r="H95"/>
          <cell r="I95"/>
          <cell r="J95"/>
          <cell r="K95"/>
          <cell r="L95">
            <v>4167.2386997200292</v>
          </cell>
          <cell r="O95">
            <v>4167.2386997200292</v>
          </cell>
          <cell r="P95">
            <v>2109.9563942579339</v>
          </cell>
          <cell r="S95">
            <v>2109.9563942579339</v>
          </cell>
          <cell r="T95">
            <v>3780.7784688655347</v>
          </cell>
          <cell r="W95">
            <v>3780.7784688655347</v>
          </cell>
          <cell r="X95">
            <v>1816.9660017790186</v>
          </cell>
          <cell r="AA95">
            <v>1816.9660017790186</v>
          </cell>
          <cell r="AB95">
            <v>3385.7813458852779</v>
          </cell>
          <cell r="AC95"/>
          <cell r="AD95"/>
          <cell r="AE95">
            <v>3385.7813458852779</v>
          </cell>
          <cell r="AF95">
            <v>912.08680056724722</v>
          </cell>
          <cell r="AI95">
            <v>912.08680056724722</v>
          </cell>
        </row>
        <row r="96">
          <cell r="E96">
            <v>30</v>
          </cell>
          <cell r="F96" t="str">
            <v>TH</v>
          </cell>
          <cell r="G96">
            <v>0.10792364863995128</v>
          </cell>
          <cell r="H96"/>
          <cell r="I96"/>
          <cell r="J96"/>
          <cell r="K96"/>
          <cell r="L96">
            <v>18913.777154390733</v>
          </cell>
          <cell r="O96">
            <v>18913.777154390733</v>
          </cell>
          <cell r="P96">
            <v>9576.4240836881909</v>
          </cell>
          <cell r="S96">
            <v>9576.4240836881909</v>
          </cell>
          <cell r="T96">
            <v>17159.756515758396</v>
          </cell>
          <cell r="W96">
            <v>17159.756515758396</v>
          </cell>
          <cell r="X96">
            <v>8246.6334498816905</v>
          </cell>
          <cell r="AA96">
            <v>8246.6334498816905</v>
          </cell>
          <cell r="AB96">
            <v>15366.989626456862</v>
          </cell>
          <cell r="AC96"/>
          <cell r="AD96"/>
          <cell r="AE96">
            <v>15366.989626456862</v>
          </cell>
          <cell r="AF96">
            <v>4139.6732307532857</v>
          </cell>
          <cell r="AI96">
            <v>4139.6732307532857</v>
          </cell>
        </row>
        <row r="97">
          <cell r="E97">
            <v>30</v>
          </cell>
          <cell r="F97" t="str">
            <v>TH</v>
          </cell>
          <cell r="G97">
            <v>0</v>
          </cell>
          <cell r="H97"/>
          <cell r="I97"/>
          <cell r="J97"/>
          <cell r="K97"/>
          <cell r="L97">
            <v>0</v>
          </cell>
          <cell r="O97">
            <v>0</v>
          </cell>
          <cell r="P97">
            <v>0</v>
          </cell>
          <cell r="S97">
            <v>0</v>
          </cell>
          <cell r="T97">
            <v>0</v>
          </cell>
          <cell r="W97">
            <v>0</v>
          </cell>
          <cell r="X97">
            <v>0</v>
          </cell>
          <cell r="AA97">
            <v>0</v>
          </cell>
          <cell r="AB97">
            <v>0</v>
          </cell>
          <cell r="AC97"/>
          <cell r="AD97"/>
          <cell r="AE97">
            <v>0</v>
          </cell>
          <cell r="AF97">
            <v>0</v>
          </cell>
          <cell r="AI97">
            <v>0</v>
          </cell>
        </row>
        <row r="98">
          <cell r="E98">
            <v>30</v>
          </cell>
          <cell r="F98" t="str">
            <v>TH</v>
          </cell>
          <cell r="G98">
            <v>0.10792364863995126</v>
          </cell>
          <cell r="H98"/>
          <cell r="I98"/>
          <cell r="J98"/>
          <cell r="K98"/>
          <cell r="L98">
            <v>1778.0136435223112</v>
          </cell>
          <cell r="O98">
            <v>1778.0136435223112</v>
          </cell>
          <cell r="P98">
            <v>900.24390886938852</v>
          </cell>
          <cell r="S98">
            <v>900.24390886938852</v>
          </cell>
          <cell r="T98">
            <v>1613.1247056305992</v>
          </cell>
          <cell r="W98">
            <v>1613.1247056305992</v>
          </cell>
          <cell r="X98">
            <v>775.23525138992454</v>
          </cell>
          <cell r="AA98">
            <v>775.23525138992454</v>
          </cell>
          <cell r="AB98">
            <v>1444.5933772336587</v>
          </cell>
          <cell r="AC98"/>
          <cell r="AD98"/>
          <cell r="AE98">
            <v>1444.5933772336587</v>
          </cell>
          <cell r="AF98">
            <v>389.15523979803004</v>
          </cell>
          <cell r="AI98">
            <v>389.15523979803004</v>
          </cell>
        </row>
        <row r="99">
          <cell r="E99">
            <v>31</v>
          </cell>
          <cell r="F99" t="str">
            <v>TH</v>
          </cell>
          <cell r="G99">
            <v>0.10792364863995127</v>
          </cell>
          <cell r="H99"/>
          <cell r="I99"/>
          <cell r="J99"/>
          <cell r="K99"/>
          <cell r="L99">
            <v>969.17659562535721</v>
          </cell>
          <cell r="O99">
            <v>969.17659562535721</v>
          </cell>
          <cell r="P99">
            <v>490.71351618092899</v>
          </cell>
          <cell r="S99">
            <v>490.71351618092899</v>
          </cell>
          <cell r="T99">
            <v>879.29736434702579</v>
          </cell>
          <cell r="W99">
            <v>879.29736434702579</v>
          </cell>
          <cell r="X99">
            <v>422.57260763332658</v>
          </cell>
          <cell r="AA99">
            <v>422.57260763332658</v>
          </cell>
          <cell r="AB99">
            <v>787.43270419268072</v>
          </cell>
          <cell r="AC99"/>
          <cell r="AD99"/>
          <cell r="AE99">
            <v>787.43270419268072</v>
          </cell>
          <cell r="AF99">
            <v>212.1244411432389</v>
          </cell>
          <cell r="AI99">
            <v>212.1244411432389</v>
          </cell>
        </row>
        <row r="100">
          <cell r="E100">
            <v>23</v>
          </cell>
          <cell r="F100" t="str">
            <v>TH</v>
          </cell>
          <cell r="G100">
            <v>0</v>
          </cell>
          <cell r="H100"/>
          <cell r="I100"/>
          <cell r="J100"/>
          <cell r="K100"/>
          <cell r="L100">
            <v>0</v>
          </cell>
          <cell r="O100">
            <v>0</v>
          </cell>
          <cell r="P100">
            <v>0</v>
          </cell>
          <cell r="S100">
            <v>0</v>
          </cell>
          <cell r="T100">
            <v>0</v>
          </cell>
          <cell r="W100">
            <v>0</v>
          </cell>
          <cell r="X100">
            <v>0</v>
          </cell>
          <cell r="AA100">
            <v>0</v>
          </cell>
          <cell r="AB100">
            <v>0</v>
          </cell>
          <cell r="AC100"/>
          <cell r="AD100"/>
          <cell r="AE100">
            <v>0</v>
          </cell>
          <cell r="AF100">
            <v>0</v>
          </cell>
          <cell r="AI100">
            <v>0</v>
          </cell>
        </row>
        <row r="101">
          <cell r="E101">
            <v>31</v>
          </cell>
          <cell r="F101" t="str">
            <v>TH</v>
          </cell>
          <cell r="G101">
            <v>0</v>
          </cell>
          <cell r="H101"/>
          <cell r="I101"/>
          <cell r="J101"/>
          <cell r="K101"/>
          <cell r="L101">
            <v>0</v>
          </cell>
          <cell r="O101">
            <v>0</v>
          </cell>
          <cell r="P101">
            <v>0</v>
          </cell>
          <cell r="S101">
            <v>0</v>
          </cell>
          <cell r="T101">
            <v>0</v>
          </cell>
          <cell r="W101">
            <v>0</v>
          </cell>
          <cell r="X101">
            <v>0</v>
          </cell>
          <cell r="AA101">
            <v>0</v>
          </cell>
          <cell r="AB101">
            <v>0</v>
          </cell>
          <cell r="AC101"/>
          <cell r="AD101"/>
          <cell r="AE101">
            <v>0</v>
          </cell>
          <cell r="AF101">
            <v>0</v>
          </cell>
          <cell r="AI101">
            <v>0</v>
          </cell>
        </row>
        <row r="102">
          <cell r="E102">
            <v>31</v>
          </cell>
          <cell r="F102" t="str">
            <v>TH</v>
          </cell>
          <cell r="G102">
            <v>0.10792364863995127</v>
          </cell>
          <cell r="H102"/>
          <cell r="I102"/>
          <cell r="J102"/>
          <cell r="K102"/>
          <cell r="L102">
            <v>18.392627044820294</v>
          </cell>
          <cell r="O102">
            <v>18.392627044820294</v>
          </cell>
          <cell r="P102">
            <v>9.3125553482278853</v>
          </cell>
          <cell r="S102">
            <v>9.3125553482278853</v>
          </cell>
          <cell r="T102">
            <v>16.686936681021496</v>
          </cell>
          <cell r="W102">
            <v>16.686936681021496</v>
          </cell>
          <cell r="X102">
            <v>8.0194057580826783</v>
          </cell>
          <cell r="AA102">
            <v>8.0194057580826783</v>
          </cell>
          <cell r="AB102">
            <v>14.943567680527005</v>
          </cell>
          <cell r="AC102"/>
          <cell r="AD102"/>
          <cell r="AE102">
            <v>14.943567680527005</v>
          </cell>
          <cell r="AF102">
            <v>4.0256086977844143</v>
          </cell>
          <cell r="AI102">
            <v>4.0256086977844143</v>
          </cell>
        </row>
        <row r="103">
          <cell r="E103">
            <v>31</v>
          </cell>
          <cell r="F103" t="str">
            <v>TH</v>
          </cell>
          <cell r="G103">
            <v>0.10792364863995128</v>
          </cell>
          <cell r="H103"/>
          <cell r="I103"/>
          <cell r="J103"/>
          <cell r="K103"/>
          <cell r="L103">
            <v>1.9466040113961602</v>
          </cell>
          <cell r="O103">
            <v>1.9466040113961602</v>
          </cell>
          <cell r="P103">
            <v>0.98560458780760818</v>
          </cell>
          <cell r="S103">
            <v>0.98560458780760818</v>
          </cell>
          <cell r="T103">
            <v>1.7660803865610899</v>
          </cell>
          <cell r="W103">
            <v>1.7660803865610899</v>
          </cell>
          <cell r="X103">
            <v>0.84874267170515183</v>
          </cell>
          <cell r="AA103">
            <v>0.84874267170515183</v>
          </cell>
          <cell r="AB103">
            <v>1.5815690015677206</v>
          </cell>
          <cell r="AC103"/>
          <cell r="AD103"/>
          <cell r="AE103">
            <v>1.5815690015677206</v>
          </cell>
          <cell r="AF103">
            <v>0.42605474575885854</v>
          </cell>
          <cell r="AI103">
            <v>0.42605474575885854</v>
          </cell>
        </row>
        <row r="104">
          <cell r="E104">
            <v>31</v>
          </cell>
          <cell r="F104" t="str">
            <v>TH</v>
          </cell>
          <cell r="G104">
            <v>0.10792364863995127</v>
          </cell>
          <cell r="H104"/>
          <cell r="I104"/>
          <cell r="J104"/>
          <cell r="K104"/>
          <cell r="L104">
            <v>165.74498898176279</v>
          </cell>
          <cell r="O104">
            <v>165.74498898176279</v>
          </cell>
          <cell r="P104">
            <v>83.920006632155804</v>
          </cell>
          <cell r="S104">
            <v>83.920006632155804</v>
          </cell>
          <cell r="T104">
            <v>150.3741759997344</v>
          </cell>
          <cell r="W104">
            <v>150.3741759997344</v>
          </cell>
          <cell r="X104">
            <v>72.266801027100655</v>
          </cell>
          <cell r="AA104">
            <v>72.266801027100655</v>
          </cell>
          <cell r="AB104">
            <v>134.66382233062754</v>
          </cell>
          <cell r="AC104"/>
          <cell r="AD104"/>
          <cell r="AE104">
            <v>134.66382233062754</v>
          </cell>
          <cell r="AF104">
            <v>36.276735652456409</v>
          </cell>
          <cell r="AI104">
            <v>36.276735652456409</v>
          </cell>
        </row>
        <row r="105">
          <cell r="E105">
            <v>31</v>
          </cell>
          <cell r="F105" t="str">
            <v>TH</v>
          </cell>
          <cell r="G105">
            <v>0</v>
          </cell>
          <cell r="H105"/>
          <cell r="I105"/>
          <cell r="J105"/>
          <cell r="K105"/>
          <cell r="L105">
            <v>0</v>
          </cell>
          <cell r="O105">
            <v>0</v>
          </cell>
          <cell r="P105">
            <v>0</v>
          </cell>
          <cell r="S105">
            <v>0</v>
          </cell>
          <cell r="T105">
            <v>0</v>
          </cell>
          <cell r="W105">
            <v>0</v>
          </cell>
          <cell r="X105">
            <v>0</v>
          </cell>
          <cell r="AA105">
            <v>0</v>
          </cell>
          <cell r="AB105">
            <v>0</v>
          </cell>
          <cell r="AC105"/>
          <cell r="AD105"/>
          <cell r="AE105">
            <v>0</v>
          </cell>
          <cell r="AF105">
            <v>0</v>
          </cell>
          <cell r="AI105">
            <v>0</v>
          </cell>
        </row>
        <row r="106">
          <cell r="E106">
            <v>31</v>
          </cell>
          <cell r="F106" t="str">
            <v>TH</v>
          </cell>
          <cell r="G106">
            <v>0.10792364863995128</v>
          </cell>
          <cell r="H106"/>
          <cell r="I106"/>
          <cell r="J106"/>
          <cell r="K106"/>
          <cell r="L106">
            <v>16.608147338944701</v>
          </cell>
          <cell r="O106">
            <v>16.608147338944701</v>
          </cell>
          <cell r="P106">
            <v>8.409037542519112</v>
          </cell>
          <cell r="S106">
            <v>8.409037542519112</v>
          </cell>
          <cell r="T106">
            <v>15.067945560941139</v>
          </cell>
          <cell r="W106">
            <v>15.067945560941139</v>
          </cell>
          <cell r="X106">
            <v>7.2413512260352562</v>
          </cell>
          <cell r="AA106">
            <v>7.2413512260352562</v>
          </cell>
          <cell r="AB106">
            <v>13.493720782946996</v>
          </cell>
          <cell r="AC106"/>
          <cell r="AD106"/>
          <cell r="AE106">
            <v>13.493720782946996</v>
          </cell>
          <cell r="AF106">
            <v>3.6350382258509009</v>
          </cell>
          <cell r="AI106">
            <v>3.6350382258509009</v>
          </cell>
        </row>
        <row r="107">
          <cell r="E107">
            <v>31</v>
          </cell>
          <cell r="F107" t="str">
            <v>TH</v>
          </cell>
          <cell r="G107">
            <v>0</v>
          </cell>
          <cell r="H107"/>
          <cell r="I107"/>
          <cell r="J107"/>
          <cell r="K107"/>
          <cell r="L107">
            <v>0</v>
          </cell>
          <cell r="O107">
            <v>0</v>
          </cell>
          <cell r="P107">
            <v>0</v>
          </cell>
          <cell r="S107">
            <v>0</v>
          </cell>
          <cell r="T107">
            <v>0</v>
          </cell>
          <cell r="W107">
            <v>0</v>
          </cell>
          <cell r="X107">
            <v>0</v>
          </cell>
          <cell r="AA107">
            <v>0</v>
          </cell>
          <cell r="AB107">
            <v>0</v>
          </cell>
          <cell r="AC107"/>
          <cell r="AD107"/>
          <cell r="AE107">
            <v>0</v>
          </cell>
          <cell r="AF107">
            <v>0</v>
          </cell>
          <cell r="AI107">
            <v>0</v>
          </cell>
        </row>
        <row r="108">
          <cell r="E108">
            <v>23</v>
          </cell>
          <cell r="F108" t="str">
            <v>TH</v>
          </cell>
          <cell r="G108">
            <v>0</v>
          </cell>
          <cell r="H108"/>
          <cell r="I108"/>
          <cell r="J108"/>
          <cell r="K108"/>
          <cell r="L108">
            <v>0</v>
          </cell>
          <cell r="O108">
            <v>0</v>
          </cell>
          <cell r="P108">
            <v>0</v>
          </cell>
          <cell r="S108">
            <v>0</v>
          </cell>
          <cell r="T108">
            <v>0</v>
          </cell>
          <cell r="W108">
            <v>0</v>
          </cell>
          <cell r="X108">
            <v>0</v>
          </cell>
          <cell r="AA108">
            <v>0</v>
          </cell>
          <cell r="AB108">
            <v>0</v>
          </cell>
          <cell r="AC108"/>
          <cell r="AD108"/>
          <cell r="AE108">
            <v>0</v>
          </cell>
          <cell r="AF108">
            <v>0</v>
          </cell>
          <cell r="AI108">
            <v>0</v>
          </cell>
        </row>
        <row r="109">
          <cell r="E109">
            <v>23</v>
          </cell>
          <cell r="F109" t="str">
            <v>TH</v>
          </cell>
          <cell r="G109">
            <v>0</v>
          </cell>
          <cell r="H109"/>
          <cell r="I109"/>
          <cell r="J109"/>
          <cell r="K109"/>
          <cell r="L109">
            <v>0</v>
          </cell>
          <cell r="O109">
            <v>0</v>
          </cell>
          <cell r="P109">
            <v>0</v>
          </cell>
          <cell r="S109">
            <v>0</v>
          </cell>
          <cell r="T109">
            <v>0</v>
          </cell>
          <cell r="W109">
            <v>0</v>
          </cell>
          <cell r="X109">
            <v>0</v>
          </cell>
          <cell r="AA109">
            <v>0</v>
          </cell>
          <cell r="AB109">
            <v>0</v>
          </cell>
          <cell r="AC109"/>
          <cell r="AD109"/>
          <cell r="AE109">
            <v>0</v>
          </cell>
          <cell r="AF109">
            <v>0</v>
          </cell>
          <cell r="AI109">
            <v>0</v>
          </cell>
        </row>
        <row r="110">
          <cell r="E110">
            <v>36</v>
          </cell>
          <cell r="F110" t="str">
            <v>Act</v>
          </cell>
          <cell r="G110">
            <v>0.20338583504660807</v>
          </cell>
          <cell r="H110"/>
          <cell r="I110"/>
          <cell r="J110"/>
          <cell r="K110"/>
          <cell r="L110">
            <v>0</v>
          </cell>
          <cell r="M110">
            <v>14716.164445392491</v>
          </cell>
          <cell r="O110">
            <v>14716.164445392491</v>
          </cell>
          <cell r="P110">
            <v>0</v>
          </cell>
          <cell r="Q110">
            <v>3719.6306371549163</v>
          </cell>
          <cell r="S110">
            <v>3719.6306371549163</v>
          </cell>
          <cell r="T110">
            <v>0</v>
          </cell>
          <cell r="U110">
            <v>5720.5636080203649</v>
          </cell>
          <cell r="W110">
            <v>5720.5636080203649</v>
          </cell>
          <cell r="X110">
            <v>0</v>
          </cell>
          <cell r="Y110">
            <v>1761.9498309671424</v>
          </cell>
          <cell r="AA110">
            <v>1761.9498309671424</v>
          </cell>
          <cell r="AB110">
            <v>0</v>
          </cell>
          <cell r="AC110">
            <v>21102.903194076753</v>
          </cell>
          <cell r="AD110"/>
          <cell r="AE110">
            <v>21102.903194076753</v>
          </cell>
          <cell r="AF110">
            <v>0</v>
          </cell>
          <cell r="AG110">
            <v>899.90180182292522</v>
          </cell>
          <cell r="AI110">
            <v>899.90180182292522</v>
          </cell>
        </row>
        <row r="111">
          <cell r="E111">
            <v>36</v>
          </cell>
          <cell r="F111" t="str">
            <v>Cont</v>
          </cell>
          <cell r="G111">
            <v>0</v>
          </cell>
          <cell r="H111"/>
          <cell r="I111"/>
          <cell r="J111"/>
          <cell r="K111"/>
          <cell r="L111">
            <v>0</v>
          </cell>
          <cell r="O111">
            <v>0</v>
          </cell>
          <cell r="P111">
            <v>0</v>
          </cell>
          <cell r="S111">
            <v>0</v>
          </cell>
          <cell r="T111">
            <v>0</v>
          </cell>
          <cell r="W111">
            <v>0</v>
          </cell>
          <cell r="X111">
            <v>0</v>
          </cell>
          <cell r="AA111">
            <v>0</v>
          </cell>
          <cell r="AB111">
            <v>0</v>
          </cell>
          <cell r="AC111"/>
          <cell r="AD111"/>
          <cell r="AE111">
            <v>0</v>
          </cell>
          <cell r="AF111">
            <v>0</v>
          </cell>
          <cell r="AI111">
            <v>0</v>
          </cell>
        </row>
        <row r="112">
          <cell r="E112">
            <v>23</v>
          </cell>
          <cell r="F112" t="str">
            <v>Cont</v>
          </cell>
          <cell r="G112">
            <v>8.1252907606838676E-2</v>
          </cell>
          <cell r="H112"/>
          <cell r="I112"/>
          <cell r="J112"/>
          <cell r="K112"/>
          <cell r="L112">
            <v>879.94748755281762</v>
          </cell>
          <cell r="O112">
            <v>879.94748755281762</v>
          </cell>
          <cell r="P112">
            <v>2912.3787952388561</v>
          </cell>
          <cell r="S112">
            <v>2912.3787952388561</v>
          </cell>
          <cell r="T112">
            <v>1365.6390202525579</v>
          </cell>
          <cell r="W112">
            <v>1365.6390202525579</v>
          </cell>
          <cell r="X112">
            <v>1379.5631412231742</v>
          </cell>
          <cell r="AA112">
            <v>1379.5631412231742</v>
          </cell>
          <cell r="AB112">
            <v>576.59697146760948</v>
          </cell>
          <cell r="AC112"/>
          <cell r="AD112"/>
          <cell r="AE112">
            <v>576.59697146760948</v>
          </cell>
          <cell r="AF112">
            <v>205.47804824864178</v>
          </cell>
          <cell r="AI112">
            <v>205.47804824864178</v>
          </cell>
        </row>
        <row r="113">
          <cell r="E113">
            <v>23</v>
          </cell>
          <cell r="F113" t="str">
            <v>Cont</v>
          </cell>
          <cell r="G113">
            <v>8.1252907606838648E-2</v>
          </cell>
          <cell r="H113"/>
          <cell r="I113"/>
          <cell r="J113"/>
          <cell r="K113"/>
          <cell r="L113">
            <v>334.80517711295226</v>
          </cell>
          <cell r="O113">
            <v>334.80517711295226</v>
          </cell>
          <cell r="P113">
            <v>1108.1110090690772</v>
          </cell>
          <cell r="S113">
            <v>1108.1110090690772</v>
          </cell>
          <cell r="T113">
            <v>519.60261324181806</v>
          </cell>
          <cell r="W113">
            <v>519.60261324181806</v>
          </cell>
          <cell r="X113">
            <v>524.90050641573271</v>
          </cell>
          <cell r="AA113">
            <v>524.90050641573271</v>
          </cell>
          <cell r="AB113">
            <v>219.38542229591567</v>
          </cell>
          <cell r="AC113"/>
          <cell r="AD113"/>
          <cell r="AE113">
            <v>219.38542229591567</v>
          </cell>
          <cell r="AF113">
            <v>78.180931600854123</v>
          </cell>
          <cell r="AI113">
            <v>78.180931600854123</v>
          </cell>
        </row>
        <row r="114">
          <cell r="E114">
            <v>23</v>
          </cell>
          <cell r="F114" t="str">
            <v>Cont</v>
          </cell>
          <cell r="G114">
            <v>8.1252907606838662E-2</v>
          </cell>
          <cell r="H114"/>
          <cell r="I114"/>
          <cell r="J114"/>
          <cell r="K114"/>
          <cell r="L114">
            <v>34.84133338277492</v>
          </cell>
          <cell r="O114">
            <v>34.84133338277492</v>
          </cell>
          <cell r="P114">
            <v>115.31501819959536</v>
          </cell>
          <cell r="S114">
            <v>115.31501819959536</v>
          </cell>
          <cell r="T114">
            <v>54.072186190871442</v>
          </cell>
          <cell r="W114">
            <v>54.072186190871442</v>
          </cell>
          <cell r="X114">
            <v>54.623508795528814</v>
          </cell>
          <cell r="AA114">
            <v>54.623508795528814</v>
          </cell>
          <cell r="AB114">
            <v>22.830234297584155</v>
          </cell>
          <cell r="AC114"/>
          <cell r="AD114"/>
          <cell r="AE114">
            <v>22.830234297584155</v>
          </cell>
          <cell r="AF114">
            <v>8.1358595633732325</v>
          </cell>
          <cell r="AI114">
            <v>8.1358595633732325</v>
          </cell>
        </row>
        <row r="115">
          <cell r="E115">
            <v>23</v>
          </cell>
          <cell r="F115" t="str">
            <v>Cont</v>
          </cell>
          <cell r="G115">
            <v>0</v>
          </cell>
          <cell r="H115"/>
          <cell r="I115"/>
          <cell r="J115"/>
          <cell r="K115"/>
          <cell r="L115">
            <v>0</v>
          </cell>
          <cell r="O115">
            <v>0</v>
          </cell>
          <cell r="P115">
            <v>0</v>
          </cell>
          <cell r="S115">
            <v>0</v>
          </cell>
          <cell r="T115">
            <v>0</v>
          </cell>
          <cell r="W115">
            <v>0</v>
          </cell>
          <cell r="X115">
            <v>0</v>
          </cell>
          <cell r="AA115">
            <v>0</v>
          </cell>
          <cell r="AB115">
            <v>0</v>
          </cell>
          <cell r="AC115"/>
          <cell r="AD115"/>
          <cell r="AE115">
            <v>0</v>
          </cell>
          <cell r="AF115">
            <v>0</v>
          </cell>
          <cell r="AI115">
            <v>0</v>
          </cell>
        </row>
        <row r="116">
          <cell r="E116">
            <v>23</v>
          </cell>
          <cell r="F116" t="str">
            <v>Cont</v>
          </cell>
          <cell r="G116">
            <v>8.5711859435757487E-2</v>
          </cell>
          <cell r="H116"/>
          <cell r="I116"/>
          <cell r="J116"/>
          <cell r="K116"/>
          <cell r="L116">
            <v>307.99026612627989</v>
          </cell>
          <cell r="O116">
            <v>307.99026612627989</v>
          </cell>
          <cell r="P116">
            <v>754.23319948014591</v>
          </cell>
          <cell r="S116">
            <v>754.23319948014591</v>
          </cell>
          <cell r="T116">
            <v>477.98707448979593</v>
          </cell>
          <cell r="W116">
            <v>477.98707448979593</v>
          </cell>
          <cell r="X116">
            <v>357.2723175950394</v>
          </cell>
          <cell r="AA116">
            <v>357.2723175950394</v>
          </cell>
          <cell r="AB116">
            <v>201.81460507807483</v>
          </cell>
          <cell r="AC116"/>
          <cell r="AD116"/>
          <cell r="AE116">
            <v>201.81460507807483</v>
          </cell>
          <cell r="AF116">
            <v>47.749474234020788</v>
          </cell>
          <cell r="AI116">
            <v>47.749474234020788</v>
          </cell>
        </row>
        <row r="117">
          <cell r="E117">
            <v>24</v>
          </cell>
          <cell r="F117" t="str">
            <v>Cont</v>
          </cell>
          <cell r="G117">
            <v>8.1252907606838676E-2</v>
          </cell>
          <cell r="H117"/>
          <cell r="I117"/>
          <cell r="J117"/>
          <cell r="K117"/>
          <cell r="L117">
            <v>136.02235317814308</v>
          </cell>
          <cell r="O117">
            <v>136.02235317814308</v>
          </cell>
          <cell r="P117">
            <v>450.19574767606389</v>
          </cell>
          <cell r="S117">
            <v>450.19574767606389</v>
          </cell>
          <cell r="T117">
            <v>211.10058924453364</v>
          </cell>
          <cell r="W117">
            <v>211.10058924453364</v>
          </cell>
          <cell r="X117">
            <v>213.2529809805765</v>
          </cell>
          <cell r="AA117">
            <v>213.2529809805765</v>
          </cell>
          <cell r="AB117">
            <v>89.130406079723272</v>
          </cell>
          <cell r="AC117"/>
          <cell r="AD117"/>
          <cell r="AE117">
            <v>89.130406079723272</v>
          </cell>
          <cell r="AF117">
            <v>31.762813173047036</v>
          </cell>
          <cell r="AI117">
            <v>31.762813173047036</v>
          </cell>
        </row>
        <row r="118">
          <cell r="E118">
            <v>25</v>
          </cell>
          <cell r="F118" t="str">
            <v>Cont</v>
          </cell>
          <cell r="G118">
            <v>8.1252907606838662E-2</v>
          </cell>
          <cell r="H118"/>
          <cell r="I118"/>
          <cell r="J118"/>
          <cell r="K118"/>
          <cell r="L118">
            <v>278.94010834588977</v>
          </cell>
          <cell r="O118">
            <v>278.94010834588977</v>
          </cell>
          <cell r="P118">
            <v>923.21333736342604</v>
          </cell>
          <cell r="S118">
            <v>923.21333736342604</v>
          </cell>
          <cell r="T118">
            <v>432.90253300229847</v>
          </cell>
          <cell r="W118">
            <v>432.90253300229847</v>
          </cell>
          <cell r="X118">
            <v>437.31642799842666</v>
          </cell>
          <cell r="AA118">
            <v>437.31642799842666</v>
          </cell>
          <cell r="AB118">
            <v>182.77911349048878</v>
          </cell>
          <cell r="AC118"/>
          <cell r="AD118"/>
          <cell r="AE118">
            <v>182.77911349048878</v>
          </cell>
          <cell r="AF118">
            <v>65.13578350064644</v>
          </cell>
          <cell r="AI118">
            <v>65.13578350064644</v>
          </cell>
        </row>
        <row r="119">
          <cell r="E119">
            <v>23</v>
          </cell>
          <cell r="F119" t="str">
            <v>Cont</v>
          </cell>
          <cell r="G119">
            <v>8.1252907606838676E-2</v>
          </cell>
          <cell r="H119"/>
          <cell r="I119"/>
          <cell r="J119"/>
          <cell r="K119"/>
          <cell r="L119">
            <v>90.012239490130867</v>
          </cell>
          <cell r="O119">
            <v>90.012239490130867</v>
          </cell>
          <cell r="P119">
            <v>297.915206658606</v>
          </cell>
          <cell r="S119">
            <v>297.915206658606</v>
          </cell>
          <cell r="T119">
            <v>139.69495712738492</v>
          </cell>
          <cell r="W119">
            <v>139.69495712738492</v>
          </cell>
          <cell r="X119">
            <v>141.11929361248846</v>
          </cell>
          <cell r="AA119">
            <v>141.11929361248846</v>
          </cell>
          <cell r="AB119">
            <v>58.981684042721191</v>
          </cell>
          <cell r="AC119"/>
          <cell r="AD119"/>
          <cell r="AE119">
            <v>58.981684042721191</v>
          </cell>
          <cell r="AF119">
            <v>21.018912549382375</v>
          </cell>
          <cell r="AI119">
            <v>21.018912549382375</v>
          </cell>
        </row>
        <row r="120">
          <cell r="E120">
            <v>23</v>
          </cell>
          <cell r="F120" t="str">
            <v>Cont</v>
          </cell>
          <cell r="G120">
            <v>8.1252907606838662E-2</v>
          </cell>
          <cell r="H120"/>
          <cell r="I120"/>
          <cell r="J120"/>
          <cell r="K120"/>
          <cell r="L120">
            <v>37.953583769665173</v>
          </cell>
          <cell r="O120">
            <v>37.953583769665173</v>
          </cell>
          <cell r="P120">
            <v>125.61569200168863</v>
          </cell>
          <cell r="S120">
            <v>125.61569200168863</v>
          </cell>
          <cell r="T120">
            <v>58.902259154604209</v>
          </cell>
          <cell r="W120">
            <v>58.902259154604209</v>
          </cell>
          <cell r="X120">
            <v>59.502829414935242</v>
          </cell>
          <cell r="AA120">
            <v>59.502829414935242</v>
          </cell>
          <cell r="AB120">
            <v>24.869576613931301</v>
          </cell>
          <cell r="AC120"/>
          <cell r="AD120"/>
          <cell r="AE120">
            <v>24.869576613931301</v>
          </cell>
          <cell r="AF120">
            <v>8.8626064933948978</v>
          </cell>
          <cell r="AI120">
            <v>8.8626064933948978</v>
          </cell>
        </row>
        <row r="121">
          <cell r="E121">
            <v>29</v>
          </cell>
          <cell r="F121" t="str">
            <v>Cont</v>
          </cell>
          <cell r="G121">
            <v>0</v>
          </cell>
          <cell r="H121"/>
          <cell r="I121"/>
          <cell r="J121"/>
          <cell r="K121"/>
          <cell r="L121">
            <v>0</v>
          </cell>
          <cell r="O121">
            <v>0</v>
          </cell>
          <cell r="P121">
            <v>0</v>
          </cell>
          <cell r="S121">
            <v>0</v>
          </cell>
          <cell r="T121">
            <v>0</v>
          </cell>
          <cell r="W121">
            <v>0</v>
          </cell>
          <cell r="X121">
            <v>0</v>
          </cell>
          <cell r="AA121">
            <v>0</v>
          </cell>
          <cell r="AB121">
            <v>0</v>
          </cell>
          <cell r="AC121"/>
          <cell r="AD121"/>
          <cell r="AE121">
            <v>0</v>
          </cell>
          <cell r="AF121">
            <v>0</v>
          </cell>
          <cell r="AI121">
            <v>0</v>
          </cell>
        </row>
        <row r="122">
          <cell r="E122">
            <v>28</v>
          </cell>
          <cell r="F122" t="str">
            <v>Cont</v>
          </cell>
          <cell r="G122">
            <v>0</v>
          </cell>
          <cell r="H122"/>
          <cell r="I122"/>
          <cell r="J122"/>
          <cell r="K122"/>
          <cell r="L122">
            <v>0</v>
          </cell>
          <cell r="O122">
            <v>0</v>
          </cell>
          <cell r="P122">
            <v>0</v>
          </cell>
          <cell r="S122">
            <v>0</v>
          </cell>
          <cell r="T122">
            <v>0</v>
          </cell>
          <cell r="W122">
            <v>0</v>
          </cell>
          <cell r="X122">
            <v>0</v>
          </cell>
          <cell r="AA122">
            <v>0</v>
          </cell>
          <cell r="AB122">
            <v>0</v>
          </cell>
          <cell r="AC122"/>
          <cell r="AD122"/>
          <cell r="AE122">
            <v>0</v>
          </cell>
          <cell r="AF122">
            <v>0</v>
          </cell>
          <cell r="AI122">
            <v>0</v>
          </cell>
        </row>
        <row r="123">
          <cell r="E123">
            <v>26</v>
          </cell>
          <cell r="F123" t="str">
            <v>Cont</v>
          </cell>
          <cell r="G123">
            <v>8.1252907606838662E-2</v>
          </cell>
          <cell r="H123"/>
          <cell r="I123"/>
          <cell r="J123"/>
          <cell r="K123"/>
          <cell r="L123">
            <v>13.204311180016864</v>
          </cell>
          <cell r="O123">
            <v>13.204311180016864</v>
          </cell>
          <cell r="P123">
            <v>43.702557743945164</v>
          </cell>
          <cell r="S123">
            <v>43.702557743945164</v>
          </cell>
          <cell r="T123">
            <v>20.492498516175107</v>
          </cell>
          <cell r="W123">
            <v>20.492498516175107</v>
          </cell>
          <cell r="X123">
            <v>20.701441014227505</v>
          </cell>
          <cell r="AA123">
            <v>20.701441014227505</v>
          </cell>
          <cell r="AB123">
            <v>8.6522956703784306</v>
          </cell>
          <cell r="AC123"/>
          <cell r="AD123"/>
          <cell r="AE123">
            <v>8.6522956703784306</v>
          </cell>
          <cell r="AF123">
            <v>3.0833613688506949</v>
          </cell>
          <cell r="AI123">
            <v>3.0833613688506949</v>
          </cell>
        </row>
        <row r="124">
          <cell r="E124">
            <v>32</v>
          </cell>
          <cell r="F124" t="str">
            <v>Cont</v>
          </cell>
          <cell r="G124">
            <v>6.3544208719584716E-2</v>
          </cell>
          <cell r="H124"/>
          <cell r="I124"/>
          <cell r="J124"/>
          <cell r="K124"/>
          <cell r="L124">
            <v>0</v>
          </cell>
          <cell r="O124">
            <v>0</v>
          </cell>
          <cell r="P124">
            <v>1535.0979023714008</v>
          </cell>
          <cell r="S124">
            <v>1535.0979023714008</v>
          </cell>
          <cell r="T124">
            <v>0</v>
          </cell>
          <cell r="W124">
            <v>0</v>
          </cell>
          <cell r="X124">
            <v>727.15969768173943</v>
          </cell>
          <cell r="AA124">
            <v>727.15969768173943</v>
          </cell>
          <cell r="AB124">
            <v>0</v>
          </cell>
          <cell r="AC124"/>
          <cell r="AD124"/>
          <cell r="AE124">
            <v>0</v>
          </cell>
          <cell r="AF124">
            <v>144.38907242474826</v>
          </cell>
          <cell r="AI124">
            <v>144.38907242474826</v>
          </cell>
        </row>
        <row r="125">
          <cell r="E125">
            <v>32</v>
          </cell>
          <cell r="F125" t="str">
            <v>Cont</v>
          </cell>
          <cell r="G125">
            <v>6.3544208719584716E-2</v>
          </cell>
          <cell r="H125"/>
          <cell r="I125"/>
          <cell r="J125"/>
          <cell r="K125"/>
          <cell r="L125">
            <v>0</v>
          </cell>
          <cell r="O125">
            <v>0</v>
          </cell>
          <cell r="P125">
            <v>1736.4174798253289</v>
          </cell>
          <cell r="S125">
            <v>1736.4174798253289</v>
          </cell>
          <cell r="T125">
            <v>0</v>
          </cell>
          <cell r="W125">
            <v>0</v>
          </cell>
          <cell r="X125">
            <v>822.52265977859975</v>
          </cell>
          <cell r="AA125">
            <v>822.52265977859975</v>
          </cell>
          <cell r="AB125">
            <v>0</v>
          </cell>
          <cell r="AC125"/>
          <cell r="AD125"/>
          <cell r="AE125">
            <v>0</v>
          </cell>
          <cell r="AF125">
            <v>163.32489860535242</v>
          </cell>
          <cell r="AI125">
            <v>163.32489860535242</v>
          </cell>
        </row>
        <row r="126">
          <cell r="E126">
            <v>32</v>
          </cell>
          <cell r="F126" t="str">
            <v>Cont</v>
          </cell>
          <cell r="G126">
            <v>6.3544208719584716E-2</v>
          </cell>
          <cell r="H126"/>
          <cell r="I126"/>
          <cell r="J126"/>
          <cell r="K126"/>
          <cell r="L126">
            <v>0</v>
          </cell>
          <cell r="O126">
            <v>0</v>
          </cell>
          <cell r="P126">
            <v>32.369791469194311</v>
          </cell>
          <cell r="S126">
            <v>32.369791469194311</v>
          </cell>
          <cell r="T126">
            <v>0</v>
          </cell>
          <cell r="W126">
            <v>0</v>
          </cell>
          <cell r="X126">
            <v>15.333229067930489</v>
          </cell>
          <cell r="AA126">
            <v>15.333229067930489</v>
          </cell>
          <cell r="AB126">
            <v>0</v>
          </cell>
          <cell r="AC126"/>
          <cell r="AD126"/>
          <cell r="AE126">
            <v>0</v>
          </cell>
          <cell r="AF126">
            <v>3.0446554305099349</v>
          </cell>
          <cell r="AI126">
            <v>3.0446554305099349</v>
          </cell>
        </row>
        <row r="127">
          <cell r="E127">
            <v>32</v>
          </cell>
          <cell r="F127" t="str">
            <v>Cont</v>
          </cell>
          <cell r="G127">
            <v>0</v>
          </cell>
          <cell r="H127"/>
          <cell r="I127"/>
          <cell r="J127"/>
          <cell r="K127"/>
          <cell r="L127">
            <v>0</v>
          </cell>
          <cell r="O127">
            <v>0</v>
          </cell>
          <cell r="P127">
            <v>0</v>
          </cell>
          <cell r="S127">
            <v>0</v>
          </cell>
          <cell r="T127">
            <v>0</v>
          </cell>
          <cell r="W127">
            <v>0</v>
          </cell>
          <cell r="X127">
            <v>0</v>
          </cell>
          <cell r="AA127">
            <v>0</v>
          </cell>
          <cell r="AB127">
            <v>0</v>
          </cell>
          <cell r="AC127"/>
          <cell r="AD127"/>
          <cell r="AE127">
            <v>0</v>
          </cell>
          <cell r="AF127">
            <v>0</v>
          </cell>
          <cell r="AI127">
            <v>0</v>
          </cell>
        </row>
        <row r="128">
          <cell r="E128">
            <v>32</v>
          </cell>
          <cell r="F128" t="str">
            <v>Cont</v>
          </cell>
          <cell r="G128">
            <v>6.3544208719584702E-2</v>
          </cell>
          <cell r="H128"/>
          <cell r="I128"/>
          <cell r="J128"/>
          <cell r="K128"/>
          <cell r="L128">
            <v>0</v>
          </cell>
          <cell r="O128">
            <v>0</v>
          </cell>
          <cell r="P128">
            <v>2.371131202509162</v>
          </cell>
          <cell r="S128">
            <v>2.371131202509162</v>
          </cell>
          <cell r="T128">
            <v>0</v>
          </cell>
          <cell r="W128">
            <v>0</v>
          </cell>
          <cell r="X128">
            <v>1.1231798608523873</v>
          </cell>
          <cell r="AA128">
            <v>1.1231798608523873</v>
          </cell>
          <cell r="AB128">
            <v>0</v>
          </cell>
          <cell r="AC128"/>
          <cell r="AD128"/>
          <cell r="AE128">
            <v>0</v>
          </cell>
          <cell r="AF128">
            <v>0.22302514673415544</v>
          </cell>
          <cell r="AI128">
            <v>0.22302514673415544</v>
          </cell>
        </row>
        <row r="129">
          <cell r="E129">
            <v>32</v>
          </cell>
          <cell r="F129" t="str">
            <v>Cont</v>
          </cell>
          <cell r="G129">
            <v>0</v>
          </cell>
          <cell r="H129"/>
          <cell r="I129"/>
          <cell r="J129"/>
          <cell r="K129"/>
          <cell r="L129">
            <v>0</v>
          </cell>
          <cell r="O129">
            <v>0</v>
          </cell>
          <cell r="P129">
            <v>0</v>
          </cell>
          <cell r="S129">
            <v>0</v>
          </cell>
          <cell r="T129">
            <v>0</v>
          </cell>
          <cell r="W129">
            <v>0</v>
          </cell>
          <cell r="X129">
            <v>0</v>
          </cell>
          <cell r="AA129">
            <v>0</v>
          </cell>
          <cell r="AB129">
            <v>0</v>
          </cell>
          <cell r="AC129"/>
          <cell r="AD129"/>
          <cell r="AE129">
            <v>0</v>
          </cell>
          <cell r="AF129">
            <v>0</v>
          </cell>
          <cell r="AI129">
            <v>0</v>
          </cell>
        </row>
        <row r="130">
          <cell r="E130">
            <v>32</v>
          </cell>
          <cell r="F130" t="str">
            <v>ACT</v>
          </cell>
          <cell r="G130">
            <v>0</v>
          </cell>
          <cell r="H130"/>
          <cell r="I130"/>
          <cell r="J130"/>
          <cell r="K130"/>
          <cell r="L130">
            <v>0</v>
          </cell>
          <cell r="O130">
            <v>0</v>
          </cell>
          <cell r="P130">
            <v>0</v>
          </cell>
          <cell r="S130">
            <v>0</v>
          </cell>
          <cell r="T130">
            <v>0</v>
          </cell>
          <cell r="W130">
            <v>0</v>
          </cell>
          <cell r="X130">
            <v>0</v>
          </cell>
          <cell r="AA130">
            <v>0</v>
          </cell>
          <cell r="AB130">
            <v>0</v>
          </cell>
          <cell r="AC130"/>
          <cell r="AD130"/>
          <cell r="AE130">
            <v>0</v>
          </cell>
          <cell r="AF130">
            <v>0</v>
          </cell>
          <cell r="AI130">
            <v>0</v>
          </cell>
        </row>
        <row r="131">
          <cell r="E131">
            <v>32</v>
          </cell>
          <cell r="F131" t="str">
            <v>Cont</v>
          </cell>
          <cell r="G131">
            <v>6.3544208719584716E-2</v>
          </cell>
          <cell r="H131"/>
          <cell r="I131"/>
          <cell r="J131"/>
          <cell r="K131"/>
          <cell r="L131">
            <v>0</v>
          </cell>
          <cell r="O131">
            <v>0</v>
          </cell>
          <cell r="P131">
            <v>10.43662518519802</v>
          </cell>
          <cell r="S131">
            <v>10.43662518519802</v>
          </cell>
          <cell r="T131">
            <v>0</v>
          </cell>
          <cell r="W131">
            <v>0</v>
          </cell>
          <cell r="X131">
            <v>4.9437193567671995</v>
          </cell>
          <cell r="AA131">
            <v>4.9437193567671995</v>
          </cell>
          <cell r="AB131">
            <v>0</v>
          </cell>
          <cell r="AC131"/>
          <cell r="AD131"/>
          <cell r="AE131">
            <v>0</v>
          </cell>
          <cell r="AF131">
            <v>0.98165376124064407</v>
          </cell>
          <cell r="AI131">
            <v>0.98165376124064407</v>
          </cell>
        </row>
        <row r="132">
          <cell r="E132">
            <v>56</v>
          </cell>
          <cell r="F132" t="str">
            <v>DH</v>
          </cell>
          <cell r="G132">
            <v>0.11021083809358596</v>
          </cell>
          <cell r="H132"/>
          <cell r="I132"/>
          <cell r="J132"/>
          <cell r="K132"/>
          <cell r="L132">
            <v>18008.821526107193</v>
          </cell>
          <cell r="O132">
            <v>18008.821526107193</v>
          </cell>
          <cell r="P132">
            <v>7925.3555071714309</v>
          </cell>
          <cell r="S132">
            <v>7925.3555071714309</v>
          </cell>
          <cell r="T132">
            <v>15705.382636418868</v>
          </cell>
          <cell r="W132">
            <v>15705.382636418868</v>
          </cell>
          <cell r="X132">
            <v>6889.9388645711497</v>
          </cell>
          <cell r="AA132">
            <v>6889.9388645711497</v>
          </cell>
          <cell r="AB132">
            <v>14778.329917012754</v>
          </cell>
          <cell r="AC132"/>
          <cell r="AD132"/>
          <cell r="AE132">
            <v>14778.329917012754</v>
          </cell>
          <cell r="AF132">
            <v>3223.2792509444957</v>
          </cell>
          <cell r="AI132">
            <v>3223.2792509444957</v>
          </cell>
        </row>
        <row r="133">
          <cell r="E133">
            <v>62</v>
          </cell>
          <cell r="F133" t="str">
            <v>CUST</v>
          </cell>
          <cell r="G133">
            <v>0</v>
          </cell>
          <cell r="H133"/>
          <cell r="I133"/>
          <cell r="J133"/>
          <cell r="K133"/>
          <cell r="L133">
            <v>0</v>
          </cell>
          <cell r="O133">
            <v>0</v>
          </cell>
          <cell r="P133">
            <v>0</v>
          </cell>
          <cell r="S133">
            <v>0</v>
          </cell>
          <cell r="T133">
            <v>0</v>
          </cell>
          <cell r="W133">
            <v>0</v>
          </cell>
          <cell r="X133">
            <v>0</v>
          </cell>
          <cell r="AA133">
            <v>0</v>
          </cell>
          <cell r="AB133">
            <v>0</v>
          </cell>
          <cell r="AC133"/>
          <cell r="AD133"/>
          <cell r="AE133">
            <v>0</v>
          </cell>
          <cell r="AF133">
            <v>0</v>
          </cell>
          <cell r="AI133">
            <v>0</v>
          </cell>
        </row>
        <row r="134">
          <cell r="E134">
            <v>62</v>
          </cell>
          <cell r="F134" t="str">
            <v>CUST</v>
          </cell>
          <cell r="G134">
            <v>0</v>
          </cell>
          <cell r="H134"/>
          <cell r="I134"/>
          <cell r="J134"/>
          <cell r="K134"/>
          <cell r="L134">
            <v>0</v>
          </cell>
          <cell r="O134">
            <v>0</v>
          </cell>
          <cell r="P134">
            <v>0</v>
          </cell>
          <cell r="S134">
            <v>0</v>
          </cell>
          <cell r="T134">
            <v>0</v>
          </cell>
          <cell r="W134">
            <v>0</v>
          </cell>
          <cell r="X134">
            <v>0</v>
          </cell>
          <cell r="AA134">
            <v>0</v>
          </cell>
          <cell r="AB134">
            <v>0</v>
          </cell>
          <cell r="AC134"/>
          <cell r="AD134"/>
          <cell r="AE134">
            <v>0</v>
          </cell>
          <cell r="AF134">
            <v>0</v>
          </cell>
          <cell r="AI134">
            <v>0</v>
          </cell>
        </row>
        <row r="135">
          <cell r="E135">
            <v>62</v>
          </cell>
          <cell r="F135" t="str">
            <v>CUST</v>
          </cell>
          <cell r="G135">
            <v>0.1683087563617382</v>
          </cell>
          <cell r="H135"/>
          <cell r="I135"/>
          <cell r="J135"/>
          <cell r="K135"/>
          <cell r="L135">
            <v>196.05898473182825</v>
          </cell>
          <cell r="O135">
            <v>196.05898473182825</v>
          </cell>
          <cell r="P135">
            <v>5.7940754273783117</v>
          </cell>
          <cell r="S135">
            <v>5.7940754273783117</v>
          </cell>
          <cell r="T135">
            <v>0</v>
          </cell>
          <cell r="W135">
            <v>0</v>
          </cell>
          <cell r="X135">
            <v>0</v>
          </cell>
          <cell r="AA135">
            <v>0</v>
          </cell>
          <cell r="AB135">
            <v>0</v>
          </cell>
          <cell r="AC135"/>
          <cell r="AD135"/>
          <cell r="AE135">
            <v>0</v>
          </cell>
          <cell r="AF135">
            <v>0.1174474748792901</v>
          </cell>
          <cell r="AI135">
            <v>0.1174474748792901</v>
          </cell>
        </row>
        <row r="136">
          <cell r="E136">
            <v>56</v>
          </cell>
          <cell r="F136" t="str">
            <v>DH</v>
          </cell>
          <cell r="G136">
            <v>0.11021083809358595</v>
          </cell>
          <cell r="H136"/>
          <cell r="I136"/>
          <cell r="J136"/>
          <cell r="K136"/>
          <cell r="L136">
            <v>1028.8183552539012</v>
          </cell>
          <cell r="O136">
            <v>1028.8183552539012</v>
          </cell>
          <cell r="P136">
            <v>452.76428587346237</v>
          </cell>
          <cell r="S136">
            <v>452.76428587346237</v>
          </cell>
          <cell r="T136">
            <v>897.22616825368539</v>
          </cell>
          <cell r="W136">
            <v>897.22616825368539</v>
          </cell>
          <cell r="X136">
            <v>393.6124060184564</v>
          </cell>
          <cell r="AA136">
            <v>393.6124060184564</v>
          </cell>
          <cell r="AB136">
            <v>844.26496517716021</v>
          </cell>
          <cell r="AC136"/>
          <cell r="AD136"/>
          <cell r="AE136">
            <v>844.26496517716021</v>
          </cell>
          <cell r="AF136">
            <v>184.14135831560822</v>
          </cell>
          <cell r="AI136">
            <v>184.14135831560822</v>
          </cell>
        </row>
        <row r="137">
          <cell r="E137">
            <v>57</v>
          </cell>
          <cell r="F137" t="str">
            <v>DH</v>
          </cell>
          <cell r="G137">
            <v>0.11021083809358595</v>
          </cell>
          <cell r="H137"/>
          <cell r="I137"/>
          <cell r="J137"/>
          <cell r="K137"/>
          <cell r="L137">
            <v>1208.5194496403387</v>
          </cell>
          <cell r="O137">
            <v>1208.5194496403387</v>
          </cell>
          <cell r="P137">
            <v>531.8474760742007</v>
          </cell>
          <cell r="S137">
            <v>531.8474760742007</v>
          </cell>
          <cell r="T137">
            <v>1053.9423888809374</v>
          </cell>
          <cell r="W137">
            <v>1053.9423888809374</v>
          </cell>
          <cell r="X137">
            <v>462.36368729603367</v>
          </cell>
          <cell r="AA137">
            <v>462.36368729603367</v>
          </cell>
          <cell r="AB137">
            <v>991.73058670276146</v>
          </cell>
          <cell r="AC137"/>
          <cell r="AD137"/>
          <cell r="AE137">
            <v>991.73058670276146</v>
          </cell>
          <cell r="AF137">
            <v>216.30486263309641</v>
          </cell>
          <cell r="AI137">
            <v>216.30486263309641</v>
          </cell>
        </row>
        <row r="138">
          <cell r="E138">
            <v>58</v>
          </cell>
          <cell r="F138" t="str">
            <v>DH</v>
          </cell>
          <cell r="G138">
            <v>0.11021083809358594</v>
          </cell>
          <cell r="H138"/>
          <cell r="I138"/>
          <cell r="J138"/>
          <cell r="K138"/>
          <cell r="L138">
            <v>1295.4175311477331</v>
          </cell>
          <cell r="O138">
            <v>1295.4175311477331</v>
          </cell>
          <cell r="P138">
            <v>570.08974461125422</v>
          </cell>
          <cell r="S138">
            <v>570.08974461125422</v>
          </cell>
          <cell r="T138">
            <v>1129.7256720050361</v>
          </cell>
          <cell r="W138">
            <v>1129.7256720050361</v>
          </cell>
          <cell r="X138">
            <v>495.60975329577207</v>
          </cell>
          <cell r="AA138">
            <v>495.60975329577207</v>
          </cell>
          <cell r="AB138">
            <v>1063.0405564201044</v>
          </cell>
          <cell r="AC138"/>
          <cell r="AD138"/>
          <cell r="AE138">
            <v>1063.0405564201044</v>
          </cell>
          <cell r="AF138">
            <v>231.85817258531148</v>
          </cell>
          <cell r="AI138">
            <v>231.85817258531148</v>
          </cell>
        </row>
        <row r="139">
          <cell r="E139">
            <v>56</v>
          </cell>
          <cell r="F139" t="str">
            <v>DH</v>
          </cell>
          <cell r="G139">
            <v>0.11021083809358596</v>
          </cell>
          <cell r="H139"/>
          <cell r="I139"/>
          <cell r="J139"/>
          <cell r="K139"/>
          <cell r="L139">
            <v>240.69967014099589</v>
          </cell>
          <cell r="O139">
            <v>240.69967014099589</v>
          </cell>
          <cell r="P139">
            <v>105.92755631237821</v>
          </cell>
          <cell r="S139">
            <v>105.92755631237821</v>
          </cell>
          <cell r="T139">
            <v>209.91270386815236</v>
          </cell>
          <cell r="W139">
            <v>209.91270386815236</v>
          </cell>
          <cell r="X139">
            <v>92.088536142674869</v>
          </cell>
          <cell r="AA139">
            <v>92.088536142674869</v>
          </cell>
          <cell r="AB139">
            <v>197.52203835787006</v>
          </cell>
          <cell r="AC139"/>
          <cell r="AD139"/>
          <cell r="AE139">
            <v>197.52203835787006</v>
          </cell>
          <cell r="AF139">
            <v>43.081233902503087</v>
          </cell>
          <cell r="AI139">
            <v>43.081233902503087</v>
          </cell>
        </row>
        <row r="140">
          <cell r="E140">
            <v>56</v>
          </cell>
          <cell r="F140" t="str">
            <v>DH</v>
          </cell>
          <cell r="G140">
            <v>0.11021083809358598</v>
          </cell>
          <cell r="H140"/>
          <cell r="I140"/>
          <cell r="J140"/>
          <cell r="K140"/>
          <cell r="L140">
            <v>10.548655302481038</v>
          </cell>
          <cell r="O140">
            <v>10.548655302481038</v>
          </cell>
          <cell r="P140">
            <v>4.6422717485191649</v>
          </cell>
          <cell r="S140">
            <v>4.6422717485191649</v>
          </cell>
          <cell r="T140">
            <v>9.1994174957524333</v>
          </cell>
          <cell r="W140">
            <v>9.1994174957524333</v>
          </cell>
          <cell r="X140">
            <v>4.0357771346762377</v>
          </cell>
          <cell r="AA140">
            <v>4.0357771346762377</v>
          </cell>
          <cell r="AB140">
            <v>8.6563969782762591</v>
          </cell>
          <cell r="AC140"/>
          <cell r="AD140"/>
          <cell r="AE140">
            <v>8.6563969782762591</v>
          </cell>
          <cell r="AF140">
            <v>1.8880336901868624</v>
          </cell>
          <cell r="AI140">
            <v>1.8880336901868624</v>
          </cell>
        </row>
        <row r="141">
          <cell r="E141">
            <v>29</v>
          </cell>
          <cell r="F141" t="str">
            <v>DH</v>
          </cell>
          <cell r="G141">
            <v>0</v>
          </cell>
          <cell r="H141"/>
          <cell r="I141"/>
          <cell r="J141"/>
          <cell r="K141"/>
          <cell r="L141">
            <v>0</v>
          </cell>
          <cell r="O141">
            <v>0</v>
          </cell>
          <cell r="P141">
            <v>0</v>
          </cell>
          <cell r="S141">
            <v>0</v>
          </cell>
          <cell r="T141">
            <v>0</v>
          </cell>
          <cell r="W141">
            <v>0</v>
          </cell>
          <cell r="X141">
            <v>0</v>
          </cell>
          <cell r="AA141">
            <v>0</v>
          </cell>
          <cell r="AB141">
            <v>0</v>
          </cell>
          <cell r="AC141"/>
          <cell r="AD141"/>
          <cell r="AE141">
            <v>0</v>
          </cell>
          <cell r="AF141">
            <v>0</v>
          </cell>
          <cell r="AI141">
            <v>0</v>
          </cell>
        </row>
        <row r="142">
          <cell r="E142">
            <v>28</v>
          </cell>
          <cell r="F142" t="str">
            <v>DH</v>
          </cell>
          <cell r="G142">
            <v>0.11021083809358598</v>
          </cell>
          <cell r="H142"/>
          <cell r="I142"/>
          <cell r="J142"/>
          <cell r="K142"/>
          <cell r="L142">
            <v>48.120185131677005</v>
          </cell>
          <cell r="O142">
            <v>48.120185131677005</v>
          </cell>
          <cell r="P142">
            <v>21.176820131543742</v>
          </cell>
          <cell r="S142">
            <v>21.176820131543742</v>
          </cell>
          <cell r="T142">
            <v>41.965317882278129</v>
          </cell>
          <cell r="W142">
            <v>41.965317882278129</v>
          </cell>
          <cell r="X142">
            <v>18.41015155980433</v>
          </cell>
          <cell r="AA142">
            <v>18.41015155980433</v>
          </cell>
          <cell r="AB142">
            <v>39.488201408000428</v>
          </cell>
          <cell r="AC142"/>
          <cell r="AD142"/>
          <cell r="AE142">
            <v>39.488201408000428</v>
          </cell>
          <cell r="AF142">
            <v>8.6127120567933098</v>
          </cell>
          <cell r="AI142">
            <v>8.6127120567933098</v>
          </cell>
        </row>
        <row r="143">
          <cell r="E143">
            <v>86</v>
          </cell>
          <cell r="F143" t="str">
            <v>DH</v>
          </cell>
          <cell r="G143">
            <v>0</v>
          </cell>
          <cell r="H143"/>
          <cell r="I143"/>
          <cell r="J143"/>
          <cell r="K143"/>
          <cell r="L143">
            <v>0</v>
          </cell>
          <cell r="O143">
            <v>0</v>
          </cell>
          <cell r="P143">
            <v>0</v>
          </cell>
          <cell r="S143">
            <v>0</v>
          </cell>
          <cell r="T143">
            <v>0</v>
          </cell>
          <cell r="W143">
            <v>0</v>
          </cell>
          <cell r="X143">
            <v>0</v>
          </cell>
          <cell r="AA143">
            <v>0</v>
          </cell>
          <cell r="AB143">
            <v>0</v>
          </cell>
          <cell r="AC143"/>
          <cell r="AD143"/>
          <cell r="AE143">
            <v>0</v>
          </cell>
          <cell r="AF143">
            <v>0</v>
          </cell>
          <cell r="AI143">
            <v>0</v>
          </cell>
        </row>
        <row r="144">
          <cell r="E144">
            <v>60</v>
          </cell>
          <cell r="F144" t="str">
            <v>DH</v>
          </cell>
          <cell r="G144">
            <v>0.11021083809358595</v>
          </cell>
          <cell r="H144"/>
          <cell r="I144"/>
          <cell r="J144"/>
          <cell r="K144"/>
          <cell r="L144">
            <v>266.00779153765819</v>
          </cell>
          <cell r="O144">
            <v>266.00779153765819</v>
          </cell>
          <cell r="P144">
            <v>117.06520121581779</v>
          </cell>
          <cell r="S144">
            <v>117.06520121581779</v>
          </cell>
          <cell r="T144">
            <v>231.98376108682194</v>
          </cell>
          <cell r="W144">
            <v>231.98376108682194</v>
          </cell>
          <cell r="X144">
            <v>101.77109138080436</v>
          </cell>
          <cell r="AA144">
            <v>101.77109138080436</v>
          </cell>
          <cell r="AB144">
            <v>218.29029168513438</v>
          </cell>
          <cell r="AC144"/>
          <cell r="AD144"/>
          <cell r="AE144">
            <v>218.29029168513438</v>
          </cell>
          <cell r="AF144">
            <v>47.610966315031433</v>
          </cell>
          <cell r="AI144">
            <v>47.610966315031433</v>
          </cell>
        </row>
        <row r="145">
          <cell r="E145">
            <v>84</v>
          </cell>
          <cell r="F145" t="str">
            <v>CUST</v>
          </cell>
          <cell r="G145">
            <v>0</v>
          </cell>
          <cell r="H145"/>
          <cell r="I145"/>
          <cell r="J145"/>
          <cell r="K145"/>
          <cell r="L145">
            <v>0</v>
          </cell>
          <cell r="O145">
            <v>0</v>
          </cell>
          <cell r="P145">
            <v>0</v>
          </cell>
          <cell r="S145">
            <v>0</v>
          </cell>
          <cell r="T145">
            <v>0</v>
          </cell>
          <cell r="W145">
            <v>0</v>
          </cell>
          <cell r="X145">
            <v>0</v>
          </cell>
          <cell r="AA145">
            <v>0</v>
          </cell>
          <cell r="AB145">
            <v>0</v>
          </cell>
          <cell r="AC145"/>
          <cell r="AD145"/>
          <cell r="AE145">
            <v>0</v>
          </cell>
          <cell r="AF145">
            <v>0</v>
          </cell>
          <cell r="AI145">
            <v>0</v>
          </cell>
        </row>
        <row r="146">
          <cell r="E146">
            <v>30</v>
          </cell>
          <cell r="F146" t="str">
            <v>TH</v>
          </cell>
          <cell r="G146">
            <v>0.10792364863995128</v>
          </cell>
          <cell r="H146"/>
          <cell r="I146"/>
          <cell r="J146"/>
          <cell r="K146"/>
          <cell r="L146">
            <v>2.0122323752089453</v>
          </cell>
          <cell r="O146">
            <v>2.0122323752089453</v>
          </cell>
          <cell r="P146">
            <v>1.0188335424822648</v>
          </cell>
          <cell r="S146">
            <v>1.0188335424822648</v>
          </cell>
          <cell r="T146">
            <v>1.8256225253080067</v>
          </cell>
          <cell r="W146">
            <v>1.8256225253080067</v>
          </cell>
          <cell r="X146">
            <v>0.87735742463692556</v>
          </cell>
          <cell r="AA146">
            <v>0.87735742463692556</v>
          </cell>
          <cell r="AB146">
            <v>1.6348904707634324</v>
          </cell>
          <cell r="AC146"/>
          <cell r="AD146"/>
          <cell r="AE146">
            <v>1.6348904707634324</v>
          </cell>
          <cell r="AF146">
            <v>0.4404188771873</v>
          </cell>
          <cell r="AI146">
            <v>0.4404188771873</v>
          </cell>
        </row>
        <row r="147">
          <cell r="E147">
            <v>74</v>
          </cell>
          <cell r="F147" t="str">
            <v>CUST</v>
          </cell>
          <cell r="G147">
            <v>0</v>
          </cell>
          <cell r="H147"/>
          <cell r="I147"/>
          <cell r="J147"/>
          <cell r="K147"/>
          <cell r="L147">
            <v>0</v>
          </cell>
          <cell r="O147">
            <v>0</v>
          </cell>
          <cell r="P147">
            <v>0</v>
          </cell>
          <cell r="S147">
            <v>0</v>
          </cell>
          <cell r="T147">
            <v>0</v>
          </cell>
          <cell r="W147">
            <v>0</v>
          </cell>
          <cell r="X147">
            <v>0</v>
          </cell>
          <cell r="AA147">
            <v>0</v>
          </cell>
          <cell r="AB147">
            <v>0</v>
          </cell>
          <cell r="AC147"/>
          <cell r="AD147"/>
          <cell r="AE147">
            <v>0</v>
          </cell>
          <cell r="AF147">
            <v>0</v>
          </cell>
          <cell r="AI147">
            <v>0</v>
          </cell>
        </row>
        <row r="148">
          <cell r="E148">
            <v>87</v>
          </cell>
          <cell r="F148" t="str">
            <v>REV</v>
          </cell>
          <cell r="G148">
            <v>0</v>
          </cell>
          <cell r="H148"/>
          <cell r="I148"/>
          <cell r="J148"/>
          <cell r="K148"/>
          <cell r="L148">
            <v>0</v>
          </cell>
          <cell r="O148">
            <v>0</v>
          </cell>
          <cell r="P148">
            <v>0</v>
          </cell>
          <cell r="S148">
            <v>0</v>
          </cell>
          <cell r="T148">
            <v>0</v>
          </cell>
          <cell r="W148">
            <v>0</v>
          </cell>
          <cell r="X148">
            <v>0</v>
          </cell>
          <cell r="AA148">
            <v>0</v>
          </cell>
          <cell r="AB148">
            <v>0</v>
          </cell>
          <cell r="AC148"/>
          <cell r="AD148"/>
          <cell r="AE148">
            <v>0</v>
          </cell>
          <cell r="AF148">
            <v>0</v>
          </cell>
          <cell r="AI148">
            <v>0</v>
          </cell>
        </row>
        <row r="149">
          <cell r="E149">
            <v>87</v>
          </cell>
          <cell r="F149" t="str">
            <v>REV</v>
          </cell>
          <cell r="G149">
            <v>0</v>
          </cell>
          <cell r="H149"/>
          <cell r="I149"/>
          <cell r="J149"/>
          <cell r="K149"/>
          <cell r="L149">
            <v>0</v>
          </cell>
          <cell r="O149">
            <v>0</v>
          </cell>
          <cell r="P149">
            <v>0</v>
          </cell>
          <cell r="S149">
            <v>0</v>
          </cell>
          <cell r="T149">
            <v>0</v>
          </cell>
          <cell r="W149">
            <v>0</v>
          </cell>
          <cell r="X149">
            <v>0</v>
          </cell>
          <cell r="AA149">
            <v>0</v>
          </cell>
          <cell r="AB149">
            <v>0</v>
          </cell>
          <cell r="AC149"/>
          <cell r="AD149"/>
          <cell r="AE149">
            <v>0</v>
          </cell>
          <cell r="AF149">
            <v>0</v>
          </cell>
          <cell r="AI149">
            <v>0</v>
          </cell>
        </row>
        <row r="150">
          <cell r="E150">
            <v>56</v>
          </cell>
          <cell r="F150" t="str">
            <v>DH</v>
          </cell>
          <cell r="G150">
            <v>0</v>
          </cell>
          <cell r="H150"/>
          <cell r="I150"/>
          <cell r="J150"/>
          <cell r="K150"/>
          <cell r="L150">
            <v>0</v>
          </cell>
          <cell r="O150">
            <v>0</v>
          </cell>
          <cell r="P150">
            <v>0</v>
          </cell>
          <cell r="S150">
            <v>0</v>
          </cell>
          <cell r="T150">
            <v>0</v>
          </cell>
          <cell r="W150">
            <v>0</v>
          </cell>
          <cell r="X150">
            <v>0</v>
          </cell>
          <cell r="AA150">
            <v>0</v>
          </cell>
          <cell r="AB150">
            <v>0</v>
          </cell>
          <cell r="AC150"/>
          <cell r="AD150"/>
          <cell r="AE150">
            <v>0</v>
          </cell>
          <cell r="AF150">
            <v>0</v>
          </cell>
          <cell r="AI150">
            <v>0</v>
          </cell>
        </row>
        <row r="151">
          <cell r="E151">
            <v>42</v>
          </cell>
          <cell r="F151" t="str">
            <v>DH</v>
          </cell>
          <cell r="G151">
            <v>0.11021083809358594</v>
          </cell>
          <cell r="H151"/>
          <cell r="I151"/>
          <cell r="J151"/>
          <cell r="K151"/>
          <cell r="L151">
            <v>486.50451952948498</v>
          </cell>
          <cell r="O151">
            <v>486.50451952948498</v>
          </cell>
          <cell r="P151">
            <v>214.1018093564422</v>
          </cell>
          <cell r="S151">
            <v>214.1018093564422</v>
          </cell>
          <cell r="T151">
            <v>424.27760320024169</v>
          </cell>
          <cell r="W151">
            <v>424.27760320024169</v>
          </cell>
          <cell r="X151">
            <v>186.1302468924118</v>
          </cell>
          <cell r="AA151">
            <v>186.1302468924118</v>
          </cell>
          <cell r="AB151">
            <v>399.23346929179331</v>
          </cell>
          <cell r="AC151"/>
          <cell r="AD151"/>
          <cell r="AE151">
            <v>399.23346929179331</v>
          </cell>
          <cell r="AF151">
            <v>87.076209901730365</v>
          </cell>
          <cell r="AI151">
            <v>87.076209901730365</v>
          </cell>
        </row>
        <row r="152">
          <cell r="E152">
            <v>42</v>
          </cell>
          <cell r="F152" t="str">
            <v>DH</v>
          </cell>
          <cell r="G152">
            <v>0</v>
          </cell>
          <cell r="H152"/>
          <cell r="I152"/>
          <cell r="J152"/>
          <cell r="K152"/>
          <cell r="L152">
            <v>0</v>
          </cell>
          <cell r="O152">
            <v>0</v>
          </cell>
          <cell r="P152">
            <v>0</v>
          </cell>
          <cell r="S152">
            <v>0</v>
          </cell>
          <cell r="T152">
            <v>0</v>
          </cell>
          <cell r="W152">
            <v>0</v>
          </cell>
          <cell r="X152">
            <v>0</v>
          </cell>
          <cell r="AA152">
            <v>0</v>
          </cell>
          <cell r="AB152">
            <v>0</v>
          </cell>
          <cell r="AC152"/>
          <cell r="AD152"/>
          <cell r="AE152">
            <v>0</v>
          </cell>
          <cell r="AF152">
            <v>0</v>
          </cell>
          <cell r="AI152">
            <v>0</v>
          </cell>
        </row>
        <row r="153">
          <cell r="E153">
            <v>34</v>
          </cell>
          <cell r="F153" t="str">
            <v>DH</v>
          </cell>
          <cell r="G153">
            <v>0.11021083809358596</v>
          </cell>
          <cell r="H153"/>
          <cell r="I153"/>
          <cell r="J153"/>
          <cell r="K153"/>
          <cell r="L153">
            <v>1018.4556651176597</v>
          </cell>
          <cell r="O153">
            <v>1018.4556651176597</v>
          </cell>
          <cell r="P153">
            <v>448.20385401947829</v>
          </cell>
          <cell r="S153">
            <v>448.20385401947829</v>
          </cell>
          <cell r="T153">
            <v>888.18892983714693</v>
          </cell>
          <cell r="W153">
            <v>888.18892983714693</v>
          </cell>
          <cell r="X153">
            <v>389.64777671677257</v>
          </cell>
          <cell r="AA153">
            <v>389.64777671677257</v>
          </cell>
          <cell r="AB153">
            <v>835.76117421898209</v>
          </cell>
          <cell r="AC153"/>
          <cell r="AD153"/>
          <cell r="AE153">
            <v>835.76117421898209</v>
          </cell>
          <cell r="AF153">
            <v>182.28660929431925</v>
          </cell>
          <cell r="AI153">
            <v>182.28660929431925</v>
          </cell>
        </row>
        <row r="154">
          <cell r="E154">
            <v>75</v>
          </cell>
          <cell r="F154" t="str">
            <v>CUST</v>
          </cell>
          <cell r="G154">
            <v>0.1683087563617382</v>
          </cell>
          <cell r="H154"/>
          <cell r="I154"/>
          <cell r="J154"/>
          <cell r="K154"/>
          <cell r="L154">
            <v>4784.3163043194572</v>
          </cell>
          <cell r="O154">
            <v>4784.3163043194572</v>
          </cell>
          <cell r="P154">
            <v>141.38953934490408</v>
          </cell>
          <cell r="S154">
            <v>141.38953934490408</v>
          </cell>
          <cell r="T154">
            <v>0</v>
          </cell>
          <cell r="W154">
            <v>0</v>
          </cell>
          <cell r="X154">
            <v>0</v>
          </cell>
          <cell r="AA154">
            <v>0</v>
          </cell>
          <cell r="AB154">
            <v>0</v>
          </cell>
          <cell r="AC154"/>
          <cell r="AD154"/>
          <cell r="AE154">
            <v>0</v>
          </cell>
          <cell r="AF154">
            <v>2.8660041759102182</v>
          </cell>
          <cell r="AI154">
            <v>2.8660041759102182</v>
          </cell>
        </row>
        <row r="155">
          <cell r="E155">
            <v>75</v>
          </cell>
          <cell r="F155" t="str">
            <v>CUST</v>
          </cell>
          <cell r="G155">
            <v>0.1683087563617382</v>
          </cell>
          <cell r="H155"/>
          <cell r="I155"/>
          <cell r="J155"/>
          <cell r="K155"/>
          <cell r="L155">
            <v>369.60059506720597</v>
          </cell>
          <cell r="O155">
            <v>369.60059506720597</v>
          </cell>
          <cell r="P155">
            <v>10.922701291922222</v>
          </cell>
          <cell r="S155">
            <v>10.922701291922222</v>
          </cell>
          <cell r="T155">
            <v>0</v>
          </cell>
          <cell r="W155">
            <v>0</v>
          </cell>
          <cell r="X155">
            <v>0</v>
          </cell>
          <cell r="AA155">
            <v>0</v>
          </cell>
          <cell r="AB155">
            <v>0</v>
          </cell>
          <cell r="AC155"/>
          <cell r="AD155"/>
          <cell r="AE155">
            <v>0</v>
          </cell>
          <cell r="AF155">
            <v>0.22140610726869375</v>
          </cell>
          <cell r="AI155">
            <v>0.22140610726869375</v>
          </cell>
        </row>
        <row r="156">
          <cell r="E156">
            <v>43</v>
          </cell>
          <cell r="F156" t="str">
            <v>DH</v>
          </cell>
          <cell r="G156">
            <v>0.11021083809358594</v>
          </cell>
          <cell r="H156"/>
          <cell r="I156"/>
          <cell r="J156"/>
          <cell r="K156"/>
          <cell r="L156">
            <v>8224.6681056296711</v>
          </cell>
          <cell r="O156">
            <v>8224.6681056296711</v>
          </cell>
          <cell r="P156">
            <v>3619.5271617919948</v>
          </cell>
          <cell r="S156">
            <v>3619.5271617919948</v>
          </cell>
          <cell r="T156">
            <v>7172.6825361229621</v>
          </cell>
          <cell r="W156">
            <v>7172.6825361229621</v>
          </cell>
          <cell r="X156">
            <v>3146.6501207214724</v>
          </cell>
          <cell r="AA156">
            <v>3146.6501207214724</v>
          </cell>
          <cell r="AB156">
            <v>6749.2955353420784</v>
          </cell>
          <cell r="AC156"/>
          <cell r="AD156"/>
          <cell r="AE156">
            <v>6749.2955353420784</v>
          </cell>
          <cell r="AF156">
            <v>1472.0786705753762</v>
          </cell>
          <cell r="AI156">
            <v>1472.0786705753762</v>
          </cell>
        </row>
        <row r="157">
          <cell r="E157">
            <v>43</v>
          </cell>
          <cell r="F157" t="str">
            <v>DH</v>
          </cell>
          <cell r="G157">
            <v>0.11021083809358596</v>
          </cell>
          <cell r="H157"/>
          <cell r="I157"/>
          <cell r="J157"/>
          <cell r="K157"/>
          <cell r="L157">
            <v>51.609654053428152</v>
          </cell>
          <cell r="O157">
            <v>51.609654053428152</v>
          </cell>
          <cell r="P157">
            <v>22.712472072788898</v>
          </cell>
          <cell r="S157">
            <v>22.712472072788898</v>
          </cell>
          <cell r="T157">
            <v>45.008462295395098</v>
          </cell>
          <cell r="W157">
            <v>45.008462295395098</v>
          </cell>
          <cell r="X157">
            <v>19.745176592165983</v>
          </cell>
          <cell r="AA157">
            <v>19.745176592165983</v>
          </cell>
          <cell r="AB157">
            <v>42.351715985344811</v>
          </cell>
          <cell r="AC157"/>
          <cell r="AD157"/>
          <cell r="AE157">
            <v>42.351715985344811</v>
          </cell>
          <cell r="AF157">
            <v>9.2372689027807464</v>
          </cell>
          <cell r="AI157">
            <v>9.2372689027807464</v>
          </cell>
        </row>
        <row r="158">
          <cell r="E158">
            <v>85</v>
          </cell>
          <cell r="F158" t="str">
            <v>DH</v>
          </cell>
          <cell r="G158">
            <v>0</v>
          </cell>
          <cell r="H158"/>
          <cell r="I158"/>
          <cell r="J158"/>
          <cell r="K158"/>
          <cell r="L158">
            <v>0</v>
          </cell>
          <cell r="O158">
            <v>0</v>
          </cell>
          <cell r="P158">
            <v>0</v>
          </cell>
          <cell r="S158">
            <v>0</v>
          </cell>
          <cell r="T158">
            <v>0</v>
          </cell>
          <cell r="W158">
            <v>0</v>
          </cell>
          <cell r="X158">
            <v>0</v>
          </cell>
          <cell r="AA158">
            <v>0</v>
          </cell>
          <cell r="AB158">
            <v>0</v>
          </cell>
          <cell r="AC158"/>
          <cell r="AD158"/>
          <cell r="AE158">
            <v>0</v>
          </cell>
          <cell r="AF158">
            <v>0</v>
          </cell>
          <cell r="AI158">
            <v>0</v>
          </cell>
        </row>
        <row r="159">
          <cell r="E159">
            <v>54</v>
          </cell>
          <cell r="F159" t="str">
            <v>DH</v>
          </cell>
          <cell r="G159">
            <v>0</v>
          </cell>
          <cell r="H159"/>
          <cell r="I159"/>
          <cell r="J159"/>
          <cell r="K159"/>
          <cell r="L159">
            <v>0</v>
          </cell>
          <cell r="O159">
            <v>0</v>
          </cell>
          <cell r="P159">
            <v>0</v>
          </cell>
          <cell r="S159">
            <v>0</v>
          </cell>
          <cell r="T159">
            <v>0</v>
          </cell>
          <cell r="W159">
            <v>0</v>
          </cell>
          <cell r="X159">
            <v>0</v>
          </cell>
          <cell r="AA159">
            <v>0</v>
          </cell>
          <cell r="AB159">
            <v>0</v>
          </cell>
          <cell r="AC159"/>
          <cell r="AD159"/>
          <cell r="AE159">
            <v>0</v>
          </cell>
          <cell r="AF159">
            <v>0</v>
          </cell>
          <cell r="AI159">
            <v>0</v>
          </cell>
        </row>
        <row r="160">
          <cell r="E160">
            <v>54</v>
          </cell>
          <cell r="F160" t="str">
            <v>DH</v>
          </cell>
          <cell r="G160">
            <v>0.11021083809358595</v>
          </cell>
          <cell r="H160"/>
          <cell r="I160"/>
          <cell r="J160"/>
          <cell r="K160"/>
          <cell r="L160">
            <v>1415.8347869223701</v>
          </cell>
          <cell r="O160">
            <v>1415.8347869223701</v>
          </cell>
          <cell r="P160">
            <v>623.08319339570005</v>
          </cell>
          <cell r="S160">
            <v>623.08319339570005</v>
          </cell>
          <cell r="T160">
            <v>1234.7408211210702</v>
          </cell>
          <cell r="W160">
            <v>1234.7408211210702</v>
          </cell>
          <cell r="X160">
            <v>541.67981564404477</v>
          </cell>
          <cell r="AA160">
            <v>541.67981564404477</v>
          </cell>
          <cell r="AB160">
            <v>1161.8569021181877</v>
          </cell>
          <cell r="AC160"/>
          <cell r="AD160"/>
          <cell r="AE160">
            <v>1161.8569021181877</v>
          </cell>
          <cell r="AF160">
            <v>253.41085672021629</v>
          </cell>
          <cell r="AI160">
            <v>253.41085672021629</v>
          </cell>
        </row>
        <row r="161">
          <cell r="E161">
            <v>54</v>
          </cell>
          <cell r="F161" t="str">
            <v>DH</v>
          </cell>
          <cell r="G161">
            <v>0.11021083809358598</v>
          </cell>
          <cell r="H161"/>
          <cell r="I161"/>
          <cell r="J161"/>
          <cell r="K161"/>
          <cell r="L161">
            <v>205.44132677151256</v>
          </cell>
          <cell r="O161">
            <v>205.44132677151256</v>
          </cell>
          <cell r="P161">
            <v>90.410999307691228</v>
          </cell>
          <cell r="S161">
            <v>90.410999307691228</v>
          </cell>
          <cell r="T161">
            <v>179.16411918473932</v>
          </cell>
          <cell r="W161">
            <v>179.16411918473932</v>
          </cell>
          <cell r="X161">
            <v>78.599156511163287</v>
          </cell>
          <cell r="AA161">
            <v>78.599156511163287</v>
          </cell>
          <cell r="AB161">
            <v>168.58847211167401</v>
          </cell>
          <cell r="AC161"/>
          <cell r="AD161"/>
          <cell r="AE161">
            <v>168.58847211167401</v>
          </cell>
          <cell r="AF161">
            <v>36.770577403365778</v>
          </cell>
          <cell r="AI161">
            <v>36.770577403365778</v>
          </cell>
        </row>
        <row r="162">
          <cell r="E162">
            <v>37</v>
          </cell>
          <cell r="F162" t="str">
            <v>DH</v>
          </cell>
          <cell r="G162">
            <v>0</v>
          </cell>
          <cell r="H162"/>
          <cell r="I162"/>
          <cell r="J162"/>
          <cell r="K162"/>
          <cell r="L162">
            <v>0</v>
          </cell>
          <cell r="O162">
            <v>0</v>
          </cell>
          <cell r="P162">
            <v>0</v>
          </cell>
          <cell r="S162">
            <v>0</v>
          </cell>
          <cell r="T162">
            <v>0</v>
          </cell>
          <cell r="W162">
            <v>0</v>
          </cell>
          <cell r="X162">
            <v>0</v>
          </cell>
          <cell r="AA162">
            <v>0</v>
          </cell>
          <cell r="AB162">
            <v>0</v>
          </cell>
          <cell r="AC162"/>
          <cell r="AD162"/>
          <cell r="AE162">
            <v>0</v>
          </cell>
          <cell r="AF162">
            <v>0</v>
          </cell>
          <cell r="AI162">
            <v>0</v>
          </cell>
        </row>
        <row r="163">
          <cell r="E163">
            <v>54</v>
          </cell>
          <cell r="F163" t="str">
            <v>DH</v>
          </cell>
          <cell r="G163">
            <v>0.11021083809358596</v>
          </cell>
          <cell r="H163"/>
          <cell r="I163"/>
          <cell r="J163"/>
          <cell r="K163"/>
          <cell r="L163">
            <v>2003.17770907316</v>
          </cell>
          <cell r="O163">
            <v>2003.17770907316</v>
          </cell>
          <cell r="P163">
            <v>881.56215360515989</v>
          </cell>
          <cell r="S163">
            <v>881.56215360515989</v>
          </cell>
          <cell r="T163">
            <v>1746.9589758625095</v>
          </cell>
          <cell r="W163">
            <v>1746.9589758625095</v>
          </cell>
          <cell r="X163">
            <v>766.38951251626793</v>
          </cell>
          <cell r="AA163">
            <v>766.38951251626793</v>
          </cell>
          <cell r="AB163">
            <v>1643.8399938703874</v>
          </cell>
          <cell r="AC163"/>
          <cell r="AD163"/>
          <cell r="AE163">
            <v>1643.8399938703874</v>
          </cell>
          <cell r="AF163">
            <v>358.53546198176775</v>
          </cell>
          <cell r="AI163">
            <v>358.53546198176775</v>
          </cell>
        </row>
        <row r="164">
          <cell r="E164">
            <v>47</v>
          </cell>
          <cell r="F164" t="str">
            <v>TH</v>
          </cell>
          <cell r="G164">
            <v>0.10792364863995126</v>
          </cell>
          <cell r="H164"/>
          <cell r="I164"/>
          <cell r="J164"/>
          <cell r="K164"/>
          <cell r="L164">
            <v>2816.2960719836683</v>
          </cell>
          <cell r="O164">
            <v>2816.2960719836683</v>
          </cell>
          <cell r="P164">
            <v>1425.9470919207643</v>
          </cell>
          <cell r="S164">
            <v>1425.9470919207643</v>
          </cell>
          <cell r="T164">
            <v>2555.1191851865342</v>
          </cell>
          <cell r="W164">
            <v>2555.1191851865342</v>
          </cell>
          <cell r="X164">
            <v>1227.9388301135493</v>
          </cell>
          <cell r="AA164">
            <v>1227.9388301135493</v>
          </cell>
          <cell r="AB164">
            <v>2288.1729106741373</v>
          </cell>
          <cell r="AC164"/>
          <cell r="AD164"/>
          <cell r="AE164">
            <v>2288.1729106741373</v>
          </cell>
          <cell r="AF164">
            <v>616.40492874052677</v>
          </cell>
          <cell r="AI164">
            <v>616.40492874052677</v>
          </cell>
        </row>
        <row r="165">
          <cell r="E165">
            <v>86</v>
          </cell>
          <cell r="F165" t="str">
            <v>REV</v>
          </cell>
          <cell r="G165">
            <v>0</v>
          </cell>
          <cell r="H165"/>
          <cell r="I165"/>
          <cell r="J165"/>
          <cell r="K165"/>
          <cell r="L165">
            <v>0</v>
          </cell>
          <cell r="O165">
            <v>0</v>
          </cell>
          <cell r="P165">
            <v>0</v>
          </cell>
          <cell r="S165">
            <v>0</v>
          </cell>
          <cell r="T165">
            <v>0</v>
          </cell>
          <cell r="W165">
            <v>0</v>
          </cell>
          <cell r="X165">
            <v>0</v>
          </cell>
          <cell r="AA165">
            <v>0</v>
          </cell>
          <cell r="AB165">
            <v>0</v>
          </cell>
          <cell r="AC165"/>
          <cell r="AD165"/>
          <cell r="AE165">
            <v>0</v>
          </cell>
          <cell r="AF165">
            <v>0</v>
          </cell>
          <cell r="AI165">
            <v>0</v>
          </cell>
        </row>
        <row r="166">
          <cell r="E166">
            <v>54</v>
          </cell>
          <cell r="F166" t="str">
            <v>DH</v>
          </cell>
          <cell r="G166">
            <v>0.11021083809358595</v>
          </cell>
          <cell r="H166"/>
          <cell r="I166"/>
          <cell r="J166"/>
          <cell r="K166"/>
          <cell r="L166">
            <v>156.0043496572238</v>
          </cell>
          <cell r="O166">
            <v>156.0043496572238</v>
          </cell>
          <cell r="P166">
            <v>68.654682923377024</v>
          </cell>
          <cell r="S166">
            <v>68.654682923377024</v>
          </cell>
          <cell r="T166">
            <v>136.05043510262377</v>
          </cell>
          <cell r="W166">
            <v>136.05043510262377</v>
          </cell>
          <cell r="X166">
            <v>59.685217613336867</v>
          </cell>
          <cell r="AA166">
            <v>59.685217613336867</v>
          </cell>
          <cell r="AB166">
            <v>128.01968992703016</v>
          </cell>
          <cell r="AC166"/>
          <cell r="AD166"/>
          <cell r="AE166">
            <v>128.01968992703016</v>
          </cell>
          <cell r="AF166">
            <v>27.922181503006723</v>
          </cell>
          <cell r="AI166">
            <v>27.922181503006723</v>
          </cell>
        </row>
        <row r="167">
          <cell r="E167">
            <v>34</v>
          </cell>
          <cell r="F167" t="str">
            <v>DH</v>
          </cell>
          <cell r="G167">
            <v>0.11021083809358595</v>
          </cell>
          <cell r="H167"/>
          <cell r="I167"/>
          <cell r="J167"/>
          <cell r="K167"/>
          <cell r="L167">
            <v>45.065967569833091</v>
          </cell>
          <cell r="O167">
            <v>45.065967569833091</v>
          </cell>
          <cell r="P167">
            <v>19.832714414311301</v>
          </cell>
          <cell r="S167">
            <v>19.832714414311301</v>
          </cell>
          <cell r="T167">
            <v>39.301753506669719</v>
          </cell>
          <cell r="W167">
            <v>39.301753506669719</v>
          </cell>
          <cell r="X167">
            <v>17.241647987835574</v>
          </cell>
          <cell r="AA167">
            <v>17.241647987835574</v>
          </cell>
          <cell r="AB167">
            <v>36.981861129052682</v>
          </cell>
          <cell r="AC167"/>
          <cell r="AD167"/>
          <cell r="AE167">
            <v>36.981861129052682</v>
          </cell>
          <cell r="AF167">
            <v>8.066057958373257</v>
          </cell>
          <cell r="AI167">
            <v>8.066057958373257</v>
          </cell>
        </row>
        <row r="168">
          <cell r="E168">
            <v>47</v>
          </cell>
          <cell r="F168" t="str">
            <v>TH</v>
          </cell>
          <cell r="G168">
            <v>0.10792364863995128</v>
          </cell>
          <cell r="H168"/>
          <cell r="I168"/>
          <cell r="J168"/>
          <cell r="K168"/>
          <cell r="L168">
            <v>226.53631991251552</v>
          </cell>
          <cell r="O168">
            <v>226.53631991251552</v>
          </cell>
          <cell r="P168">
            <v>114.69987470676581</v>
          </cell>
          <cell r="S168">
            <v>114.69987470676581</v>
          </cell>
          <cell r="T168">
            <v>205.52785728324491</v>
          </cell>
          <cell r="W168">
            <v>205.52785728324491</v>
          </cell>
          <cell r="X168">
            <v>98.772549668640167</v>
          </cell>
          <cell r="AA168">
            <v>98.772549668640167</v>
          </cell>
          <cell r="AB168">
            <v>184.05531849587229</v>
          </cell>
          <cell r="AC168"/>
          <cell r="AD168"/>
          <cell r="AE168">
            <v>184.05531849587229</v>
          </cell>
          <cell r="AF168">
            <v>49.582181902650838</v>
          </cell>
          <cell r="AI168">
            <v>49.582181902650838</v>
          </cell>
        </row>
        <row r="169">
          <cell r="E169">
            <v>46</v>
          </cell>
          <cell r="F169" t="str">
            <v>DH</v>
          </cell>
          <cell r="G169">
            <v>0.11021083809358598</v>
          </cell>
          <cell r="H169"/>
          <cell r="I169"/>
          <cell r="J169"/>
          <cell r="K169"/>
          <cell r="L169">
            <v>4.6239863458273778</v>
          </cell>
          <cell r="O169">
            <v>4.6239863458273778</v>
          </cell>
          <cell r="P169">
            <v>2.0349324689492945</v>
          </cell>
          <cell r="S169">
            <v>2.0349324689492945</v>
          </cell>
          <cell r="T169">
            <v>4.0325500900498499</v>
          </cell>
          <cell r="W169">
            <v>4.0325500900498499</v>
          </cell>
          <cell r="X169">
            <v>1.7690765154830794</v>
          </cell>
          <cell r="AA169">
            <v>1.7690765154830794</v>
          </cell>
          <cell r="AB169">
            <v>3.7945179062014138</v>
          </cell>
          <cell r="AC169"/>
          <cell r="AD169"/>
          <cell r="AE169">
            <v>3.7945179062014138</v>
          </cell>
          <cell r="AF169">
            <v>0.8276165779948067</v>
          </cell>
          <cell r="AI169">
            <v>0.8276165779948067</v>
          </cell>
        </row>
        <row r="170">
          <cell r="E170">
            <v>46</v>
          </cell>
          <cell r="F170" t="str">
            <v>DH</v>
          </cell>
          <cell r="G170">
            <v>0.11021083809358595</v>
          </cell>
          <cell r="H170"/>
          <cell r="I170"/>
          <cell r="J170"/>
          <cell r="K170"/>
          <cell r="L170">
            <v>2571.5103792303044</v>
          </cell>
          <cell r="O170">
            <v>2571.5103792303044</v>
          </cell>
          <cell r="P170">
            <v>1131.675046933889</v>
          </cell>
          <cell r="S170">
            <v>1131.675046933889</v>
          </cell>
          <cell r="T170">
            <v>2242.5984066079268</v>
          </cell>
          <cell r="W170">
            <v>2242.5984066079268</v>
          </cell>
          <cell r="X170">
            <v>983.82613636444955</v>
          </cell>
          <cell r="AA170">
            <v>983.82613636444955</v>
          </cell>
          <cell r="AB170">
            <v>2110.2229656835689</v>
          </cell>
          <cell r="AC170"/>
          <cell r="AD170"/>
          <cell r="AE170">
            <v>2110.2229656835689</v>
          </cell>
          <cell r="AF170">
            <v>460.2575486100198</v>
          </cell>
          <cell r="AI170">
            <v>460.2575486100198</v>
          </cell>
        </row>
        <row r="171">
          <cell r="E171">
            <v>46</v>
          </cell>
          <cell r="F171" t="str">
            <v>DH</v>
          </cell>
          <cell r="G171">
            <v>0.11021083809358595</v>
          </cell>
          <cell r="H171"/>
          <cell r="I171"/>
          <cell r="J171"/>
          <cell r="K171"/>
          <cell r="L171">
            <v>1554.1307604835738</v>
          </cell>
          <cell r="O171">
            <v>1554.1307604835738</v>
          </cell>
          <cell r="P171">
            <v>683.94474139283</v>
          </cell>
          <cell r="S171">
            <v>683.94474139283</v>
          </cell>
          <cell r="T171">
            <v>1355.3478902014128</v>
          </cell>
          <cell r="W171">
            <v>1355.3478902014128</v>
          </cell>
          <cell r="X171">
            <v>594.59004087292521</v>
          </cell>
          <cell r="AA171">
            <v>594.59004087292521</v>
          </cell>
          <cell r="AB171">
            <v>1275.3448125025009</v>
          </cell>
          <cell r="AC171"/>
          <cell r="AD171"/>
          <cell r="AE171">
            <v>1275.3448125025009</v>
          </cell>
          <cell r="AF171">
            <v>278.16353370259259</v>
          </cell>
          <cell r="AI171">
            <v>278.16353370259259</v>
          </cell>
        </row>
        <row r="172">
          <cell r="E172">
            <v>46</v>
          </cell>
          <cell r="F172" t="str">
            <v>DH</v>
          </cell>
          <cell r="G172">
            <v>0.11021083809358595</v>
          </cell>
          <cell r="H172"/>
          <cell r="I172"/>
          <cell r="J172"/>
          <cell r="K172"/>
          <cell r="L172">
            <v>274.96579553717464</v>
          </cell>
          <cell r="O172">
            <v>274.96579553717464</v>
          </cell>
          <cell r="P172">
            <v>121.00745619501841</v>
          </cell>
          <cell r="S172">
            <v>121.00745619501841</v>
          </cell>
          <cell r="T172">
            <v>239.79598135159725</v>
          </cell>
          <cell r="W172">
            <v>239.79598135159725</v>
          </cell>
          <cell r="X172">
            <v>105.19830619415443</v>
          </cell>
          <cell r="AA172">
            <v>105.19830619415443</v>
          </cell>
          <cell r="AB172">
            <v>225.64137450367735</v>
          </cell>
          <cell r="AC172"/>
          <cell r="AD172"/>
          <cell r="AE172">
            <v>225.64137450367735</v>
          </cell>
          <cell r="AF172">
            <v>49.214299902388085</v>
          </cell>
          <cell r="AI172">
            <v>49.214299902388085</v>
          </cell>
        </row>
        <row r="173">
          <cell r="E173">
            <v>27</v>
          </cell>
          <cell r="F173" t="str">
            <v>DH</v>
          </cell>
          <cell r="G173">
            <v>0.11021083809358596</v>
          </cell>
          <cell r="H173"/>
          <cell r="I173"/>
          <cell r="J173"/>
          <cell r="K173"/>
          <cell r="L173">
            <v>746.50470867796435</v>
          </cell>
          <cell r="O173">
            <v>746.50470867796435</v>
          </cell>
          <cell r="P173">
            <v>328.52317379421476</v>
          </cell>
          <cell r="S173">
            <v>328.52317379421476</v>
          </cell>
          <cell r="T173">
            <v>651.02217114426207</v>
          </cell>
          <cell r="W173">
            <v>651.02217114426207</v>
          </cell>
          <cell r="X173">
            <v>285.60290841071304</v>
          </cell>
          <cell r="AA173">
            <v>285.60290841071304</v>
          </cell>
          <cell r="AB173">
            <v>612.59382539014814</v>
          </cell>
          <cell r="AC173"/>
          <cell r="AD173"/>
          <cell r="AE173">
            <v>612.59382539014814</v>
          </cell>
          <cell r="AF173">
            <v>133.61191540078377</v>
          </cell>
          <cell r="AI173">
            <v>133.61191540078377</v>
          </cell>
        </row>
        <row r="174">
          <cell r="E174">
            <v>27</v>
          </cell>
          <cell r="F174" t="str">
            <v>DH</v>
          </cell>
          <cell r="G174">
            <v>0.11021083809358595</v>
          </cell>
          <cell r="H174"/>
          <cell r="I174"/>
          <cell r="J174"/>
          <cell r="K174"/>
          <cell r="L174">
            <v>551.57773021346384</v>
          </cell>
          <cell r="O174">
            <v>551.57773021346384</v>
          </cell>
          <cell r="P174">
            <v>242.73934834898273</v>
          </cell>
          <cell r="S174">
            <v>242.73934834898273</v>
          </cell>
          <cell r="T174">
            <v>481.0275505352522</v>
          </cell>
          <cell r="W174">
            <v>481.0275505352522</v>
          </cell>
          <cell r="X174">
            <v>211.02640362782083</v>
          </cell>
          <cell r="AA174">
            <v>211.02640362782083</v>
          </cell>
          <cell r="AB174">
            <v>452.63359738196243</v>
          </cell>
          <cell r="AC174"/>
          <cell r="AD174"/>
          <cell r="AE174">
            <v>452.63359738196243</v>
          </cell>
          <cell r="AF174">
            <v>98.723231306542317</v>
          </cell>
          <cell r="AI174">
            <v>98.723231306542317</v>
          </cell>
        </row>
        <row r="175">
          <cell r="E175">
            <v>46</v>
          </cell>
          <cell r="F175" t="str">
            <v>DH</v>
          </cell>
          <cell r="G175">
            <v>0.11021083809358595</v>
          </cell>
          <cell r="H175"/>
          <cell r="I175"/>
          <cell r="J175"/>
          <cell r="K175"/>
          <cell r="L175">
            <v>1033.0987857489456</v>
          </cell>
          <cell r="O175">
            <v>1033.0987857489456</v>
          </cell>
          <cell r="P175">
            <v>454.64802564776056</v>
          </cell>
          <cell r="S175">
            <v>454.64802564776056</v>
          </cell>
          <cell r="T175">
            <v>900.95910539650799</v>
          </cell>
          <cell r="W175">
            <v>900.95910539650799</v>
          </cell>
          <cell r="X175">
            <v>395.25004257241682</v>
          </cell>
          <cell r="AA175">
            <v>395.25004257241682</v>
          </cell>
          <cell r="AB175">
            <v>847.7775556012981</v>
          </cell>
          <cell r="AC175"/>
          <cell r="AD175"/>
          <cell r="AE175">
            <v>847.7775556012981</v>
          </cell>
          <cell r="AF175">
            <v>184.90748411566602</v>
          </cell>
          <cell r="AI175">
            <v>184.90748411566602</v>
          </cell>
        </row>
        <row r="176">
          <cell r="E176">
            <v>46</v>
          </cell>
          <cell r="F176" t="str">
            <v>DH</v>
          </cell>
          <cell r="G176">
            <v>0.11021083809358596</v>
          </cell>
          <cell r="H176"/>
          <cell r="I176"/>
          <cell r="J176"/>
          <cell r="K176"/>
          <cell r="L176">
            <v>-391.0451554760262</v>
          </cell>
          <cell r="O176">
            <v>-391.0451554760262</v>
          </cell>
          <cell r="P176">
            <v>-172.09187575165853</v>
          </cell>
          <cell r="S176">
            <v>-172.09187575165853</v>
          </cell>
          <cell r="T176">
            <v>-341.02807815412092</v>
          </cell>
          <cell r="W176">
            <v>-341.02807815412092</v>
          </cell>
          <cell r="X176">
            <v>-149.60874650296668</v>
          </cell>
          <cell r="AA176">
            <v>-149.60874650296668</v>
          </cell>
          <cell r="AB176">
            <v>-320.89797279053022</v>
          </cell>
          <cell r="AC176"/>
          <cell r="AD176"/>
          <cell r="AE176">
            <v>-320.89797279053022</v>
          </cell>
          <cell r="AF176">
            <v>-69.990572897897977</v>
          </cell>
          <cell r="AI176">
            <v>-69.990572897897977</v>
          </cell>
        </row>
        <row r="177">
          <cell r="E177">
            <v>62</v>
          </cell>
          <cell r="F177" t="str">
            <v>CUST</v>
          </cell>
          <cell r="G177">
            <v>3.3286414346783443E-2</v>
          </cell>
          <cell r="H177"/>
          <cell r="I177"/>
          <cell r="J177"/>
          <cell r="K177"/>
          <cell r="L177">
            <v>0</v>
          </cell>
          <cell r="O177">
            <v>0</v>
          </cell>
          <cell r="P177">
            <v>4665.9718695652173</v>
          </cell>
          <cell r="S177">
            <v>4665.9718695652173</v>
          </cell>
          <cell r="T177">
            <v>0</v>
          </cell>
          <cell r="W177">
            <v>0</v>
          </cell>
          <cell r="X177">
            <v>0</v>
          </cell>
          <cell r="AA177">
            <v>0</v>
          </cell>
          <cell r="AB177">
            <v>0</v>
          </cell>
          <cell r="AC177"/>
          <cell r="AD177"/>
          <cell r="AE177">
            <v>0</v>
          </cell>
          <cell r="AF177">
            <v>1126.8009064748203</v>
          </cell>
          <cell r="AI177">
            <v>1126.8009064748203</v>
          </cell>
        </row>
        <row r="178">
          <cell r="E178">
            <v>62</v>
          </cell>
          <cell r="F178" t="str">
            <v>CUST</v>
          </cell>
          <cell r="G178">
            <v>0.16830875636173823</v>
          </cell>
          <cell r="H178"/>
          <cell r="I178"/>
          <cell r="J178"/>
          <cell r="K178"/>
          <cell r="L178">
            <v>81.691243638261781</v>
          </cell>
          <cell r="O178">
            <v>81.691243638261781</v>
          </cell>
          <cell r="P178">
            <v>2.4141980947409629</v>
          </cell>
          <cell r="S178">
            <v>2.4141980947409629</v>
          </cell>
          <cell r="T178">
            <v>0</v>
          </cell>
          <cell r="W178">
            <v>0</v>
          </cell>
          <cell r="X178">
            <v>0</v>
          </cell>
          <cell r="AA178">
            <v>0</v>
          </cell>
          <cell r="AB178">
            <v>0</v>
          </cell>
          <cell r="AC178"/>
          <cell r="AD178"/>
          <cell r="AE178">
            <v>0</v>
          </cell>
          <cell r="AF178">
            <v>4.8936447866370879E-2</v>
          </cell>
          <cell r="AI178">
            <v>4.8936447866370879E-2</v>
          </cell>
        </row>
        <row r="179">
          <cell r="E179">
            <v>62</v>
          </cell>
          <cell r="F179" t="str">
            <v>CUST</v>
          </cell>
          <cell r="G179">
            <v>0</v>
          </cell>
          <cell r="H179"/>
          <cell r="I179"/>
          <cell r="J179"/>
          <cell r="K179"/>
          <cell r="L179">
            <v>0</v>
          </cell>
          <cell r="O179">
            <v>0</v>
          </cell>
          <cell r="P179">
            <v>0</v>
          </cell>
          <cell r="S179">
            <v>0</v>
          </cell>
          <cell r="T179">
            <v>0</v>
          </cell>
          <cell r="W179">
            <v>0</v>
          </cell>
          <cell r="X179">
            <v>0</v>
          </cell>
          <cell r="AA179">
            <v>0</v>
          </cell>
          <cell r="AB179">
            <v>0</v>
          </cell>
          <cell r="AC179"/>
          <cell r="AD179"/>
          <cell r="AE179">
            <v>0</v>
          </cell>
          <cell r="AF179">
            <v>0</v>
          </cell>
          <cell r="AI179">
            <v>0</v>
          </cell>
        </row>
        <row r="180">
          <cell r="E180">
            <v>62</v>
          </cell>
          <cell r="F180" t="str">
            <v>CUST</v>
          </cell>
          <cell r="G180">
            <v>3.3286414346783449E-2</v>
          </cell>
          <cell r="H180"/>
          <cell r="I180"/>
          <cell r="J180"/>
          <cell r="K180"/>
          <cell r="L180">
            <v>0</v>
          </cell>
          <cell r="O180">
            <v>0</v>
          </cell>
          <cell r="P180">
            <v>2300.8289130434782</v>
          </cell>
          <cell r="S180">
            <v>2300.8289130434782</v>
          </cell>
          <cell r="T180">
            <v>0</v>
          </cell>
          <cell r="W180">
            <v>0</v>
          </cell>
          <cell r="X180">
            <v>0</v>
          </cell>
          <cell r="AA180">
            <v>0</v>
          </cell>
          <cell r="AB180">
            <v>0</v>
          </cell>
          <cell r="AC180"/>
          <cell r="AD180"/>
          <cell r="AE180">
            <v>0</v>
          </cell>
          <cell r="AF180">
            <v>555.63474820143892</v>
          </cell>
          <cell r="AI180">
            <v>555.63474820143892</v>
          </cell>
        </row>
        <row r="181">
          <cell r="E181">
            <v>63</v>
          </cell>
          <cell r="F181" t="str">
            <v>CUST</v>
          </cell>
          <cell r="G181">
            <v>3.3286414346783443E-2</v>
          </cell>
          <cell r="H181"/>
          <cell r="I181"/>
          <cell r="J181"/>
          <cell r="K181"/>
          <cell r="L181">
            <v>0</v>
          </cell>
          <cell r="O181">
            <v>0</v>
          </cell>
          <cell r="P181">
            <v>620.02481884057966</v>
          </cell>
          <cell r="S181">
            <v>620.02481884057966</v>
          </cell>
          <cell r="T181">
            <v>0</v>
          </cell>
          <cell r="W181">
            <v>0</v>
          </cell>
          <cell r="X181">
            <v>0</v>
          </cell>
          <cell r="AA181">
            <v>0</v>
          </cell>
          <cell r="AB181">
            <v>0</v>
          </cell>
          <cell r="AC181"/>
          <cell r="AD181"/>
          <cell r="AE181">
            <v>0</v>
          </cell>
          <cell r="AF181">
            <v>149.73183453237411</v>
          </cell>
          <cell r="AI181">
            <v>149.73183453237411</v>
          </cell>
        </row>
        <row r="182">
          <cell r="E182">
            <v>64</v>
          </cell>
          <cell r="F182" t="str">
            <v>CUST</v>
          </cell>
          <cell r="G182">
            <v>3.3286414346783443E-2</v>
          </cell>
          <cell r="H182"/>
          <cell r="I182"/>
          <cell r="J182"/>
          <cell r="K182"/>
          <cell r="L182">
            <v>0</v>
          </cell>
          <cell r="O182">
            <v>0</v>
          </cell>
          <cell r="P182">
            <v>797.544384057971</v>
          </cell>
          <cell r="S182">
            <v>797.544384057971</v>
          </cell>
          <cell r="T182">
            <v>0</v>
          </cell>
          <cell r="W182">
            <v>0</v>
          </cell>
          <cell r="X182">
            <v>0</v>
          </cell>
          <cell r="AA182">
            <v>0</v>
          </cell>
          <cell r="AB182">
            <v>0</v>
          </cell>
          <cell r="AC182"/>
          <cell r="AD182"/>
          <cell r="AE182">
            <v>0</v>
          </cell>
          <cell r="AF182">
            <v>192.60161870503597</v>
          </cell>
          <cell r="AI182">
            <v>192.60161870503597</v>
          </cell>
        </row>
        <row r="183">
          <cell r="E183">
            <v>62</v>
          </cell>
          <cell r="F183" t="str">
            <v>CUST</v>
          </cell>
          <cell r="G183">
            <v>3.3286414346783443E-2</v>
          </cell>
          <cell r="H183"/>
          <cell r="I183"/>
          <cell r="J183"/>
          <cell r="K183"/>
          <cell r="L183">
            <v>0</v>
          </cell>
          <cell r="O183">
            <v>0</v>
          </cell>
          <cell r="P183">
            <v>-46.133637681159421</v>
          </cell>
          <cell r="S183">
            <v>-46.133637681159421</v>
          </cell>
          <cell r="T183">
            <v>0</v>
          </cell>
          <cell r="W183">
            <v>0</v>
          </cell>
          <cell r="X183">
            <v>0</v>
          </cell>
          <cell r="AA183">
            <v>0</v>
          </cell>
          <cell r="AB183">
            <v>0</v>
          </cell>
          <cell r="AC183"/>
          <cell r="AD183"/>
          <cell r="AE183">
            <v>0</v>
          </cell>
          <cell r="AF183">
            <v>-11.140964028776979</v>
          </cell>
          <cell r="AI183">
            <v>-11.140964028776979</v>
          </cell>
        </row>
        <row r="184">
          <cell r="E184">
            <v>62</v>
          </cell>
          <cell r="F184" t="str">
            <v>CUST</v>
          </cell>
          <cell r="G184">
            <v>0</v>
          </cell>
          <cell r="H184"/>
          <cell r="I184"/>
          <cell r="J184"/>
          <cell r="K184"/>
          <cell r="L184">
            <v>0</v>
          </cell>
          <cell r="O184">
            <v>0</v>
          </cell>
          <cell r="P184">
            <v>0</v>
          </cell>
          <cell r="S184">
            <v>0</v>
          </cell>
          <cell r="T184">
            <v>0</v>
          </cell>
          <cell r="W184">
            <v>0</v>
          </cell>
          <cell r="X184">
            <v>0</v>
          </cell>
          <cell r="AA184">
            <v>0</v>
          </cell>
          <cell r="AB184">
            <v>0</v>
          </cell>
          <cell r="AC184"/>
          <cell r="AD184"/>
          <cell r="AE184">
            <v>0</v>
          </cell>
          <cell r="AF184">
            <v>0</v>
          </cell>
          <cell r="AI184">
            <v>0</v>
          </cell>
        </row>
        <row r="185">
          <cell r="E185">
            <v>86</v>
          </cell>
          <cell r="F185" t="str">
            <v>CUST</v>
          </cell>
          <cell r="G185">
            <v>0</v>
          </cell>
          <cell r="H185"/>
          <cell r="I185"/>
          <cell r="J185"/>
          <cell r="K185"/>
          <cell r="L185">
            <v>0</v>
          </cell>
          <cell r="O185">
            <v>0</v>
          </cell>
          <cell r="P185">
            <v>0</v>
          </cell>
          <cell r="S185">
            <v>0</v>
          </cell>
          <cell r="T185">
            <v>0</v>
          </cell>
          <cell r="W185">
            <v>0</v>
          </cell>
          <cell r="X185">
            <v>0</v>
          </cell>
          <cell r="AA185">
            <v>0</v>
          </cell>
          <cell r="AB185">
            <v>0</v>
          </cell>
          <cell r="AC185"/>
          <cell r="AD185"/>
          <cell r="AE185">
            <v>0</v>
          </cell>
          <cell r="AF185">
            <v>0</v>
          </cell>
          <cell r="AI185">
            <v>0</v>
          </cell>
        </row>
        <row r="186">
          <cell r="E186">
            <v>66</v>
          </cell>
          <cell r="F186" t="str">
            <v>CUST</v>
          </cell>
          <cell r="G186">
            <v>3.3286414346783443E-2</v>
          </cell>
          <cell r="H186"/>
          <cell r="I186"/>
          <cell r="J186"/>
          <cell r="K186"/>
          <cell r="L186">
            <v>0</v>
          </cell>
          <cell r="O186">
            <v>0</v>
          </cell>
          <cell r="P186">
            <v>71.94569565217391</v>
          </cell>
          <cell r="S186">
            <v>71.94569565217391</v>
          </cell>
          <cell r="T186">
            <v>0</v>
          </cell>
          <cell r="W186">
            <v>0</v>
          </cell>
          <cell r="X186">
            <v>0</v>
          </cell>
          <cell r="AA186">
            <v>0</v>
          </cell>
          <cell r="AB186">
            <v>0</v>
          </cell>
          <cell r="AC186"/>
          <cell r="AD186"/>
          <cell r="AE186">
            <v>0</v>
          </cell>
          <cell r="AF186">
            <v>17.374402877697843</v>
          </cell>
          <cell r="AI186">
            <v>17.374402877697843</v>
          </cell>
        </row>
        <row r="187">
          <cell r="E187">
            <v>62</v>
          </cell>
          <cell r="F187" t="str">
            <v>CUST</v>
          </cell>
          <cell r="G187">
            <v>0</v>
          </cell>
          <cell r="H187"/>
          <cell r="I187"/>
          <cell r="J187"/>
          <cell r="K187"/>
          <cell r="L187">
            <v>0</v>
          </cell>
          <cell r="O187">
            <v>0</v>
          </cell>
          <cell r="P187">
            <v>0</v>
          </cell>
          <cell r="S187">
            <v>0</v>
          </cell>
          <cell r="T187">
            <v>0</v>
          </cell>
          <cell r="W187">
            <v>0</v>
          </cell>
          <cell r="X187">
            <v>0</v>
          </cell>
          <cell r="AA187">
            <v>0</v>
          </cell>
          <cell r="AB187">
            <v>0</v>
          </cell>
          <cell r="AC187"/>
          <cell r="AD187"/>
          <cell r="AE187">
            <v>0</v>
          </cell>
          <cell r="AF187">
            <v>0</v>
          </cell>
          <cell r="AI187">
            <v>0</v>
          </cell>
        </row>
        <row r="188">
          <cell r="E188">
            <v>74</v>
          </cell>
          <cell r="F188" t="str">
            <v>CUST</v>
          </cell>
          <cell r="G188">
            <v>0</v>
          </cell>
          <cell r="H188"/>
          <cell r="I188"/>
          <cell r="J188"/>
          <cell r="K188"/>
          <cell r="L188">
            <v>0</v>
          </cell>
          <cell r="O188">
            <v>0</v>
          </cell>
          <cell r="P188">
            <v>0</v>
          </cell>
          <cell r="S188">
            <v>0</v>
          </cell>
          <cell r="T188">
            <v>0</v>
          </cell>
          <cell r="W188">
            <v>0</v>
          </cell>
          <cell r="X188">
            <v>0</v>
          </cell>
          <cell r="AA188">
            <v>0</v>
          </cell>
          <cell r="AB188">
            <v>0</v>
          </cell>
          <cell r="AC188"/>
          <cell r="AD188"/>
          <cell r="AE188">
            <v>0</v>
          </cell>
          <cell r="AF188">
            <v>0</v>
          </cell>
          <cell r="AI188">
            <v>0</v>
          </cell>
        </row>
        <row r="189">
          <cell r="E189">
            <v>78</v>
          </cell>
          <cell r="F189" t="str">
            <v>CUST</v>
          </cell>
          <cell r="G189">
            <v>3.3286414346783443E-2</v>
          </cell>
          <cell r="H189"/>
          <cell r="I189"/>
          <cell r="J189"/>
          <cell r="K189"/>
          <cell r="L189">
            <v>0</v>
          </cell>
          <cell r="O189">
            <v>0</v>
          </cell>
          <cell r="P189">
            <v>168.53768115942029</v>
          </cell>
          <cell r="S189">
            <v>168.53768115942029</v>
          </cell>
          <cell r="T189">
            <v>0</v>
          </cell>
          <cell r="W189">
            <v>0</v>
          </cell>
          <cell r="X189">
            <v>0</v>
          </cell>
          <cell r="AA189">
            <v>0</v>
          </cell>
          <cell r="AB189">
            <v>0</v>
          </cell>
          <cell r="AC189"/>
          <cell r="AD189"/>
          <cell r="AE189">
            <v>0</v>
          </cell>
          <cell r="AF189">
            <v>40.700719424460431</v>
          </cell>
          <cell r="AI189">
            <v>40.700719424460431</v>
          </cell>
        </row>
        <row r="190">
          <cell r="E190">
            <v>87</v>
          </cell>
          <cell r="F190" t="str">
            <v>ACT</v>
          </cell>
          <cell r="G190">
            <v>0</v>
          </cell>
          <cell r="H190"/>
          <cell r="I190"/>
          <cell r="J190"/>
          <cell r="K190"/>
          <cell r="L190">
            <v>0</v>
          </cell>
          <cell r="O190">
            <v>0</v>
          </cell>
          <cell r="P190">
            <v>0</v>
          </cell>
          <cell r="S190">
            <v>0</v>
          </cell>
          <cell r="T190">
            <v>0</v>
          </cell>
          <cell r="W190">
            <v>0</v>
          </cell>
          <cell r="X190">
            <v>0</v>
          </cell>
          <cell r="AA190">
            <v>0</v>
          </cell>
          <cell r="AB190">
            <v>0</v>
          </cell>
          <cell r="AC190"/>
          <cell r="AD190"/>
          <cell r="AE190">
            <v>0</v>
          </cell>
          <cell r="AF190">
            <v>0</v>
          </cell>
          <cell r="AI190">
            <v>0</v>
          </cell>
        </row>
        <row r="191">
          <cell r="E191">
            <v>87</v>
          </cell>
          <cell r="F191" t="str">
            <v>ACT</v>
          </cell>
          <cell r="G191">
            <v>0</v>
          </cell>
          <cell r="H191"/>
          <cell r="I191"/>
          <cell r="J191"/>
          <cell r="K191"/>
          <cell r="L191">
            <v>0</v>
          </cell>
          <cell r="O191">
            <v>0</v>
          </cell>
          <cell r="P191">
            <v>0</v>
          </cell>
          <cell r="S191">
            <v>0</v>
          </cell>
          <cell r="T191">
            <v>0</v>
          </cell>
          <cell r="W191">
            <v>0</v>
          </cell>
          <cell r="X191">
            <v>0</v>
          </cell>
          <cell r="AA191">
            <v>0</v>
          </cell>
          <cell r="AB191">
            <v>0</v>
          </cell>
          <cell r="AC191"/>
          <cell r="AD191"/>
          <cell r="AE191">
            <v>0</v>
          </cell>
          <cell r="AF191">
            <v>0</v>
          </cell>
          <cell r="AI191">
            <v>0</v>
          </cell>
        </row>
        <row r="192">
          <cell r="E192">
            <v>87</v>
          </cell>
          <cell r="F192" t="str">
            <v>ACT</v>
          </cell>
          <cell r="G192">
            <v>0</v>
          </cell>
          <cell r="H192"/>
          <cell r="I192"/>
          <cell r="J192"/>
          <cell r="K192"/>
          <cell r="L192">
            <v>0</v>
          </cell>
          <cell r="O192">
            <v>0</v>
          </cell>
          <cell r="P192">
            <v>0</v>
          </cell>
          <cell r="S192">
            <v>0</v>
          </cell>
          <cell r="T192">
            <v>0</v>
          </cell>
          <cell r="W192">
            <v>0</v>
          </cell>
          <cell r="X192">
            <v>0</v>
          </cell>
          <cell r="AA192">
            <v>0</v>
          </cell>
          <cell r="AB192">
            <v>0</v>
          </cell>
          <cell r="AC192"/>
          <cell r="AD192"/>
          <cell r="AE192">
            <v>0</v>
          </cell>
          <cell r="AF192">
            <v>0</v>
          </cell>
          <cell r="AI192">
            <v>0</v>
          </cell>
        </row>
        <row r="193">
          <cell r="E193">
            <v>87</v>
          </cell>
          <cell r="F193" t="str">
            <v>ACT</v>
          </cell>
          <cell r="G193">
            <v>0</v>
          </cell>
          <cell r="H193"/>
          <cell r="I193"/>
          <cell r="J193"/>
          <cell r="K193"/>
          <cell r="L193">
            <v>0</v>
          </cell>
          <cell r="O193">
            <v>0</v>
          </cell>
          <cell r="P193">
            <v>0</v>
          </cell>
          <cell r="S193">
            <v>0</v>
          </cell>
          <cell r="T193">
            <v>0</v>
          </cell>
          <cell r="W193">
            <v>0</v>
          </cell>
          <cell r="X193">
            <v>0</v>
          </cell>
          <cell r="AA193">
            <v>0</v>
          </cell>
          <cell r="AB193">
            <v>0</v>
          </cell>
          <cell r="AC193"/>
          <cell r="AD193"/>
          <cell r="AE193">
            <v>0</v>
          </cell>
          <cell r="AF193">
            <v>0</v>
          </cell>
          <cell r="AI193">
            <v>0</v>
          </cell>
        </row>
        <row r="194">
          <cell r="E194">
            <v>84</v>
          </cell>
          <cell r="F194" t="str">
            <v>CUST</v>
          </cell>
          <cell r="G194">
            <v>3.3286414346783443E-2</v>
          </cell>
          <cell r="H194"/>
          <cell r="I194"/>
          <cell r="J194"/>
          <cell r="K194"/>
          <cell r="L194">
            <v>0</v>
          </cell>
          <cell r="O194">
            <v>0</v>
          </cell>
          <cell r="P194">
            <v>9.3162246376811595</v>
          </cell>
          <cell r="S194">
            <v>9.3162246376811595</v>
          </cell>
          <cell r="T194">
            <v>0</v>
          </cell>
          <cell r="W194">
            <v>0</v>
          </cell>
          <cell r="X194">
            <v>0</v>
          </cell>
          <cell r="AA194">
            <v>0</v>
          </cell>
          <cell r="AB194">
            <v>0</v>
          </cell>
          <cell r="AC194"/>
          <cell r="AD194"/>
          <cell r="AE194">
            <v>0</v>
          </cell>
          <cell r="AF194">
            <v>2.2498057553956836</v>
          </cell>
          <cell r="AI194">
            <v>2.2498057553956836</v>
          </cell>
        </row>
        <row r="195">
          <cell r="E195">
            <v>69</v>
          </cell>
          <cell r="F195" t="str">
            <v>ACT</v>
          </cell>
          <cell r="G195">
            <v>0</v>
          </cell>
          <cell r="H195"/>
          <cell r="I195"/>
          <cell r="J195"/>
          <cell r="K195"/>
          <cell r="L195">
            <v>0</v>
          </cell>
          <cell r="O195">
            <v>0</v>
          </cell>
          <cell r="P195">
            <v>0</v>
          </cell>
          <cell r="S195">
            <v>0</v>
          </cell>
          <cell r="T195">
            <v>0</v>
          </cell>
          <cell r="W195">
            <v>0</v>
          </cell>
          <cell r="X195">
            <v>0</v>
          </cell>
          <cell r="AA195">
            <v>0</v>
          </cell>
          <cell r="AB195">
            <v>0</v>
          </cell>
          <cell r="AC195"/>
          <cell r="AD195"/>
          <cell r="AE195">
            <v>0</v>
          </cell>
          <cell r="AF195">
            <v>0</v>
          </cell>
          <cell r="AI195">
            <v>0</v>
          </cell>
        </row>
        <row r="196">
          <cell r="E196">
            <v>71</v>
          </cell>
          <cell r="F196" t="str">
            <v>ACT</v>
          </cell>
          <cell r="G196">
            <v>0</v>
          </cell>
          <cell r="H196"/>
          <cell r="I196"/>
          <cell r="J196"/>
          <cell r="K196"/>
          <cell r="L196">
            <v>0</v>
          </cell>
          <cell r="O196">
            <v>0</v>
          </cell>
          <cell r="P196">
            <v>0</v>
          </cell>
          <cell r="S196">
            <v>0</v>
          </cell>
          <cell r="T196">
            <v>0</v>
          </cell>
          <cell r="W196">
            <v>0</v>
          </cell>
          <cell r="X196">
            <v>0</v>
          </cell>
          <cell r="AA196">
            <v>0</v>
          </cell>
          <cell r="AB196">
            <v>0</v>
          </cell>
          <cell r="AC196"/>
          <cell r="AD196"/>
          <cell r="AE196">
            <v>0</v>
          </cell>
          <cell r="AF196">
            <v>0</v>
          </cell>
          <cell r="AI196">
            <v>0</v>
          </cell>
        </row>
        <row r="197">
          <cell r="E197">
            <v>62</v>
          </cell>
          <cell r="F197" t="str">
            <v>CUST</v>
          </cell>
          <cell r="G197">
            <v>0.16830875636173823</v>
          </cell>
          <cell r="H197"/>
          <cell r="I197"/>
          <cell r="J197"/>
          <cell r="K197"/>
          <cell r="L197">
            <v>43522.800839869538</v>
          </cell>
          <cell r="O197">
            <v>43522.800839869538</v>
          </cell>
          <cell r="P197">
            <v>1286.2169577277739</v>
          </cell>
          <cell r="S197">
            <v>1286.2169577277739</v>
          </cell>
          <cell r="T197">
            <v>0</v>
          </cell>
          <cell r="W197">
            <v>0</v>
          </cell>
          <cell r="X197">
            <v>0</v>
          </cell>
          <cell r="AA197">
            <v>0</v>
          </cell>
          <cell r="AB197">
            <v>0</v>
          </cell>
          <cell r="AC197"/>
          <cell r="AD197"/>
          <cell r="AE197">
            <v>0</v>
          </cell>
          <cell r="AF197">
            <v>26.07196535934677</v>
          </cell>
          <cell r="AI197">
            <v>26.07196535934677</v>
          </cell>
        </row>
        <row r="198">
          <cell r="E198">
            <v>62</v>
          </cell>
          <cell r="F198" t="str">
            <v>CUST</v>
          </cell>
          <cell r="G198">
            <v>0.16830875636173823</v>
          </cell>
          <cell r="H198"/>
          <cell r="I198"/>
          <cell r="J198"/>
          <cell r="K198"/>
          <cell r="L198">
            <v>61031.334698520157</v>
          </cell>
          <cell r="O198">
            <v>61031.334698520157</v>
          </cell>
          <cell r="P198">
            <v>1803.6416803875766</v>
          </cell>
          <cell r="S198">
            <v>1803.6416803875766</v>
          </cell>
          <cell r="T198">
            <v>0</v>
          </cell>
          <cell r="W198">
            <v>0</v>
          </cell>
          <cell r="X198">
            <v>0</v>
          </cell>
          <cell r="AA198">
            <v>0</v>
          </cell>
          <cell r="AB198">
            <v>0</v>
          </cell>
          <cell r="AC198"/>
          <cell r="AD198"/>
          <cell r="AE198">
            <v>0</v>
          </cell>
          <cell r="AF198">
            <v>36.560304332180607</v>
          </cell>
          <cell r="AI198">
            <v>36.560304332180607</v>
          </cell>
        </row>
        <row r="199">
          <cell r="E199">
            <v>62</v>
          </cell>
          <cell r="F199" t="str">
            <v>CUST</v>
          </cell>
          <cell r="G199">
            <v>0.1683087563617382</v>
          </cell>
          <cell r="H199"/>
          <cell r="I199"/>
          <cell r="J199"/>
          <cell r="K199"/>
          <cell r="L199">
            <v>5873.4321336291268</v>
          </cell>
          <cell r="O199">
            <v>5873.4321336291268</v>
          </cell>
          <cell r="P199">
            <v>173.57586976380009</v>
          </cell>
          <cell r="S199">
            <v>173.57586976380009</v>
          </cell>
          <cell r="T199">
            <v>0</v>
          </cell>
          <cell r="W199">
            <v>0</v>
          </cell>
          <cell r="X199">
            <v>0</v>
          </cell>
          <cell r="AA199">
            <v>0</v>
          </cell>
          <cell r="AB199">
            <v>0</v>
          </cell>
          <cell r="AC199"/>
          <cell r="AD199"/>
          <cell r="AE199">
            <v>0</v>
          </cell>
          <cell r="AF199">
            <v>3.5184297925094619</v>
          </cell>
          <cell r="AI199">
            <v>3.5184297925094619</v>
          </cell>
        </row>
        <row r="200">
          <cell r="E200">
            <v>62</v>
          </cell>
          <cell r="F200" t="str">
            <v>CUST</v>
          </cell>
          <cell r="G200">
            <v>0.1683087563617382</v>
          </cell>
          <cell r="H200"/>
          <cell r="I200"/>
          <cell r="J200"/>
          <cell r="K200"/>
          <cell r="L200">
            <v>102.22515463917526</v>
          </cell>
          <cell r="O200">
            <v>102.22515463917526</v>
          </cell>
          <cell r="P200">
            <v>3.0210309278350511</v>
          </cell>
          <cell r="S200">
            <v>3.0210309278350511</v>
          </cell>
          <cell r="T200">
            <v>0</v>
          </cell>
          <cell r="W200">
            <v>0</v>
          </cell>
          <cell r="X200">
            <v>0</v>
          </cell>
          <cell r="AA200">
            <v>0</v>
          </cell>
          <cell r="AB200">
            <v>0</v>
          </cell>
          <cell r="AC200"/>
          <cell r="AD200"/>
          <cell r="AE200">
            <v>0</v>
          </cell>
          <cell r="AF200">
            <v>6.1237113402061859E-2</v>
          </cell>
          <cell r="AI200">
            <v>6.1237113402061859E-2</v>
          </cell>
        </row>
        <row r="201">
          <cell r="E201">
            <v>62</v>
          </cell>
          <cell r="F201" t="str">
            <v>DH</v>
          </cell>
          <cell r="G201">
            <v>0.11021083809358594</v>
          </cell>
          <cell r="H201"/>
          <cell r="I201"/>
          <cell r="J201"/>
          <cell r="K201"/>
          <cell r="L201">
            <v>573.97095028205649</v>
          </cell>
          <cell r="O201">
            <v>573.97095028205649</v>
          </cell>
          <cell r="P201">
            <v>252.59419808118983</v>
          </cell>
          <cell r="S201">
            <v>252.59419808118983</v>
          </cell>
          <cell r="T201">
            <v>500.55654021005876</v>
          </cell>
          <cell r="W201">
            <v>500.55654021005876</v>
          </cell>
          <cell r="X201">
            <v>219.59375585738351</v>
          </cell>
          <cell r="AA201">
            <v>219.59375585738351</v>
          </cell>
          <cell r="AB201">
            <v>471.0098355826787</v>
          </cell>
          <cell r="AC201"/>
          <cell r="AD201"/>
          <cell r="AE201">
            <v>471.0098355826787</v>
          </cell>
          <cell r="AF201">
            <v>102.73124490722633</v>
          </cell>
          <cell r="AI201">
            <v>102.73124490722633</v>
          </cell>
        </row>
        <row r="202">
          <cell r="E202">
            <v>62</v>
          </cell>
          <cell r="F202" t="str">
            <v>CUST</v>
          </cell>
          <cell r="G202">
            <v>0.1683087563617382</v>
          </cell>
          <cell r="H202"/>
          <cell r="I202"/>
          <cell r="J202"/>
          <cell r="K202"/>
          <cell r="L202">
            <v>5629.3305285136366</v>
          </cell>
          <cell r="O202">
            <v>5629.3305285136366</v>
          </cell>
          <cell r="P202">
            <v>166.36200443690458</v>
          </cell>
          <cell r="S202">
            <v>166.36200443690458</v>
          </cell>
          <cell r="T202">
            <v>0</v>
          </cell>
          <cell r="W202">
            <v>0</v>
          </cell>
          <cell r="X202">
            <v>0</v>
          </cell>
          <cell r="AA202">
            <v>0</v>
          </cell>
          <cell r="AB202">
            <v>0</v>
          </cell>
          <cell r="AC202"/>
          <cell r="AD202"/>
          <cell r="AE202">
            <v>0</v>
          </cell>
          <cell r="AF202">
            <v>3.3722027926399587</v>
          </cell>
          <cell r="AI202">
            <v>3.3722027926399587</v>
          </cell>
        </row>
        <row r="203">
          <cell r="E203">
            <v>63</v>
          </cell>
          <cell r="F203" t="str">
            <v>CUST</v>
          </cell>
          <cell r="G203">
            <v>0.16830875636173823</v>
          </cell>
          <cell r="H203"/>
          <cell r="I203"/>
          <cell r="J203"/>
          <cell r="K203"/>
          <cell r="L203">
            <v>11430.114914663713</v>
          </cell>
          <cell r="O203">
            <v>11430.114914663713</v>
          </cell>
          <cell r="P203">
            <v>337.79093597648352</v>
          </cell>
          <cell r="S203">
            <v>337.79093597648352</v>
          </cell>
          <cell r="T203">
            <v>0</v>
          </cell>
          <cell r="W203">
            <v>0</v>
          </cell>
          <cell r="X203">
            <v>0</v>
          </cell>
          <cell r="AA203">
            <v>0</v>
          </cell>
          <cell r="AB203">
            <v>0</v>
          </cell>
          <cell r="AC203"/>
          <cell r="AD203"/>
          <cell r="AE203">
            <v>0</v>
          </cell>
          <cell r="AF203">
            <v>6.8471135670908829</v>
          </cell>
          <cell r="AI203">
            <v>6.8471135670908829</v>
          </cell>
        </row>
        <row r="204">
          <cell r="E204">
            <v>64</v>
          </cell>
          <cell r="F204" t="str">
            <v>CUST</v>
          </cell>
          <cell r="G204">
            <v>0.1683087563617382</v>
          </cell>
          <cell r="H204"/>
          <cell r="I204"/>
          <cell r="J204"/>
          <cell r="K204"/>
          <cell r="L204">
            <v>28572.386558788989</v>
          </cell>
          <cell r="O204">
            <v>28572.386558788989</v>
          </cell>
          <cell r="P204">
            <v>844.39161555526562</v>
          </cell>
          <cell r="S204">
            <v>844.39161555526562</v>
          </cell>
          <cell r="T204">
            <v>0</v>
          </cell>
          <cell r="W204">
            <v>0</v>
          </cell>
          <cell r="X204">
            <v>0</v>
          </cell>
          <cell r="AA204">
            <v>0</v>
          </cell>
          <cell r="AB204">
            <v>0</v>
          </cell>
          <cell r="AC204"/>
          <cell r="AD204"/>
          <cell r="AE204">
            <v>0</v>
          </cell>
          <cell r="AF204">
            <v>17.116046261255384</v>
          </cell>
          <cell r="AI204">
            <v>17.116046261255384</v>
          </cell>
        </row>
        <row r="205">
          <cell r="E205">
            <v>62</v>
          </cell>
          <cell r="F205" t="str">
            <v>CUST</v>
          </cell>
          <cell r="G205">
            <v>0.16830875636173823</v>
          </cell>
          <cell r="H205"/>
          <cell r="I205"/>
          <cell r="J205"/>
          <cell r="K205"/>
          <cell r="L205">
            <v>4352.948959937361</v>
          </cell>
          <cell r="O205">
            <v>4352.948959937361</v>
          </cell>
          <cell r="P205">
            <v>128.64146287354822</v>
          </cell>
          <cell r="S205">
            <v>128.64146287354822</v>
          </cell>
          <cell r="T205">
            <v>0</v>
          </cell>
          <cell r="W205">
            <v>0</v>
          </cell>
          <cell r="X205">
            <v>0</v>
          </cell>
          <cell r="AA205">
            <v>0</v>
          </cell>
          <cell r="AB205">
            <v>0</v>
          </cell>
          <cell r="AC205"/>
          <cell r="AD205"/>
          <cell r="AE205">
            <v>0</v>
          </cell>
          <cell r="AF205">
            <v>2.6075972204097613</v>
          </cell>
          <cell r="AI205">
            <v>2.6075972204097613</v>
          </cell>
        </row>
        <row r="206">
          <cell r="E206">
            <v>62</v>
          </cell>
          <cell r="F206" t="str">
            <v>CUST</v>
          </cell>
          <cell r="G206">
            <v>0.16830875636173825</v>
          </cell>
          <cell r="H206"/>
          <cell r="I206"/>
          <cell r="J206"/>
          <cell r="K206"/>
          <cell r="L206">
            <v>1099.4530392796555</v>
          </cell>
          <cell r="O206">
            <v>1099.4530392796555</v>
          </cell>
          <cell r="P206">
            <v>32.491823045804516</v>
          </cell>
          <cell r="S206">
            <v>32.491823045804516</v>
          </cell>
          <cell r="T206">
            <v>0</v>
          </cell>
          <cell r="W206">
            <v>0</v>
          </cell>
          <cell r="X206">
            <v>0</v>
          </cell>
          <cell r="AA206">
            <v>0</v>
          </cell>
          <cell r="AB206">
            <v>0</v>
          </cell>
          <cell r="AC206"/>
          <cell r="AD206"/>
          <cell r="AE206">
            <v>0</v>
          </cell>
          <cell r="AF206">
            <v>0.65861803471225377</v>
          </cell>
          <cell r="AI206">
            <v>0.65861803471225377</v>
          </cell>
        </row>
        <row r="207">
          <cell r="E207">
            <v>72</v>
          </cell>
          <cell r="F207" t="str">
            <v>DH</v>
          </cell>
          <cell r="G207">
            <v>0.11021083809358594</v>
          </cell>
          <cell r="H207"/>
          <cell r="I207"/>
          <cell r="J207"/>
          <cell r="K207"/>
          <cell r="L207">
            <v>67.182046779375838</v>
          </cell>
          <cell r="O207">
            <v>67.182046779375838</v>
          </cell>
          <cell r="P207">
            <v>29.565599484347167</v>
          </cell>
          <cell r="S207">
            <v>29.565599484347167</v>
          </cell>
          <cell r="T207">
            <v>58.589050340595236</v>
          </cell>
          <cell r="W207">
            <v>58.589050340595236</v>
          </cell>
          <cell r="X207">
            <v>25.70296976043803</v>
          </cell>
          <cell r="AA207">
            <v>25.70296976043803</v>
          </cell>
          <cell r="AB207">
            <v>55.130673063003762</v>
          </cell>
          <cell r="AC207"/>
          <cell r="AD207"/>
          <cell r="AE207">
            <v>55.130673063003762</v>
          </cell>
          <cell r="AF207">
            <v>12.024467958995515</v>
          </cell>
          <cell r="AI207">
            <v>12.024467958995515</v>
          </cell>
        </row>
        <row r="208">
          <cell r="E208">
            <v>86</v>
          </cell>
          <cell r="F208" t="str">
            <v>CUST</v>
          </cell>
          <cell r="G208">
            <v>0.16830875636173823</v>
          </cell>
          <cell r="H208"/>
          <cell r="I208"/>
          <cell r="J208"/>
          <cell r="K208"/>
          <cell r="L208">
            <v>10420.773576928095</v>
          </cell>
          <cell r="O208">
            <v>10420.773576928095</v>
          </cell>
          <cell r="P208">
            <v>307.96215842359391</v>
          </cell>
          <cell r="S208">
            <v>307.96215842359391</v>
          </cell>
          <cell r="T208">
            <v>0</v>
          </cell>
          <cell r="W208">
            <v>0</v>
          </cell>
          <cell r="X208">
            <v>0</v>
          </cell>
          <cell r="AA208">
            <v>0</v>
          </cell>
          <cell r="AB208">
            <v>0</v>
          </cell>
          <cell r="AC208"/>
          <cell r="AD208"/>
          <cell r="AE208">
            <v>0</v>
          </cell>
          <cell r="AF208">
            <v>6.2424761842620384</v>
          </cell>
          <cell r="AI208">
            <v>6.2424761842620384</v>
          </cell>
        </row>
        <row r="209">
          <cell r="E209">
            <v>61</v>
          </cell>
          <cell r="F209" t="str">
            <v>CUST</v>
          </cell>
          <cell r="G209">
            <v>0.16830875636173823</v>
          </cell>
          <cell r="H209"/>
          <cell r="I209"/>
          <cell r="J209"/>
          <cell r="K209"/>
          <cell r="L209">
            <v>3586.7651520292316</v>
          </cell>
          <cell r="O209">
            <v>3586.7651520292316</v>
          </cell>
          <cell r="P209">
            <v>105.99865065901082</v>
          </cell>
          <cell r="S209">
            <v>105.99865065901082</v>
          </cell>
          <cell r="T209">
            <v>0</v>
          </cell>
          <cell r="W209">
            <v>0</v>
          </cell>
          <cell r="X209">
            <v>0</v>
          </cell>
          <cell r="AA209">
            <v>0</v>
          </cell>
          <cell r="AB209">
            <v>0</v>
          </cell>
          <cell r="AC209"/>
          <cell r="AD209"/>
          <cell r="AE209">
            <v>0</v>
          </cell>
          <cell r="AF209">
            <v>2.1486212971421117</v>
          </cell>
          <cell r="AI209">
            <v>2.1486212971421117</v>
          </cell>
        </row>
        <row r="210">
          <cell r="E210">
            <v>61</v>
          </cell>
          <cell r="F210" t="str">
            <v>CUST</v>
          </cell>
          <cell r="G210">
            <v>0</v>
          </cell>
          <cell r="H210"/>
          <cell r="I210"/>
          <cell r="J210"/>
          <cell r="K210"/>
          <cell r="L210">
            <v>0</v>
          </cell>
          <cell r="O210">
            <v>0</v>
          </cell>
          <cell r="P210">
            <v>0</v>
          </cell>
          <cell r="S210">
            <v>0</v>
          </cell>
          <cell r="T210">
            <v>0</v>
          </cell>
          <cell r="W210">
            <v>0</v>
          </cell>
          <cell r="X210">
            <v>0</v>
          </cell>
          <cell r="AA210">
            <v>0</v>
          </cell>
          <cell r="AB210">
            <v>0</v>
          </cell>
          <cell r="AC210"/>
          <cell r="AD210"/>
          <cell r="AE210">
            <v>0</v>
          </cell>
          <cell r="AF210">
            <v>0</v>
          </cell>
          <cell r="AI210">
            <v>0</v>
          </cell>
        </row>
        <row r="211">
          <cell r="E211">
            <v>70</v>
          </cell>
          <cell r="F211" t="str">
            <v>REV</v>
          </cell>
          <cell r="G211">
            <v>0.12050036179656672</v>
          </cell>
          <cell r="H211"/>
          <cell r="I211"/>
          <cell r="J211"/>
          <cell r="K211"/>
          <cell r="L211">
            <v>897.68374755168111</v>
          </cell>
          <cell r="O211">
            <v>897.68374755168111</v>
          </cell>
          <cell r="P211">
            <v>303.19328444542742</v>
          </cell>
          <cell r="S211">
            <v>303.19328444542742</v>
          </cell>
          <cell r="T211">
            <v>0.68046505247911293</v>
          </cell>
          <cell r="W211">
            <v>0.68046505247911293</v>
          </cell>
          <cell r="X211">
            <v>5.0190527673254701</v>
          </cell>
          <cell r="AA211">
            <v>5.0190527673254701</v>
          </cell>
          <cell r="AB211">
            <v>8.3007651446864585</v>
          </cell>
          <cell r="AC211"/>
          <cell r="AD211"/>
          <cell r="AE211">
            <v>8.3007651446864585</v>
          </cell>
          <cell r="AF211">
            <v>62.257819575492341</v>
          </cell>
          <cell r="AI211">
            <v>62.257819575492341</v>
          </cell>
        </row>
        <row r="212">
          <cell r="E212">
            <v>70</v>
          </cell>
          <cell r="F212" t="str">
            <v>REV</v>
          </cell>
          <cell r="G212">
            <v>0</v>
          </cell>
          <cell r="H212"/>
          <cell r="I212"/>
          <cell r="J212"/>
          <cell r="K212"/>
          <cell r="L212">
            <v>0</v>
          </cell>
          <cell r="O212">
            <v>0</v>
          </cell>
          <cell r="P212">
            <v>0</v>
          </cell>
          <cell r="S212">
            <v>0</v>
          </cell>
          <cell r="T212">
            <v>0</v>
          </cell>
          <cell r="W212">
            <v>0</v>
          </cell>
          <cell r="X212">
            <v>0</v>
          </cell>
          <cell r="AA212">
            <v>0</v>
          </cell>
          <cell r="AB212">
            <v>0</v>
          </cell>
          <cell r="AC212"/>
          <cell r="AD212"/>
          <cell r="AE212">
            <v>0</v>
          </cell>
          <cell r="AF212">
            <v>0</v>
          </cell>
          <cell r="AI212">
            <v>0</v>
          </cell>
        </row>
        <row r="213">
          <cell r="E213">
            <v>66</v>
          </cell>
          <cell r="F213" t="str">
            <v>CUST</v>
          </cell>
          <cell r="G213">
            <v>0.1683087563617382</v>
          </cell>
          <cell r="H213"/>
          <cell r="I213"/>
          <cell r="J213"/>
          <cell r="K213"/>
          <cell r="L213">
            <v>1633.9996920266215</v>
          </cell>
          <cell r="O213">
            <v>1633.9996920266215</v>
          </cell>
          <cell r="P213">
            <v>48.289128278742005</v>
          </cell>
          <cell r="S213">
            <v>48.289128278742005</v>
          </cell>
          <cell r="T213">
            <v>0</v>
          </cell>
          <cell r="W213">
            <v>0</v>
          </cell>
          <cell r="X213">
            <v>0</v>
          </cell>
          <cell r="AA213">
            <v>0</v>
          </cell>
          <cell r="AB213">
            <v>0</v>
          </cell>
          <cell r="AC213"/>
          <cell r="AD213"/>
          <cell r="AE213">
            <v>0</v>
          </cell>
          <cell r="AF213">
            <v>0.97883368132585158</v>
          </cell>
          <cell r="AI213">
            <v>0.97883368132585158</v>
          </cell>
        </row>
        <row r="214">
          <cell r="E214">
            <v>81</v>
          </cell>
          <cell r="F214" t="str">
            <v>CUST</v>
          </cell>
          <cell r="G214">
            <v>0.16830875636173823</v>
          </cell>
          <cell r="H214"/>
          <cell r="I214"/>
          <cell r="J214"/>
          <cell r="K214"/>
          <cell r="L214">
            <v>1711.8383766149029</v>
          </cell>
          <cell r="O214">
            <v>1711.8383766149029</v>
          </cell>
          <cell r="P214">
            <v>50.589472791334984</v>
          </cell>
          <cell r="S214">
            <v>50.589472791334984</v>
          </cell>
          <cell r="T214">
            <v>0</v>
          </cell>
          <cell r="W214">
            <v>0</v>
          </cell>
          <cell r="X214">
            <v>0</v>
          </cell>
          <cell r="AA214">
            <v>0</v>
          </cell>
          <cell r="AB214">
            <v>0</v>
          </cell>
          <cell r="AC214"/>
          <cell r="AD214"/>
          <cell r="AE214">
            <v>0</v>
          </cell>
          <cell r="AF214">
            <v>1.0254622863108445</v>
          </cell>
          <cell r="AI214">
            <v>1.0254622863108445</v>
          </cell>
        </row>
        <row r="215">
          <cell r="E215">
            <v>62</v>
          </cell>
          <cell r="F215" t="str">
            <v>CUST</v>
          </cell>
          <cell r="G215">
            <v>0.1683087563617382</v>
          </cell>
          <cell r="H215"/>
          <cell r="I215"/>
          <cell r="J215"/>
          <cell r="K215"/>
          <cell r="L215">
            <v>9506.601179694635</v>
          </cell>
          <cell r="O215">
            <v>9506.601179694635</v>
          </cell>
          <cell r="P215">
            <v>280.94588150854759</v>
          </cell>
          <cell r="S215">
            <v>280.94588150854759</v>
          </cell>
          <cell r="T215">
            <v>0</v>
          </cell>
          <cell r="W215">
            <v>0</v>
          </cell>
          <cell r="X215">
            <v>0</v>
          </cell>
          <cell r="AA215">
            <v>0</v>
          </cell>
          <cell r="AB215">
            <v>0</v>
          </cell>
          <cell r="AC215"/>
          <cell r="AD215"/>
          <cell r="AE215">
            <v>0</v>
          </cell>
          <cell r="AF215">
            <v>5.6948489494975858</v>
          </cell>
          <cell r="AI215">
            <v>5.6948489494975858</v>
          </cell>
        </row>
        <row r="216">
          <cell r="E216">
            <v>90</v>
          </cell>
          <cell r="F216" t="str">
            <v>DH</v>
          </cell>
          <cell r="G216">
            <v>0.11021083809358596</v>
          </cell>
          <cell r="H216"/>
          <cell r="I216"/>
          <cell r="J216"/>
          <cell r="K216"/>
          <cell r="L216">
            <v>16383.435456180312</v>
          </cell>
          <cell r="O216">
            <v>16383.435456180312</v>
          </cell>
          <cell r="P216">
            <v>7210.0525973224885</v>
          </cell>
          <cell r="S216">
            <v>7210.0525973224885</v>
          </cell>
          <cell r="T216">
            <v>14287.893428527055</v>
          </cell>
          <cell r="W216">
            <v>14287.893428527055</v>
          </cell>
          <cell r="X216">
            <v>6268.0874770782484</v>
          </cell>
          <cell r="AA216">
            <v>6268.0874770782484</v>
          </cell>
          <cell r="AB216">
            <v>13444.51184629258</v>
          </cell>
          <cell r="AC216"/>
          <cell r="AD216"/>
          <cell r="AE216">
            <v>13444.51184629258</v>
          </cell>
          <cell r="AF216">
            <v>2932.3622030757883</v>
          </cell>
          <cell r="AI216">
            <v>2932.3622030757883</v>
          </cell>
        </row>
        <row r="217">
          <cell r="E217">
            <v>75</v>
          </cell>
          <cell r="F217" t="str">
            <v>CUST</v>
          </cell>
          <cell r="G217">
            <v>0.16830875636173823</v>
          </cell>
          <cell r="H217"/>
          <cell r="I217"/>
          <cell r="J217"/>
          <cell r="K217"/>
          <cell r="L217">
            <v>3283.9357118621951</v>
          </cell>
          <cell r="O217">
            <v>3283.9357118621951</v>
          </cell>
          <cell r="P217">
            <v>97.04921832180608</v>
          </cell>
          <cell r="S217">
            <v>97.04921832180608</v>
          </cell>
          <cell r="T217">
            <v>0</v>
          </cell>
          <cell r="W217">
            <v>0</v>
          </cell>
          <cell r="X217">
            <v>0</v>
          </cell>
          <cell r="AA217">
            <v>0</v>
          </cell>
          <cell r="AB217">
            <v>0</v>
          </cell>
          <cell r="AC217"/>
          <cell r="AD217"/>
          <cell r="AE217">
            <v>0</v>
          </cell>
          <cell r="AF217">
            <v>1.9672138849014749</v>
          </cell>
          <cell r="AI217">
            <v>1.9672138849014749</v>
          </cell>
        </row>
        <row r="218">
          <cell r="E218">
            <v>74</v>
          </cell>
          <cell r="F218" t="str">
            <v>CUST</v>
          </cell>
          <cell r="G218">
            <v>0.16830875636173823</v>
          </cell>
          <cell r="H218"/>
          <cell r="I218"/>
          <cell r="J218"/>
          <cell r="K218"/>
          <cell r="L218">
            <v>7557.2373430771231</v>
          </cell>
          <cell r="O218">
            <v>7557.2373430771231</v>
          </cell>
          <cell r="P218">
            <v>223.33688633694376</v>
          </cell>
          <cell r="S218">
            <v>223.33688633694376</v>
          </cell>
          <cell r="T218">
            <v>0</v>
          </cell>
          <cell r="W218">
            <v>0</v>
          </cell>
          <cell r="X218">
            <v>0</v>
          </cell>
          <cell r="AA218">
            <v>0</v>
          </cell>
          <cell r="AB218">
            <v>0</v>
          </cell>
          <cell r="AC218"/>
          <cell r="AD218"/>
          <cell r="AE218">
            <v>0</v>
          </cell>
          <cell r="AF218">
            <v>4.5270990473704815</v>
          </cell>
          <cell r="AI218">
            <v>4.5270990473704815</v>
          </cell>
        </row>
        <row r="219">
          <cell r="E219">
            <v>74</v>
          </cell>
          <cell r="F219" t="str">
            <v>CUST</v>
          </cell>
          <cell r="G219">
            <v>0.16830875636173823</v>
          </cell>
          <cell r="H219"/>
          <cell r="I219"/>
          <cell r="J219"/>
          <cell r="K219"/>
          <cell r="L219">
            <v>7039.2772804384704</v>
          </cell>
          <cell r="O219">
            <v>7039.2772804384704</v>
          </cell>
          <cell r="P219">
            <v>208.02975988516249</v>
          </cell>
          <cell r="S219">
            <v>208.02975988516249</v>
          </cell>
          <cell r="T219">
            <v>0</v>
          </cell>
          <cell r="W219">
            <v>0</v>
          </cell>
          <cell r="X219">
            <v>0</v>
          </cell>
          <cell r="AA219">
            <v>0</v>
          </cell>
          <cell r="AB219">
            <v>0</v>
          </cell>
          <cell r="AC219"/>
          <cell r="AD219"/>
          <cell r="AE219">
            <v>0</v>
          </cell>
          <cell r="AF219">
            <v>4.2168194571316722</v>
          </cell>
          <cell r="AI219">
            <v>4.2168194571316722</v>
          </cell>
        </row>
        <row r="220">
          <cell r="E220">
            <v>74</v>
          </cell>
          <cell r="F220" t="str">
            <v>CUST</v>
          </cell>
          <cell r="G220">
            <v>0.1683087563617382</v>
          </cell>
          <cell r="H220"/>
          <cell r="I220"/>
          <cell r="J220"/>
          <cell r="K220"/>
          <cell r="L220">
            <v>2240.0621271042673</v>
          </cell>
          <cell r="O220">
            <v>2240.0621271042673</v>
          </cell>
          <cell r="P220">
            <v>66.199919091739531</v>
          </cell>
          <cell r="S220">
            <v>66.199919091739531</v>
          </cell>
          <cell r="T220">
            <v>0</v>
          </cell>
          <cell r="W220">
            <v>0</v>
          </cell>
          <cell r="X220">
            <v>0</v>
          </cell>
          <cell r="AA220">
            <v>0</v>
          </cell>
          <cell r="AB220">
            <v>0</v>
          </cell>
          <cell r="AC220"/>
          <cell r="AD220"/>
          <cell r="AE220">
            <v>0</v>
          </cell>
          <cell r="AF220">
            <v>1.3418902518595852</v>
          </cell>
          <cell r="AI220">
            <v>1.3418902518595852</v>
          </cell>
        </row>
        <row r="221">
          <cell r="E221">
            <v>85</v>
          </cell>
          <cell r="F221" t="str">
            <v>CUST</v>
          </cell>
          <cell r="G221">
            <v>0.1683087563617382</v>
          </cell>
          <cell r="H221"/>
          <cell r="I221"/>
          <cell r="J221"/>
          <cell r="K221"/>
          <cell r="L221">
            <v>1251.1732846143807</v>
          </cell>
          <cell r="O221">
            <v>1251.1732846143807</v>
          </cell>
          <cell r="P221">
            <v>36.975568315281222</v>
          </cell>
          <cell r="S221">
            <v>36.975568315281222</v>
          </cell>
          <cell r="T221">
            <v>0</v>
          </cell>
          <cell r="W221">
            <v>0</v>
          </cell>
          <cell r="X221">
            <v>0</v>
          </cell>
          <cell r="AA221">
            <v>0</v>
          </cell>
          <cell r="AB221">
            <v>0</v>
          </cell>
          <cell r="AC221"/>
          <cell r="AD221"/>
          <cell r="AE221">
            <v>0</v>
          </cell>
          <cell r="AF221">
            <v>0.74950476314759229</v>
          </cell>
          <cell r="AI221">
            <v>0.74950476314759229</v>
          </cell>
        </row>
        <row r="222">
          <cell r="E222">
            <v>78</v>
          </cell>
          <cell r="F222" t="str">
            <v>REV</v>
          </cell>
          <cell r="G222">
            <v>0.12050036179656672</v>
          </cell>
          <cell r="H222"/>
          <cell r="I222"/>
          <cell r="J222"/>
          <cell r="K222"/>
          <cell r="L222">
            <v>1710.8190785843394</v>
          </cell>
          <cell r="O222">
            <v>1710.8190785843394</v>
          </cell>
          <cell r="P222">
            <v>577.83028482201928</v>
          </cell>
          <cell r="S222">
            <v>577.83028482201928</v>
          </cell>
          <cell r="T222">
            <v>1.2968404488398491</v>
          </cell>
          <cell r="W222">
            <v>1.2968404488398491</v>
          </cell>
          <cell r="X222">
            <v>9.5653856429739896</v>
          </cell>
          <cell r="AA222">
            <v>9.5653856429739896</v>
          </cell>
          <cell r="AB222">
            <v>15.81972205145655</v>
          </cell>
          <cell r="AC222"/>
          <cell r="AD222"/>
          <cell r="AE222">
            <v>15.81972205145655</v>
          </cell>
          <cell r="AF222">
            <v>118.65188136836775</v>
          </cell>
          <cell r="AI222">
            <v>118.65188136836775</v>
          </cell>
        </row>
        <row r="223">
          <cell r="E223">
            <v>78</v>
          </cell>
          <cell r="F223" t="str">
            <v>ACT</v>
          </cell>
          <cell r="G223">
            <v>0</v>
          </cell>
          <cell r="H223"/>
          <cell r="I223"/>
          <cell r="J223"/>
          <cell r="L223">
            <v>0</v>
          </cell>
          <cell r="O223">
            <v>0</v>
          </cell>
          <cell r="P223">
            <v>0</v>
          </cell>
          <cell r="S223">
            <v>0</v>
          </cell>
          <cell r="T223">
            <v>0</v>
          </cell>
          <cell r="W223">
            <v>0</v>
          </cell>
          <cell r="X223">
            <v>0</v>
          </cell>
          <cell r="AA223">
            <v>0</v>
          </cell>
          <cell r="AB223">
            <v>0</v>
          </cell>
          <cell r="AC223"/>
          <cell r="AD223"/>
          <cell r="AE223">
            <v>0</v>
          </cell>
          <cell r="AF223">
            <v>0</v>
          </cell>
          <cell r="AI223">
            <v>0</v>
          </cell>
        </row>
        <row r="224">
          <cell r="E224">
            <v>87</v>
          </cell>
          <cell r="F224" t="str">
            <v>REV</v>
          </cell>
          <cell r="G224">
            <v>0.1205003617965667</v>
          </cell>
          <cell r="H224"/>
          <cell r="I224"/>
          <cell r="J224"/>
          <cell r="K224"/>
          <cell r="L224">
            <v>157.08152757999619</v>
          </cell>
          <cell r="O224">
            <v>157.08152757999619</v>
          </cell>
          <cell r="P224">
            <v>53.054390705611077</v>
          </cell>
          <cell r="S224">
            <v>53.054390705611077</v>
          </cell>
          <cell r="T224">
            <v>0.11907143267297216</v>
          </cell>
          <cell r="W224">
            <v>0.11907143267297216</v>
          </cell>
          <cell r="X224">
            <v>0.87826083277808542</v>
          </cell>
          <cell r="AA224">
            <v>0.87826083277808542</v>
          </cell>
          <cell r="AB224">
            <v>1.4525125051738443</v>
          </cell>
          <cell r="AC224"/>
          <cell r="AD224"/>
          <cell r="AE224">
            <v>1.4525125051738443</v>
          </cell>
          <cell r="AF224">
            <v>10.89420793168042</v>
          </cell>
          <cell r="AI224">
            <v>10.89420793168042</v>
          </cell>
        </row>
        <row r="225">
          <cell r="E225">
            <v>87</v>
          </cell>
          <cell r="F225" t="str">
            <v>REV</v>
          </cell>
          <cell r="G225">
            <v>0.12050036179656672</v>
          </cell>
          <cell r="H225"/>
          <cell r="I225"/>
          <cell r="J225"/>
          <cell r="K225"/>
          <cell r="L225">
            <v>1064.5445446099402</v>
          </cell>
          <cell r="O225">
            <v>1064.5445446099402</v>
          </cell>
          <cell r="P225">
            <v>359.55062993960195</v>
          </cell>
          <cell r="S225">
            <v>359.55062993960195</v>
          </cell>
          <cell r="T225">
            <v>0.80694939770272733</v>
          </cell>
          <cell r="W225">
            <v>0.80694939770272733</v>
          </cell>
          <cell r="X225">
            <v>5.9519906171166896</v>
          </cell>
          <cell r="AA225">
            <v>5.9519906171166896</v>
          </cell>
          <cell r="AB225">
            <v>9.8437052859259619</v>
          </cell>
          <cell r="AC225"/>
          <cell r="AD225"/>
          <cell r="AE225">
            <v>9.8437052859259619</v>
          </cell>
          <cell r="AF225">
            <v>73.830257447748536</v>
          </cell>
          <cell r="AI225">
            <v>73.830257447748536</v>
          </cell>
        </row>
        <row r="226">
          <cell r="E226">
            <v>87</v>
          </cell>
          <cell r="F226" t="str">
            <v>REV</v>
          </cell>
          <cell r="G226">
            <v>0.12050036179656672</v>
          </cell>
          <cell r="H226"/>
          <cell r="I226"/>
          <cell r="J226"/>
          <cell r="K226"/>
          <cell r="L226">
            <v>1467.8458189307973</v>
          </cell>
          <cell r="O226">
            <v>1467.8458189307973</v>
          </cell>
          <cell r="P226">
            <v>495.76590432310877</v>
          </cell>
          <cell r="S226">
            <v>495.76590432310877</v>
          </cell>
          <cell r="T226">
            <v>1.1126610957746985</v>
          </cell>
          <cell r="W226">
            <v>1.1126610957746985</v>
          </cell>
          <cell r="X226">
            <v>8.2068942872195603</v>
          </cell>
          <cell r="AA226">
            <v>8.2068942872195603</v>
          </cell>
          <cell r="AB226">
            <v>13.572979843720567</v>
          </cell>
          <cell r="AC226"/>
          <cell r="AD226"/>
          <cell r="AE226">
            <v>13.572979843720567</v>
          </cell>
          <cell r="AF226">
            <v>101.80075155518307</v>
          </cell>
          <cell r="AI226">
            <v>101.80075155518307</v>
          </cell>
        </row>
        <row r="227">
          <cell r="E227">
            <v>87</v>
          </cell>
          <cell r="F227" t="str">
            <v>REV</v>
          </cell>
          <cell r="G227">
            <v>0.12050036179656673</v>
          </cell>
          <cell r="H227"/>
          <cell r="I227"/>
          <cell r="J227"/>
          <cell r="K227"/>
          <cell r="L227">
            <v>95.425376387362647</v>
          </cell>
          <cell r="O227">
            <v>95.425376387362647</v>
          </cell>
          <cell r="P227">
            <v>32.229984518751607</v>
          </cell>
          <cell r="S227">
            <v>32.229984518751607</v>
          </cell>
          <cell r="T227">
            <v>7.2334643384559527E-2</v>
          </cell>
          <cell r="W227">
            <v>7.2334643384559527E-2</v>
          </cell>
          <cell r="X227">
            <v>0.53353422152994179</v>
          </cell>
          <cell r="AA227">
            <v>0.53353422152994179</v>
          </cell>
          <cell r="AB227">
            <v>0.8823860746005131</v>
          </cell>
          <cell r="AC227"/>
          <cell r="AD227"/>
          <cell r="AE227">
            <v>0.8823860746005131</v>
          </cell>
          <cell r="AF227">
            <v>6.618116772472634</v>
          </cell>
          <cell r="AI227">
            <v>6.618116772472634</v>
          </cell>
        </row>
        <row r="228">
          <cell r="E228">
            <v>87</v>
          </cell>
          <cell r="F228" t="str">
            <v>REV</v>
          </cell>
          <cell r="G228">
            <v>0</v>
          </cell>
          <cell r="H228"/>
          <cell r="I228"/>
          <cell r="J228"/>
          <cell r="K228"/>
          <cell r="L228">
            <v>0</v>
          </cell>
          <cell r="O228">
            <v>0</v>
          </cell>
          <cell r="P228">
            <v>0</v>
          </cell>
          <cell r="S228">
            <v>0</v>
          </cell>
          <cell r="T228">
            <v>0</v>
          </cell>
          <cell r="W228">
            <v>0</v>
          </cell>
          <cell r="X228">
            <v>0</v>
          </cell>
          <cell r="AA228">
            <v>0</v>
          </cell>
          <cell r="AB228">
            <v>0</v>
          </cell>
          <cell r="AC228"/>
          <cell r="AD228"/>
          <cell r="AE228">
            <v>0</v>
          </cell>
          <cell r="AF228">
            <v>0</v>
          </cell>
          <cell r="AI228">
            <v>0</v>
          </cell>
        </row>
        <row r="229">
          <cell r="E229">
            <v>87</v>
          </cell>
          <cell r="F229" t="str">
            <v>REV</v>
          </cell>
          <cell r="G229">
            <v>0.1205003617965667</v>
          </cell>
          <cell r="H229"/>
          <cell r="I229"/>
          <cell r="J229"/>
          <cell r="K229"/>
          <cell r="L229">
            <v>196.6475066556564</v>
          </cell>
          <cell r="O229">
            <v>196.6475066556564</v>
          </cell>
          <cell r="P229">
            <v>66.417826526930583</v>
          </cell>
          <cell r="S229">
            <v>66.417826526930583</v>
          </cell>
          <cell r="T229">
            <v>0.1490633603440884</v>
          </cell>
          <cell r="W229">
            <v>0.1490633603440884</v>
          </cell>
          <cell r="X229">
            <v>1.0994787587049455</v>
          </cell>
          <cell r="AA229">
            <v>1.0994787587049455</v>
          </cell>
          <cell r="AB229">
            <v>1.8183739802449697</v>
          </cell>
          <cell r="AC229"/>
          <cell r="AD229"/>
          <cell r="AE229">
            <v>1.8183739802449697</v>
          </cell>
          <cell r="AF229">
            <v>13.638260715679767</v>
          </cell>
          <cell r="AI229">
            <v>13.638260715679767</v>
          </cell>
        </row>
        <row r="230">
          <cell r="E230">
            <v>87</v>
          </cell>
          <cell r="F230" t="str">
            <v>REV</v>
          </cell>
          <cell r="G230">
            <v>0.1205003617965667</v>
          </cell>
          <cell r="H230"/>
          <cell r="I230"/>
          <cell r="J230"/>
          <cell r="K230"/>
          <cell r="L230">
            <v>50.252367695722818</v>
          </cell>
          <cell r="O230">
            <v>50.252367695722818</v>
          </cell>
          <cell r="P230">
            <v>16.972770705028633</v>
          </cell>
          <cell r="S230">
            <v>16.972770705028633</v>
          </cell>
          <cell r="T230">
            <v>3.8092457521406824E-2</v>
          </cell>
          <cell r="W230">
            <v>3.8092457521406824E-2</v>
          </cell>
          <cell r="X230">
            <v>0.28096675007848909</v>
          </cell>
          <cell r="AA230">
            <v>0.28096675007848909</v>
          </cell>
          <cell r="AB230">
            <v>0.46467712414789897</v>
          </cell>
          <cell r="AC230"/>
          <cell r="AD230"/>
          <cell r="AE230">
            <v>0.46467712414789897</v>
          </cell>
          <cell r="AF230">
            <v>3.4851949250217347</v>
          </cell>
          <cell r="AI230">
            <v>3.4851949250217347</v>
          </cell>
        </row>
        <row r="231">
          <cell r="E231">
            <v>87</v>
          </cell>
          <cell r="F231" t="str">
            <v>REV</v>
          </cell>
          <cell r="G231">
            <v>0.1205003617965667</v>
          </cell>
          <cell r="H231"/>
          <cell r="I231"/>
          <cell r="J231"/>
          <cell r="K231"/>
          <cell r="L231">
            <v>3.0491399724360311</v>
          </cell>
          <cell r="O231">
            <v>3.0491399724360311</v>
          </cell>
          <cell r="P231">
            <v>1.0298490593130589</v>
          </cell>
          <cell r="S231">
            <v>1.0298490593130589</v>
          </cell>
          <cell r="T231">
            <v>2.311318654279628E-3</v>
          </cell>
          <cell r="W231">
            <v>2.311318654279628E-3</v>
          </cell>
          <cell r="X231">
            <v>1.7048091221832779E-2</v>
          </cell>
          <cell r="AA231">
            <v>1.7048091221832779E-2</v>
          </cell>
          <cell r="AB231">
            <v>2.8195001718029973E-2</v>
          </cell>
          <cell r="AC231"/>
          <cell r="AD231"/>
          <cell r="AE231">
            <v>2.8195001718029973E-2</v>
          </cell>
          <cell r="AF231">
            <v>0.21146958133316893</v>
          </cell>
          <cell r="AI231">
            <v>0.21146958133316893</v>
          </cell>
        </row>
        <row r="232">
          <cell r="E232">
            <v>84</v>
          </cell>
          <cell r="F232" t="str">
            <v>CUST</v>
          </cell>
          <cell r="G232">
            <v>0.1683087563617382</v>
          </cell>
          <cell r="H232"/>
          <cell r="I232"/>
          <cell r="J232"/>
          <cell r="K232"/>
          <cell r="L232">
            <v>3515.2542711731703</v>
          </cell>
          <cell r="O232">
            <v>3515.2542711731703</v>
          </cell>
          <cell r="P232">
            <v>103.8853099308365</v>
          </cell>
          <cell r="S232">
            <v>103.8853099308365</v>
          </cell>
          <cell r="T232">
            <v>0</v>
          </cell>
          <cell r="W232">
            <v>0</v>
          </cell>
          <cell r="X232">
            <v>0</v>
          </cell>
          <cell r="AA232">
            <v>0</v>
          </cell>
          <cell r="AB232">
            <v>0</v>
          </cell>
          <cell r="AC232"/>
          <cell r="AD232"/>
          <cell r="AE232">
            <v>0</v>
          </cell>
          <cell r="AF232">
            <v>2.1057833094088481</v>
          </cell>
          <cell r="AI232">
            <v>2.1057833094088481</v>
          </cell>
        </row>
        <row r="233">
          <cell r="E233">
            <v>86</v>
          </cell>
          <cell r="F233" t="str">
            <v>REV</v>
          </cell>
          <cell r="G233">
            <v>0.12050036179656673</v>
          </cell>
          <cell r="H233"/>
          <cell r="I233"/>
          <cell r="J233"/>
          <cell r="K233"/>
          <cell r="L233">
            <v>6038.7971528931157</v>
          </cell>
          <cell r="O233">
            <v>6038.7971528931157</v>
          </cell>
          <cell r="P233">
            <v>2039.6077659632022</v>
          </cell>
          <cell r="S233">
            <v>2039.6077659632022</v>
          </cell>
          <cell r="T233">
            <v>4.5775479758449773</v>
          </cell>
          <cell r="W233">
            <v>4.5775479758449773</v>
          </cell>
          <cell r="X233">
            <v>33.763607332993871</v>
          </cell>
          <cell r="AA233">
            <v>33.763607332993871</v>
          </cell>
          <cell r="AB233">
            <v>55.839973776155638</v>
          </cell>
          <cell r="AC233"/>
          <cell r="AD233"/>
          <cell r="AE233">
            <v>55.839973776155638</v>
          </cell>
          <cell r="AF233">
            <v>418.81380232538038</v>
          </cell>
          <cell r="AI233">
            <v>418.81380232538038</v>
          </cell>
        </row>
        <row r="234">
          <cell r="E234">
            <v>69</v>
          </cell>
          <cell r="F234" t="str">
            <v>CUST</v>
          </cell>
          <cell r="G234">
            <v>0.1683087563617382</v>
          </cell>
          <cell r="H234"/>
          <cell r="I234"/>
          <cell r="J234"/>
          <cell r="K234"/>
          <cell r="L234">
            <v>4094.8438418374008</v>
          </cell>
          <cell r="O234">
            <v>4094.8438418374008</v>
          </cell>
          <cell r="P234">
            <v>121.01375570925225</v>
          </cell>
          <cell r="S234">
            <v>121.01375570925225</v>
          </cell>
          <cell r="T234">
            <v>0</v>
          </cell>
          <cell r="W234">
            <v>0</v>
          </cell>
          <cell r="X234">
            <v>0</v>
          </cell>
          <cell r="AA234">
            <v>0</v>
          </cell>
          <cell r="AB234">
            <v>0</v>
          </cell>
          <cell r="AC234"/>
          <cell r="AD234"/>
          <cell r="AE234">
            <v>0</v>
          </cell>
          <cell r="AF234">
            <v>2.4529815346470052</v>
          </cell>
          <cell r="AI234">
            <v>2.4529815346470052</v>
          </cell>
        </row>
        <row r="235">
          <cell r="E235">
            <v>71</v>
          </cell>
          <cell r="F235" t="str">
            <v>REV</v>
          </cell>
          <cell r="G235">
            <v>0</v>
          </cell>
          <cell r="H235"/>
          <cell r="I235"/>
          <cell r="J235"/>
          <cell r="K235"/>
          <cell r="L235">
            <v>0</v>
          </cell>
          <cell r="O235">
            <v>0</v>
          </cell>
          <cell r="P235">
            <v>0</v>
          </cell>
          <cell r="S235">
            <v>0</v>
          </cell>
          <cell r="T235">
            <v>0</v>
          </cell>
          <cell r="W235">
            <v>0</v>
          </cell>
          <cell r="X235">
            <v>0</v>
          </cell>
          <cell r="AA235">
            <v>0</v>
          </cell>
          <cell r="AB235">
            <v>0</v>
          </cell>
          <cell r="AC235"/>
          <cell r="AD235"/>
          <cell r="AE235">
            <v>0</v>
          </cell>
          <cell r="AF235">
            <v>0</v>
          </cell>
          <cell r="AI235">
            <v>0</v>
          </cell>
        </row>
        <row r="236">
          <cell r="E236">
            <v>69</v>
          </cell>
          <cell r="F236" t="str">
            <v>REV</v>
          </cell>
          <cell r="G236">
            <v>0.1205003617965667</v>
          </cell>
          <cell r="H236"/>
          <cell r="I236"/>
          <cell r="J236"/>
          <cell r="K236"/>
          <cell r="L236">
            <v>29.644416398683635</v>
          </cell>
          <cell r="O236">
            <v>29.644416398683635</v>
          </cell>
          <cell r="P236">
            <v>10.012421409988072</v>
          </cell>
          <cell r="S236">
            <v>10.012421409988072</v>
          </cell>
          <cell r="T236">
            <v>2.2471153583274159E-2</v>
          </cell>
          <cell r="W236">
            <v>2.2471153583274159E-2</v>
          </cell>
          <cell r="X236">
            <v>0.16574533132337427</v>
          </cell>
          <cell r="AA236">
            <v>0.16574533132337427</v>
          </cell>
          <cell r="AB236">
            <v>0.27411807225862478</v>
          </cell>
          <cell r="AC236"/>
          <cell r="AD236"/>
          <cell r="AE236">
            <v>0.27411807225862478</v>
          </cell>
          <cell r="AF236">
            <v>2.0559542629613645</v>
          </cell>
          <cell r="AI236">
            <v>2.0559542629613645</v>
          </cell>
        </row>
        <row r="237">
          <cell r="E237">
            <v>71</v>
          </cell>
          <cell r="F237" t="str">
            <v>REV</v>
          </cell>
          <cell r="G237">
            <v>0.12050036179656669</v>
          </cell>
          <cell r="H237"/>
          <cell r="I237"/>
          <cell r="J237"/>
          <cell r="K237"/>
          <cell r="L237">
            <v>1197.0085018291438</v>
          </cell>
          <cell r="O237">
            <v>1197.0085018291438</v>
          </cell>
          <cell r="P237">
            <v>404.29041983717576</v>
          </cell>
          <cell r="S237">
            <v>404.29041983717576</v>
          </cell>
          <cell r="T237">
            <v>0.90736014240718921</v>
          </cell>
          <cell r="W237">
            <v>0.90736014240718921</v>
          </cell>
          <cell r="X237">
            <v>6.6926117911829506</v>
          </cell>
          <cell r="AA237">
            <v>6.6926117911829506</v>
          </cell>
          <cell r="AB237">
            <v>11.068582311951323</v>
          </cell>
          <cell r="AC237"/>
          <cell r="AD237"/>
          <cell r="AE237">
            <v>11.068582311951323</v>
          </cell>
          <cell r="AF237">
            <v>83.017142217915463</v>
          </cell>
          <cell r="AI237">
            <v>83.017142217915463</v>
          </cell>
        </row>
        <row r="238">
          <cell r="E238">
            <v>71</v>
          </cell>
          <cell r="F238" t="str">
            <v>REV</v>
          </cell>
          <cell r="G238">
            <v>0.12050036179656672</v>
          </cell>
          <cell r="H238"/>
          <cell r="I238"/>
          <cell r="J238"/>
          <cell r="K238"/>
          <cell r="L238">
            <v>318.87990530068578</v>
          </cell>
          <cell r="O238">
            <v>318.87990530068578</v>
          </cell>
          <cell r="P238">
            <v>107.70190069214283</v>
          </cell>
          <cell r="S238">
            <v>107.70190069214283</v>
          </cell>
          <cell r="T238">
            <v>0.241718346897523</v>
          </cell>
          <cell r="W238">
            <v>0.241718346897523</v>
          </cell>
          <cell r="X238">
            <v>1.7828941155601672</v>
          </cell>
          <cell r="AA238">
            <v>1.7828941155601672</v>
          </cell>
          <cell r="AB238">
            <v>2.9486411116164963</v>
          </cell>
          <cell r="AC238"/>
          <cell r="AD238"/>
          <cell r="AE238">
            <v>2.9486411116164963</v>
          </cell>
          <cell r="AF238">
            <v>22.11554755737318</v>
          </cell>
          <cell r="AI238">
            <v>22.11554755737318</v>
          </cell>
        </row>
        <row r="239">
          <cell r="E239">
            <v>71</v>
          </cell>
          <cell r="F239" t="str">
            <v>REV</v>
          </cell>
          <cell r="G239">
            <v>0.12050036179656669</v>
          </cell>
          <cell r="H239"/>
          <cell r="I239"/>
          <cell r="J239"/>
          <cell r="K239"/>
          <cell r="L239">
            <v>431.0806334364006</v>
          </cell>
          <cell r="O239">
            <v>431.0806334364006</v>
          </cell>
          <cell r="P239">
            <v>145.59777145221511</v>
          </cell>
          <cell r="S239">
            <v>145.59777145221511</v>
          </cell>
          <cell r="T239">
            <v>0.32676909507837754</v>
          </cell>
          <cell r="W239">
            <v>0.32676909507837754</v>
          </cell>
          <cell r="X239">
            <v>2.4102212522955586</v>
          </cell>
          <cell r="AA239">
            <v>2.4102212522955586</v>
          </cell>
          <cell r="AB239">
            <v>3.9861466873357041</v>
          </cell>
          <cell r="AC239"/>
          <cell r="AD239"/>
          <cell r="AE239">
            <v>3.9861466873357041</v>
          </cell>
          <cell r="AF239">
            <v>29.897099476480459</v>
          </cell>
          <cell r="AI239">
            <v>29.897099476480459</v>
          </cell>
        </row>
        <row r="240">
          <cell r="E240">
            <v>71</v>
          </cell>
          <cell r="F240" t="str">
            <v>ACT</v>
          </cell>
          <cell r="G240">
            <v>0.18106525480033178</v>
          </cell>
          <cell r="H240"/>
          <cell r="I240"/>
          <cell r="J240"/>
          <cell r="K240"/>
          <cell r="L240">
            <v>0</v>
          </cell>
          <cell r="M240">
            <v>877.54</v>
          </cell>
          <cell r="N240" t="str">
            <v>LedgerSource</v>
          </cell>
          <cell r="O240">
            <v>877.54</v>
          </cell>
          <cell r="P240">
            <v>0</v>
          </cell>
          <cell r="S240">
            <v>0</v>
          </cell>
          <cell r="T240">
            <v>0</v>
          </cell>
          <cell r="W240">
            <v>0</v>
          </cell>
          <cell r="X240">
            <v>0</v>
          </cell>
          <cell r="AA240">
            <v>0</v>
          </cell>
          <cell r="AB240">
            <v>0</v>
          </cell>
          <cell r="AC240"/>
          <cell r="AD240"/>
          <cell r="AE240">
            <v>0</v>
          </cell>
          <cell r="AF240">
            <v>0</v>
          </cell>
          <cell r="AI240">
            <v>0</v>
          </cell>
        </row>
        <row r="241">
          <cell r="E241">
            <v>76</v>
          </cell>
          <cell r="F241" t="str">
            <v>DH</v>
          </cell>
          <cell r="G241">
            <v>0</v>
          </cell>
          <cell r="H241"/>
          <cell r="I241"/>
          <cell r="J241"/>
          <cell r="K241"/>
          <cell r="L241">
            <v>0</v>
          </cell>
          <cell r="M241"/>
          <cell r="N241"/>
          <cell r="O241">
            <v>0</v>
          </cell>
          <cell r="P241">
            <v>0</v>
          </cell>
          <cell r="S241">
            <v>0</v>
          </cell>
          <cell r="T241">
            <v>0</v>
          </cell>
          <cell r="W241">
            <v>0</v>
          </cell>
          <cell r="X241">
            <v>0</v>
          </cell>
          <cell r="AA241">
            <v>0</v>
          </cell>
          <cell r="AB241">
            <v>0</v>
          </cell>
          <cell r="AC241"/>
          <cell r="AD241"/>
          <cell r="AE241">
            <v>0</v>
          </cell>
          <cell r="AF241">
            <v>0</v>
          </cell>
          <cell r="AI241">
            <v>0</v>
          </cell>
        </row>
        <row r="242">
          <cell r="E242">
            <v>80</v>
          </cell>
          <cell r="F242" t="str">
            <v>CUST</v>
          </cell>
          <cell r="G242">
            <v>0.16830875636173823</v>
          </cell>
          <cell r="H242"/>
          <cell r="I242"/>
          <cell r="J242"/>
          <cell r="K242"/>
          <cell r="L242">
            <v>3732.1216494845357</v>
          </cell>
          <cell r="O242">
            <v>3732.1216494845357</v>
          </cell>
          <cell r="P242">
            <v>110.29432989690721</v>
          </cell>
          <cell r="S242">
            <v>110.29432989690721</v>
          </cell>
          <cell r="T242">
            <v>0</v>
          </cell>
          <cell r="W242">
            <v>0</v>
          </cell>
          <cell r="X242">
            <v>0</v>
          </cell>
          <cell r="AA242">
            <v>0</v>
          </cell>
          <cell r="AB242">
            <v>0</v>
          </cell>
          <cell r="AC242"/>
          <cell r="AD242"/>
          <cell r="AE242">
            <v>0</v>
          </cell>
          <cell r="AF242">
            <v>2.2356958762886601</v>
          </cell>
          <cell r="AI242">
            <v>2.2356958762886601</v>
          </cell>
        </row>
        <row r="243">
          <cell r="E243">
            <v>91</v>
          </cell>
          <cell r="F243" t="str">
            <v>ACT</v>
          </cell>
          <cell r="G243">
            <v>0</v>
          </cell>
          <cell r="H243"/>
          <cell r="I243"/>
          <cell r="J243"/>
          <cell r="K243"/>
          <cell r="L243">
            <v>0</v>
          </cell>
          <cell r="O243">
            <v>0</v>
          </cell>
          <cell r="P243">
            <v>0</v>
          </cell>
          <cell r="S243">
            <v>0</v>
          </cell>
          <cell r="T243">
            <v>0</v>
          </cell>
          <cell r="W243">
            <v>0</v>
          </cell>
          <cell r="X243">
            <v>0</v>
          </cell>
          <cell r="AA243">
            <v>0</v>
          </cell>
          <cell r="AB243">
            <v>0</v>
          </cell>
          <cell r="AC243"/>
          <cell r="AD243"/>
          <cell r="AE243">
            <v>0</v>
          </cell>
          <cell r="AF243">
            <v>0</v>
          </cell>
          <cell r="AI243">
            <v>0</v>
          </cell>
        </row>
        <row r="244">
          <cell r="E244">
            <v>91</v>
          </cell>
          <cell r="F244" t="str">
            <v>ACT</v>
          </cell>
          <cell r="G244">
            <v>0</v>
          </cell>
          <cell r="H244"/>
          <cell r="I244"/>
          <cell r="J244"/>
          <cell r="K244"/>
          <cell r="L244">
            <v>0</v>
          </cell>
          <cell r="O244">
            <v>0</v>
          </cell>
          <cell r="P244">
            <v>0</v>
          </cell>
          <cell r="S244">
            <v>0</v>
          </cell>
          <cell r="T244">
            <v>0</v>
          </cell>
          <cell r="W244">
            <v>0</v>
          </cell>
          <cell r="X244">
            <v>0</v>
          </cell>
          <cell r="AA244">
            <v>0</v>
          </cell>
          <cell r="AB244">
            <v>0</v>
          </cell>
          <cell r="AC244"/>
          <cell r="AD244"/>
          <cell r="AE244">
            <v>0</v>
          </cell>
          <cell r="AF244">
            <v>0</v>
          </cell>
          <cell r="AI244">
            <v>0</v>
          </cell>
        </row>
        <row r="245">
          <cell r="E245">
            <v>77</v>
          </cell>
          <cell r="F245" t="str">
            <v>ACT</v>
          </cell>
          <cell r="G245">
            <v>5.3629611088429799E-2</v>
          </cell>
          <cell r="H245"/>
          <cell r="I245"/>
          <cell r="J245"/>
          <cell r="K245"/>
          <cell r="L245">
            <v>0</v>
          </cell>
          <cell r="M245">
            <v>2606.8201291311166</v>
          </cell>
          <cell r="N245" t="str">
            <v>Mult Co Tax</v>
          </cell>
          <cell r="O245">
            <v>2606.8201291311166</v>
          </cell>
          <cell r="P245">
            <v>0</v>
          </cell>
          <cell r="Q245">
            <v>964.24900143612444</v>
          </cell>
          <cell r="R245" t="str">
            <v>Mult Co Tax</v>
          </cell>
          <cell r="S245">
            <v>964.24900143612444</v>
          </cell>
          <cell r="T245">
            <v>0</v>
          </cell>
          <cell r="W245">
            <v>0</v>
          </cell>
          <cell r="X245">
            <v>0</v>
          </cell>
          <cell r="AA245">
            <v>0</v>
          </cell>
          <cell r="AB245">
            <v>0</v>
          </cell>
          <cell r="AC245"/>
          <cell r="AD245"/>
          <cell r="AE245">
            <v>0</v>
          </cell>
          <cell r="AF245">
            <v>0</v>
          </cell>
          <cell r="AG245">
            <v>183.00364562284466</v>
          </cell>
          <cell r="AH245" t="str">
            <v>Mult Co Tax</v>
          </cell>
          <cell r="AI245">
            <v>183.00364562284466</v>
          </cell>
        </row>
        <row r="246">
          <cell r="E246">
            <v>84</v>
          </cell>
          <cell r="F246" t="str">
            <v>CUST</v>
          </cell>
          <cell r="G246">
            <v>0.16830875636173823</v>
          </cell>
          <cell r="H246"/>
          <cell r="I246"/>
          <cell r="J246"/>
          <cell r="K246"/>
          <cell r="L246">
            <v>13648.626616207752</v>
          </cell>
          <cell r="O246">
            <v>13648.626616207752</v>
          </cell>
          <cell r="P246">
            <v>403.35398146939843</v>
          </cell>
          <cell r="S246">
            <v>403.35398146939843</v>
          </cell>
          <cell r="T246">
            <v>0</v>
          </cell>
          <cell r="W246">
            <v>0</v>
          </cell>
          <cell r="X246">
            <v>0</v>
          </cell>
          <cell r="AA246">
            <v>0</v>
          </cell>
          <cell r="AB246">
            <v>0</v>
          </cell>
          <cell r="AC246"/>
          <cell r="AD246"/>
          <cell r="AE246">
            <v>0</v>
          </cell>
          <cell r="AF246">
            <v>8.176094218974292</v>
          </cell>
          <cell r="AI246">
            <v>8.176094218974292</v>
          </cell>
        </row>
        <row r="247">
          <cell r="E247">
            <v>84</v>
          </cell>
          <cell r="F247" t="str">
            <v>CUST</v>
          </cell>
          <cell r="G247">
            <v>0.1683087563617382</v>
          </cell>
          <cell r="H247"/>
          <cell r="I247"/>
          <cell r="J247"/>
          <cell r="K247"/>
          <cell r="L247">
            <v>271.01070076993346</v>
          </cell>
          <cell r="O247">
            <v>271.01070076993346</v>
          </cell>
          <cell r="P247">
            <v>8.0091021793031452</v>
          </cell>
          <cell r="S247">
            <v>8.0091021793031452</v>
          </cell>
          <cell r="T247">
            <v>0</v>
          </cell>
          <cell r="W247">
            <v>0</v>
          </cell>
          <cell r="X247">
            <v>0</v>
          </cell>
          <cell r="AA247">
            <v>0</v>
          </cell>
          <cell r="AB247">
            <v>0</v>
          </cell>
          <cell r="AC247"/>
          <cell r="AD247"/>
          <cell r="AE247">
            <v>0</v>
          </cell>
          <cell r="AF247">
            <v>0.16234666579668539</v>
          </cell>
          <cell r="AI247">
            <v>0.16234666579668539</v>
          </cell>
        </row>
        <row r="248">
          <cell r="E248">
            <v>84</v>
          </cell>
          <cell r="F248" t="str">
            <v>CUST</v>
          </cell>
          <cell r="G248">
            <v>0.16830875636173823</v>
          </cell>
          <cell r="H248"/>
          <cell r="I248"/>
          <cell r="J248"/>
          <cell r="K248"/>
          <cell r="L248">
            <v>650.18224194179822</v>
          </cell>
          <cell r="O248">
            <v>650.18224194179822</v>
          </cell>
          <cell r="P248">
            <v>19.214650920005219</v>
          </cell>
          <cell r="S248">
            <v>19.214650920005219</v>
          </cell>
          <cell r="T248">
            <v>0</v>
          </cell>
          <cell r="W248">
            <v>0</v>
          </cell>
          <cell r="X248">
            <v>0</v>
          </cell>
          <cell r="AA248">
            <v>0</v>
          </cell>
          <cell r="AB248">
            <v>0</v>
          </cell>
          <cell r="AC248"/>
          <cell r="AD248"/>
          <cell r="AE248">
            <v>0</v>
          </cell>
          <cell r="AF248">
            <v>0.38948616729740315</v>
          </cell>
          <cell r="AI248">
            <v>0.38948616729740315</v>
          </cell>
        </row>
        <row r="249">
          <cell r="E249">
            <v>89</v>
          </cell>
          <cell r="F249" t="str">
            <v>ACT</v>
          </cell>
          <cell r="G249">
            <v>5.8968756281498613E-2</v>
          </cell>
          <cell r="H249"/>
          <cell r="I249"/>
          <cell r="J249"/>
          <cell r="K249"/>
          <cell r="L249">
            <v>0</v>
          </cell>
          <cell r="M249">
            <v>1610.7677407759197</v>
          </cell>
          <cell r="O249">
            <v>1610.7677407759197</v>
          </cell>
          <cell r="P249">
            <v>0</v>
          </cell>
          <cell r="Q249">
            <v>543.60869987850617</v>
          </cell>
          <cell r="S249">
            <v>543.60869987850617</v>
          </cell>
          <cell r="T249">
            <v>0</v>
          </cell>
          <cell r="W249">
            <v>0</v>
          </cell>
          <cell r="X249">
            <v>0</v>
          </cell>
          <cell r="AA249">
            <v>0</v>
          </cell>
          <cell r="AB249">
            <v>0</v>
          </cell>
          <cell r="AC249"/>
          <cell r="AD249"/>
          <cell r="AE249">
            <v>0</v>
          </cell>
          <cell r="AF249">
            <v>0</v>
          </cell>
          <cell r="AG249">
            <v>110.40355934557408</v>
          </cell>
          <cell r="AI249">
            <v>110.40355934557408</v>
          </cell>
        </row>
        <row r="250">
          <cell r="E250">
            <v>89</v>
          </cell>
          <cell r="F250" t="str">
            <v>ACT</v>
          </cell>
          <cell r="G250">
            <v>5.8968756281498627E-2</v>
          </cell>
          <cell r="H250"/>
          <cell r="I250"/>
          <cell r="J250"/>
          <cell r="K250"/>
          <cell r="L250">
            <v>0</v>
          </cell>
          <cell r="M250">
            <v>763.68707974869699</v>
          </cell>
          <cell r="N250"/>
          <cell r="O250">
            <v>763.68707974869699</v>
          </cell>
          <cell r="P250">
            <v>0</v>
          </cell>
          <cell r="Q250">
            <v>257.73234093713756</v>
          </cell>
          <cell r="S250">
            <v>257.73234093713756</v>
          </cell>
          <cell r="T250">
            <v>0</v>
          </cell>
          <cell r="U250">
            <v>0</v>
          </cell>
          <cell r="W250">
            <v>0</v>
          </cell>
          <cell r="X250">
            <v>0</v>
          </cell>
          <cell r="Y250">
            <v>0</v>
          </cell>
          <cell r="AA250">
            <v>0</v>
          </cell>
          <cell r="AB250">
            <v>0</v>
          </cell>
          <cell r="AC250">
            <v>0</v>
          </cell>
          <cell r="AD250"/>
          <cell r="AE250">
            <v>0</v>
          </cell>
          <cell r="AF250">
            <v>0</v>
          </cell>
          <cell r="AG250">
            <v>52.343841819099758</v>
          </cell>
          <cell r="AI250">
            <v>52.343841819099758</v>
          </cell>
        </row>
        <row r="251">
          <cell r="E251">
            <v>86</v>
          </cell>
          <cell r="F251" t="str">
            <v>REV</v>
          </cell>
          <cell r="G251">
            <v>0</v>
          </cell>
          <cell r="H251"/>
          <cell r="I251"/>
          <cell r="J251"/>
          <cell r="K251"/>
          <cell r="L251">
            <v>0</v>
          </cell>
          <cell r="O251">
            <v>0</v>
          </cell>
          <cell r="P251">
            <v>0</v>
          </cell>
          <cell r="S251">
            <v>0</v>
          </cell>
          <cell r="T251">
            <v>0</v>
          </cell>
          <cell r="W251">
            <v>0</v>
          </cell>
          <cell r="X251">
            <v>0</v>
          </cell>
          <cell r="AA251">
            <v>0</v>
          </cell>
          <cell r="AB251">
            <v>0</v>
          </cell>
          <cell r="AC251"/>
          <cell r="AD251"/>
          <cell r="AE251">
            <v>0</v>
          </cell>
          <cell r="AF251">
            <v>0</v>
          </cell>
          <cell r="AI251">
            <v>0</v>
          </cell>
        </row>
        <row r="252">
          <cell r="E252">
            <v>86</v>
          </cell>
          <cell r="F252" t="str">
            <v>REV</v>
          </cell>
          <cell r="G252">
            <v>0</v>
          </cell>
          <cell r="H252"/>
          <cell r="I252"/>
          <cell r="J252"/>
          <cell r="K252"/>
          <cell r="L252">
            <v>0</v>
          </cell>
          <cell r="O252">
            <v>0</v>
          </cell>
          <cell r="P252">
            <v>0</v>
          </cell>
          <cell r="S252">
            <v>0</v>
          </cell>
          <cell r="T252">
            <v>0</v>
          </cell>
          <cell r="W252">
            <v>0</v>
          </cell>
          <cell r="X252">
            <v>0</v>
          </cell>
          <cell r="AA252">
            <v>0</v>
          </cell>
          <cell r="AB252">
            <v>0</v>
          </cell>
          <cell r="AC252"/>
          <cell r="AD252"/>
          <cell r="AE252">
            <v>0</v>
          </cell>
          <cell r="AF252">
            <v>0</v>
          </cell>
          <cell r="AI252">
            <v>0</v>
          </cell>
        </row>
        <row r="253">
          <cell r="E253">
            <v>86</v>
          </cell>
          <cell r="F253" t="str">
            <v>CUST</v>
          </cell>
          <cell r="G253">
            <v>0.1683087563617382</v>
          </cell>
          <cell r="H253"/>
          <cell r="I253"/>
          <cell r="J253"/>
          <cell r="K253"/>
          <cell r="L253">
            <v>13.560746443951453</v>
          </cell>
          <cell r="O253">
            <v>13.560746443951453</v>
          </cell>
          <cell r="P253">
            <v>0.40075688372699991</v>
          </cell>
          <cell r="S253">
            <v>0.40075688372699991</v>
          </cell>
          <cell r="T253">
            <v>0</v>
          </cell>
          <cell r="W253">
            <v>0</v>
          </cell>
          <cell r="X253">
            <v>0</v>
          </cell>
          <cell r="AA253">
            <v>0</v>
          </cell>
          <cell r="AB253">
            <v>0</v>
          </cell>
          <cell r="AC253"/>
          <cell r="AD253"/>
          <cell r="AE253">
            <v>0</v>
          </cell>
          <cell r="AF253">
            <v>8.1234503458175664E-3</v>
          </cell>
          <cell r="AI253">
            <v>8.1234503458175664E-3</v>
          </cell>
        </row>
        <row r="254">
          <cell r="E254">
            <v>84</v>
          </cell>
          <cell r="F254" t="str">
            <v>CUST</v>
          </cell>
          <cell r="G254">
            <v>0.1683087563617382</v>
          </cell>
          <cell r="H254"/>
          <cell r="I254"/>
          <cell r="J254"/>
          <cell r="K254"/>
          <cell r="L254">
            <v>3321.0660159206573</v>
          </cell>
          <cell r="O254">
            <v>3321.0660159206573</v>
          </cell>
          <cell r="P254">
            <v>98.14651963982773</v>
          </cell>
          <cell r="S254">
            <v>98.14651963982773</v>
          </cell>
          <cell r="T254">
            <v>0</v>
          </cell>
          <cell r="W254">
            <v>0</v>
          </cell>
          <cell r="X254">
            <v>0</v>
          </cell>
          <cell r="AA254">
            <v>0</v>
          </cell>
          <cell r="AB254">
            <v>0</v>
          </cell>
          <cell r="AC254"/>
          <cell r="AD254"/>
          <cell r="AE254">
            <v>0</v>
          </cell>
          <cell r="AF254">
            <v>1.9894564791856975</v>
          </cell>
          <cell r="AI254">
            <v>1.9894564791856975</v>
          </cell>
        </row>
        <row r="255">
          <cell r="E255">
            <v>72</v>
          </cell>
          <cell r="F255" t="str">
            <v>DH</v>
          </cell>
          <cell r="G255">
            <v>0.11021083809358595</v>
          </cell>
          <cell r="H255"/>
          <cell r="I255"/>
          <cell r="J255"/>
          <cell r="K255"/>
          <cell r="L255">
            <v>16.819377430822421</v>
          </cell>
          <cell r="O255">
            <v>16.819377430822421</v>
          </cell>
          <cell r="P255">
            <v>7.4019027483458846</v>
          </cell>
          <cell r="S255">
            <v>7.4019027483458846</v>
          </cell>
          <cell r="T255">
            <v>14.668075746903906</v>
          </cell>
          <cell r="W255">
            <v>14.668075746903906</v>
          </cell>
          <cell r="X255">
            <v>6.4348731576087745</v>
          </cell>
          <cell r="AA255">
            <v>6.4348731576087745</v>
          </cell>
          <cell r="AB255">
            <v>13.802252874299077</v>
          </cell>
          <cell r="AC255"/>
          <cell r="AD255"/>
          <cell r="AE255">
            <v>13.802252874299077</v>
          </cell>
          <cell r="AF255">
            <v>3.0103885591836903</v>
          </cell>
          <cell r="AI255">
            <v>3.0103885591836903</v>
          </cell>
        </row>
        <row r="256">
          <cell r="E256">
            <v>76</v>
          </cell>
          <cell r="F256" t="str">
            <v>DH</v>
          </cell>
          <cell r="G256">
            <v>0</v>
          </cell>
          <cell r="H256"/>
          <cell r="I256"/>
          <cell r="J256"/>
          <cell r="K256"/>
          <cell r="L256">
            <v>0</v>
          </cell>
          <cell r="O256">
            <v>0</v>
          </cell>
          <cell r="P256">
            <v>0</v>
          </cell>
          <cell r="S256">
            <v>0</v>
          </cell>
          <cell r="T256">
            <v>0</v>
          </cell>
          <cell r="W256">
            <v>0</v>
          </cell>
          <cell r="X256">
            <v>0</v>
          </cell>
          <cell r="AA256">
            <v>0</v>
          </cell>
          <cell r="AB256">
            <v>0</v>
          </cell>
          <cell r="AC256"/>
          <cell r="AD256"/>
          <cell r="AE256">
            <v>0</v>
          </cell>
          <cell r="AF256">
            <v>0</v>
          </cell>
          <cell r="AI256">
            <v>0</v>
          </cell>
        </row>
        <row r="257">
          <cell r="E257">
            <v>62</v>
          </cell>
          <cell r="F257" t="str">
            <v>CUST</v>
          </cell>
          <cell r="G257">
            <v>0</v>
          </cell>
          <cell r="H257"/>
          <cell r="I257"/>
          <cell r="J257"/>
          <cell r="K257"/>
          <cell r="L257">
            <v>0</v>
          </cell>
          <cell r="O257">
            <v>0</v>
          </cell>
          <cell r="P257">
            <v>0</v>
          </cell>
          <cell r="S257">
            <v>0</v>
          </cell>
          <cell r="T257">
            <v>0</v>
          </cell>
          <cell r="W257">
            <v>0</v>
          </cell>
          <cell r="X257">
            <v>0</v>
          </cell>
          <cell r="AA257">
            <v>0</v>
          </cell>
          <cell r="AB257">
            <v>0</v>
          </cell>
          <cell r="AC257"/>
          <cell r="AD257"/>
          <cell r="AE257">
            <v>0</v>
          </cell>
          <cell r="AF257">
            <v>0</v>
          </cell>
          <cell r="AI257">
            <v>0</v>
          </cell>
        </row>
        <row r="258">
          <cell r="E258">
            <v>93</v>
          </cell>
          <cell r="F258" t="str">
            <v>DH</v>
          </cell>
          <cell r="G258">
            <v>0.11021083809358592</v>
          </cell>
          <cell r="H258"/>
          <cell r="I258"/>
          <cell r="J258"/>
          <cell r="K258"/>
          <cell r="L258">
            <v>12916.824683951092</v>
          </cell>
          <cell r="O258">
            <v>12916.824683951092</v>
          </cell>
          <cell r="P258">
            <v>5684.4601128238392</v>
          </cell>
          <cell r="S258">
            <v>5684.4601128238392</v>
          </cell>
          <cell r="T258">
            <v>11264.683467205385</v>
          </cell>
          <cell r="W258">
            <v>11264.683467205385</v>
          </cell>
          <cell r="X258">
            <v>4941.8076728557644</v>
          </cell>
          <cell r="AA258">
            <v>4941.8076728557644</v>
          </cell>
          <cell r="AB258">
            <v>10599.755035770297</v>
          </cell>
          <cell r="AC258"/>
          <cell r="AD258"/>
          <cell r="AE258">
            <v>10599.755035770297</v>
          </cell>
          <cell r="AF258">
            <v>2311.8965853212617</v>
          </cell>
          <cell r="AI258">
            <v>2311.8965853212617</v>
          </cell>
        </row>
        <row r="259">
          <cell r="E259">
            <v>93</v>
          </cell>
          <cell r="F259" t="str">
            <v>REV</v>
          </cell>
          <cell r="G259">
            <v>0</v>
          </cell>
          <cell r="H259"/>
          <cell r="I259"/>
          <cell r="J259"/>
          <cell r="K259"/>
          <cell r="L259">
            <v>0</v>
          </cell>
          <cell r="O259">
            <v>0</v>
          </cell>
          <cell r="P259">
            <v>0</v>
          </cell>
          <cell r="S259">
            <v>0</v>
          </cell>
          <cell r="T259">
            <v>0</v>
          </cell>
          <cell r="W259">
            <v>0</v>
          </cell>
          <cell r="X259">
            <v>0</v>
          </cell>
          <cell r="AA259">
            <v>0</v>
          </cell>
          <cell r="AB259">
            <v>0</v>
          </cell>
          <cell r="AC259"/>
          <cell r="AD259"/>
          <cell r="AE259">
            <v>0</v>
          </cell>
          <cell r="AF259">
            <v>0</v>
          </cell>
          <cell r="AI259">
            <v>0</v>
          </cell>
        </row>
        <row r="260">
          <cell r="E260">
            <v>93</v>
          </cell>
          <cell r="F260" t="str">
            <v>DH</v>
          </cell>
          <cell r="G260">
            <v>0.11021083809358596</v>
          </cell>
          <cell r="H260"/>
          <cell r="I260"/>
          <cell r="J260"/>
          <cell r="K260"/>
          <cell r="L260">
            <v>-2866.5114842802591</v>
          </cell>
          <cell r="O260">
            <v>-2866.5114842802591</v>
          </cell>
          <cell r="P260">
            <v>-1261.4996792197917</v>
          </cell>
          <cell r="S260">
            <v>-1261.4996792197917</v>
          </cell>
          <cell r="T260">
            <v>-2499.8670583217199</v>
          </cell>
          <cell r="W260">
            <v>-2499.8670583217199</v>
          </cell>
          <cell r="X260">
            <v>-1096.6896891421018</v>
          </cell>
          <cell r="AA260">
            <v>-1096.6896891421018</v>
          </cell>
          <cell r="AB260">
            <v>-2352.3056388885575</v>
          </cell>
          <cell r="AC260"/>
          <cell r="AD260"/>
          <cell r="AE260">
            <v>-2352.3056388885575</v>
          </cell>
          <cell r="AF260">
            <v>-513.05783537696618</v>
          </cell>
          <cell r="AI260">
            <v>-513.05783537696618</v>
          </cell>
        </row>
        <row r="261">
          <cell r="E261"/>
          <cell r="F261"/>
          <cell r="G261">
            <v>0.11167423884376183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573888.75266681588</v>
          </cell>
          <cell r="M261">
            <v>480530.501069572</v>
          </cell>
          <cell r="N261">
            <v>0</v>
          </cell>
          <cell r="O261">
            <v>1054419.2537363875</v>
          </cell>
          <cell r="P261">
            <v>177431.8162779196</v>
          </cell>
          <cell r="Q261">
            <v>329018.14235054923</v>
          </cell>
          <cell r="R261">
            <v>0</v>
          </cell>
          <cell r="S261">
            <v>506449.95862846845</v>
          </cell>
          <cell r="T261">
            <v>310046.24167260336</v>
          </cell>
          <cell r="U261">
            <v>12023.0091655457</v>
          </cell>
          <cell r="V261">
            <v>0</v>
          </cell>
          <cell r="W261">
            <v>322069.25083814905</v>
          </cell>
          <cell r="X261">
            <v>119697.68546582865</v>
          </cell>
          <cell r="Y261">
            <v>9995.8199366559293</v>
          </cell>
          <cell r="Z261">
            <v>0</v>
          </cell>
          <cell r="AA261">
            <v>129693.50540248457</v>
          </cell>
          <cell r="AB261">
            <v>250249.72314694535</v>
          </cell>
          <cell r="AC261">
            <v>76903.269461026081</v>
          </cell>
          <cell r="AD261">
            <v>0</v>
          </cell>
          <cell r="AE261">
            <v>327152.99260797136</v>
          </cell>
          <cell r="AF261">
            <v>61100.888366053172</v>
          </cell>
          <cell r="AG261">
            <v>82145.490673638415</v>
          </cell>
          <cell r="AH261">
            <v>0</v>
          </cell>
          <cell r="AI261">
            <v>143246.37903969144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Ranges"/>
      <sheetName val="StatEntry_Trend"/>
      <sheetName val="StatEntry_Detail"/>
      <sheetName val="StatEntry_Reclass_LOB_Sbst"/>
      <sheetName val="ChangeHistory"/>
      <sheetName val="Stat Lookup"/>
    </sheetNames>
    <sheetDataSet>
      <sheetData sheetId="0">
        <row r="5">
          <cell r="B5" t="str">
            <v>Can_Commercial</v>
          </cell>
          <cell r="D5" t="str">
            <v>Act</v>
          </cell>
        </row>
        <row r="6">
          <cell r="B6" t="str">
            <v>Can_Commercial Recycling</v>
          </cell>
          <cell r="D6" t="str">
            <v>Bud</v>
          </cell>
        </row>
        <row r="7">
          <cell r="B7" t="str">
            <v>Can_Landfill</v>
          </cell>
          <cell r="D7" t="str">
            <v>Proj</v>
          </cell>
        </row>
        <row r="8">
          <cell r="B8" t="str">
            <v>Can_Landfill Gas</v>
          </cell>
        </row>
        <row r="9">
          <cell r="B9" t="str">
            <v>Can_MRF</v>
          </cell>
        </row>
        <row r="10">
          <cell r="B10" t="str">
            <v>Can_Other</v>
          </cell>
        </row>
        <row r="11">
          <cell r="B11" t="str">
            <v>Can_Residential</v>
          </cell>
        </row>
        <row r="12">
          <cell r="B12" t="str">
            <v>Can_Residential Recycling</v>
          </cell>
        </row>
        <row r="13">
          <cell r="B13" t="str">
            <v>Can_Roll Off</v>
          </cell>
        </row>
        <row r="14">
          <cell r="B14" t="str">
            <v>Can_Transfer Station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  <sheetName val="PL_ActReview3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Regulated"/>
      <sheetName val="Non-Regulated"/>
      <sheetName val="Disposal"/>
    </sheetNames>
    <sheetDataSet>
      <sheetData sheetId="0" refreshError="1"/>
      <sheetData sheetId="1" refreshError="1">
        <row r="1">
          <cell r="A1" t="str">
            <v>Waste Connections of WA, Inc.</v>
          </cell>
        </row>
        <row r="2">
          <cell r="A2" t="str">
            <v>Clark County - Regulated</v>
          </cell>
        </row>
        <row r="3">
          <cell r="A3" t="str">
            <v>April 1, 2021 - March 31, 2022</v>
          </cell>
        </row>
        <row r="8">
          <cell r="D8" t="str">
            <v>Annual Customer Count</v>
          </cell>
        </row>
        <row r="9">
          <cell r="A9" t="str">
            <v>RESIDENTIAL SERVICES</v>
          </cell>
        </row>
        <row r="11">
          <cell r="A11" t="str">
            <v>Residential Garbage</v>
          </cell>
        </row>
        <row r="12">
          <cell r="A12" t="str">
            <v>CRMCEOW</v>
          </cell>
          <cell r="D12">
            <v>1762.9493750000001</v>
          </cell>
        </row>
        <row r="13">
          <cell r="A13" t="str">
            <v>CRMC</v>
          </cell>
          <cell r="D13">
            <v>6808.343632958803</v>
          </cell>
        </row>
        <row r="14">
          <cell r="A14" t="str">
            <v>CREOW</v>
          </cell>
          <cell r="D14">
            <v>97124.550320857292</v>
          </cell>
        </row>
        <row r="15">
          <cell r="A15" t="str">
            <v>CR32MO</v>
          </cell>
          <cell r="D15">
            <v>14781.400801603206</v>
          </cell>
        </row>
        <row r="16">
          <cell r="A16" t="str">
            <v>CR32W1</v>
          </cell>
          <cell r="D16">
            <v>580808.38230994134</v>
          </cell>
        </row>
        <row r="17">
          <cell r="A17" t="str">
            <v>RR32W1</v>
          </cell>
          <cell r="D17">
            <v>1.172514619883041</v>
          </cell>
        </row>
        <row r="18">
          <cell r="A18" t="str">
            <v>CR32W2</v>
          </cell>
          <cell r="D18">
            <v>166072.11941796288</v>
          </cell>
        </row>
        <row r="19">
          <cell r="A19" t="str">
            <v>CR32W3</v>
          </cell>
          <cell r="D19">
            <v>15836.878131347328</v>
          </cell>
        </row>
        <row r="20">
          <cell r="A20" t="str">
            <v>CR32W4</v>
          </cell>
          <cell r="D20">
            <v>2915.4092022869595</v>
          </cell>
        </row>
        <row r="21">
          <cell r="A21" t="str">
            <v>CR32W5</v>
          </cell>
          <cell r="D21">
            <v>582.90851528384269</v>
          </cell>
        </row>
        <row r="22">
          <cell r="A22" t="str">
            <v>CR32W6</v>
          </cell>
          <cell r="D22">
            <v>259.59414225941418</v>
          </cell>
        </row>
        <row r="23">
          <cell r="A23" t="str">
            <v>CR32W7</v>
          </cell>
          <cell r="D23">
            <v>8.4202511773940341</v>
          </cell>
        </row>
        <row r="24">
          <cell r="A24" t="str">
            <v>CR32W8</v>
          </cell>
          <cell r="D24">
            <v>12.193797341717882</v>
          </cell>
        </row>
        <row r="25">
          <cell r="A25" t="str">
            <v>CR32W9</v>
          </cell>
          <cell r="D25">
            <v>12.953128804480155</v>
          </cell>
        </row>
        <row r="26">
          <cell r="A26" t="str">
            <v>RREXC</v>
          </cell>
          <cell r="D26">
            <v>252306.79365079367</v>
          </cell>
        </row>
        <row r="27">
          <cell r="A27" t="str">
            <v>RRCALL</v>
          </cell>
          <cell r="D27">
            <v>3478.9561752988047</v>
          </cell>
        </row>
        <row r="28">
          <cell r="A28" t="str">
            <v>CRCALL</v>
          </cell>
          <cell r="D28">
            <v>37.077689243027891</v>
          </cell>
        </row>
        <row r="29">
          <cell r="A29" t="str">
            <v>ROFOW</v>
          </cell>
          <cell r="D29">
            <v>44607.160164271052</v>
          </cell>
        </row>
        <row r="30">
          <cell r="A30" t="str">
            <v>COFOW</v>
          </cell>
          <cell r="D30">
            <v>184.73511293634499</v>
          </cell>
        </row>
        <row r="31">
          <cell r="A31" t="str">
            <v>WBMISC</v>
          </cell>
          <cell r="D31">
            <v>4120.2730496453896</v>
          </cell>
        </row>
        <row r="33">
          <cell r="D33">
            <v>1191722.2713836327</v>
          </cell>
        </row>
        <row r="34">
          <cell r="D34">
            <v>0</v>
          </cell>
        </row>
        <row r="35">
          <cell r="A35" t="str">
            <v xml:space="preserve">COMMERCIAL SERVICES </v>
          </cell>
        </row>
        <row r="37">
          <cell r="A37" t="str">
            <v>Commercial Garbage</v>
          </cell>
        </row>
        <row r="38">
          <cell r="A38" t="str">
            <v>CC1Y1W</v>
          </cell>
          <cell r="D38">
            <v>4869.294502571006</v>
          </cell>
        </row>
        <row r="39">
          <cell r="A39" t="str">
            <v>CC1Y2W</v>
          </cell>
          <cell r="D39">
            <v>127.57787906710337</v>
          </cell>
        </row>
        <row r="40">
          <cell r="A40" t="str">
            <v>CC1YEOW</v>
          </cell>
          <cell r="D40">
            <v>8786.4593676430995</v>
          </cell>
        </row>
        <row r="41">
          <cell r="A41" t="str">
            <v>CC15Y1W</v>
          </cell>
          <cell r="D41">
            <v>1590.0403948223945</v>
          </cell>
        </row>
        <row r="42">
          <cell r="A42" t="str">
            <v>CC15Y2W</v>
          </cell>
          <cell r="D42">
            <v>24.096590360282043</v>
          </cell>
        </row>
        <row r="43">
          <cell r="A43" t="str">
            <v>CC15YEOW</v>
          </cell>
          <cell r="D43">
            <v>2415.9820702473889</v>
          </cell>
        </row>
        <row r="44">
          <cell r="A44" t="str">
            <v>CC2Y1W</v>
          </cell>
          <cell r="D44">
            <v>6124.9531973661769</v>
          </cell>
        </row>
        <row r="45">
          <cell r="A45" t="str">
            <v>CC2Y2W</v>
          </cell>
          <cell r="D45">
            <v>548.92209537758583</v>
          </cell>
        </row>
        <row r="46">
          <cell r="A46" t="str">
            <v>CC2Y3W</v>
          </cell>
          <cell r="D46">
            <v>71.79250041230874</v>
          </cell>
        </row>
        <row r="47">
          <cell r="A47" t="str">
            <v>CC2Y4W</v>
          </cell>
          <cell r="D47">
            <v>12.052469510959847</v>
          </cell>
        </row>
        <row r="48">
          <cell r="A48" t="str">
            <v>CC2Y5W</v>
          </cell>
          <cell r="D48">
            <v>12.052428569113333</v>
          </cell>
        </row>
        <row r="49">
          <cell r="A49" t="str">
            <v>CC2YEOW</v>
          </cell>
          <cell r="D49">
            <v>4816.224879453267</v>
          </cell>
        </row>
        <row r="50">
          <cell r="A50" t="str">
            <v>CC3Y1W</v>
          </cell>
          <cell r="D50">
            <v>2275.4968206974927</v>
          </cell>
        </row>
        <row r="51">
          <cell r="A51" t="str">
            <v>CC3Y2W</v>
          </cell>
          <cell r="D51">
            <v>665.85965212963697</v>
          </cell>
        </row>
        <row r="52">
          <cell r="A52" t="str">
            <v>VC3Y2W</v>
          </cell>
          <cell r="D52">
            <v>6.9677091565992999</v>
          </cell>
        </row>
        <row r="53">
          <cell r="A53" t="str">
            <v>CC3Y3W</v>
          </cell>
          <cell r="D53">
            <v>159.44137033857069</v>
          </cell>
        </row>
        <row r="54">
          <cell r="A54" t="str">
            <v>CC3Y4W</v>
          </cell>
          <cell r="D54">
            <v>15.086503432560706</v>
          </cell>
        </row>
        <row r="55">
          <cell r="A55" t="str">
            <v>CC3Y5W</v>
          </cell>
          <cell r="D55">
            <v>17.108099948910869</v>
          </cell>
        </row>
        <row r="56">
          <cell r="A56" t="str">
            <v>CC3Y6W</v>
          </cell>
          <cell r="D56">
            <v>12.054089097031389</v>
          </cell>
        </row>
        <row r="57">
          <cell r="A57" t="str">
            <v>CC3YEOW</v>
          </cell>
          <cell r="D57">
            <v>417.26720436005792</v>
          </cell>
        </row>
        <row r="58">
          <cell r="A58" t="str">
            <v>CC4Y1W</v>
          </cell>
          <cell r="D58">
            <v>2411.9176613535287</v>
          </cell>
        </row>
        <row r="59">
          <cell r="A59" t="str">
            <v>VC4Y1W</v>
          </cell>
          <cell r="D59">
            <v>-0.64415786787450013</v>
          </cell>
        </row>
        <row r="60">
          <cell r="A60" t="str">
            <v>CC4Y2W</v>
          </cell>
          <cell r="D60">
            <v>1397.5075524733015</v>
          </cell>
        </row>
        <row r="61">
          <cell r="A61" t="str">
            <v>CC4Y3W</v>
          </cell>
          <cell r="D61">
            <v>417.40331004197725</v>
          </cell>
        </row>
        <row r="62">
          <cell r="A62" t="str">
            <v>CC4Y4W</v>
          </cell>
          <cell r="D62">
            <v>51.755391810504364</v>
          </cell>
        </row>
        <row r="63">
          <cell r="A63" t="str">
            <v>CC4Y5W</v>
          </cell>
          <cell r="D63">
            <v>36.162982037432485</v>
          </cell>
        </row>
        <row r="64">
          <cell r="A64" t="str">
            <v>CC4Y6W</v>
          </cell>
          <cell r="D64">
            <v>11.907546553413916</v>
          </cell>
        </row>
        <row r="65">
          <cell r="A65" t="str">
            <v>CC4YEOW</v>
          </cell>
          <cell r="D65">
            <v>282.35349279695572</v>
          </cell>
        </row>
        <row r="66">
          <cell r="A66" t="str">
            <v>CC5Y1W</v>
          </cell>
          <cell r="D66">
            <v>39.413979375182862</v>
          </cell>
        </row>
        <row r="67">
          <cell r="A67" t="str">
            <v>CC5YEOW</v>
          </cell>
          <cell r="D67">
            <v>8.5521669341894064</v>
          </cell>
        </row>
        <row r="68">
          <cell r="A68" t="str">
            <v>CC6Y1W</v>
          </cell>
          <cell r="D68">
            <v>951.78801034946207</v>
          </cell>
        </row>
        <row r="69">
          <cell r="A69" t="str">
            <v>CC6Y2W</v>
          </cell>
          <cell r="D69">
            <v>322.93714906983297</v>
          </cell>
        </row>
        <row r="70">
          <cell r="A70" t="str">
            <v>CC6Y3W</v>
          </cell>
          <cell r="D70">
            <v>115.04265994902971</v>
          </cell>
        </row>
        <row r="71">
          <cell r="A71" t="str">
            <v>CC6Y4W</v>
          </cell>
          <cell r="D71">
            <v>12.051610111873417</v>
          </cell>
        </row>
        <row r="72">
          <cell r="A72" t="str">
            <v>CC6Y5W</v>
          </cell>
          <cell r="D72">
            <v>0</v>
          </cell>
        </row>
        <row r="73">
          <cell r="A73" t="str">
            <v>CC6YEOW</v>
          </cell>
          <cell r="D73">
            <v>197.35471139615197</v>
          </cell>
        </row>
        <row r="74">
          <cell r="A74" t="str">
            <v>CC8Y1W</v>
          </cell>
          <cell r="D74">
            <v>641.73823815988169</v>
          </cell>
        </row>
        <row r="75">
          <cell r="A75" t="str">
            <v>CC8Y2W</v>
          </cell>
          <cell r="D75">
            <v>216.37182828811407</v>
          </cell>
        </row>
        <row r="76">
          <cell r="A76" t="str">
            <v>CC8Y3W</v>
          </cell>
          <cell r="D76">
            <v>104.52727868775835</v>
          </cell>
        </row>
        <row r="77">
          <cell r="A77" t="str">
            <v>CC8Y4W</v>
          </cell>
          <cell r="D77">
            <v>12.047753823562502</v>
          </cell>
        </row>
        <row r="78">
          <cell r="A78" t="str">
            <v>CC8Y6W</v>
          </cell>
          <cell r="D78">
            <v>12.047743860798718</v>
          </cell>
        </row>
        <row r="79">
          <cell r="A79" t="str">
            <v>CC8YEOW</v>
          </cell>
          <cell r="D79">
            <v>25.609215500945179</v>
          </cell>
        </row>
        <row r="80">
          <cell r="A80" t="str">
            <v>CCCMP2Y</v>
          </cell>
          <cell r="D80">
            <v>26.098631866799312</v>
          </cell>
        </row>
        <row r="81">
          <cell r="A81" t="str">
            <v>CCCMP3Y</v>
          </cell>
          <cell r="D81">
            <v>0</v>
          </cell>
        </row>
        <row r="82">
          <cell r="A82" t="str">
            <v>CCCMP4Y</v>
          </cell>
          <cell r="D82">
            <v>72.54510433386838</v>
          </cell>
        </row>
        <row r="83">
          <cell r="A83" t="str">
            <v>CCSP1Y</v>
          </cell>
          <cell r="D83">
            <v>579.03171661409044</v>
          </cell>
        </row>
        <row r="84">
          <cell r="A84" t="str">
            <v>CCSP15Y</v>
          </cell>
          <cell r="D84">
            <v>160.02084372868759</v>
          </cell>
        </row>
        <row r="85">
          <cell r="A85" t="str">
            <v>CCSP2Y</v>
          </cell>
          <cell r="D85">
            <v>351.06966405248539</v>
          </cell>
        </row>
        <row r="86">
          <cell r="A86" t="str">
            <v>CCSP3Y</v>
          </cell>
          <cell r="D86">
            <v>41.994452484322238</v>
          </cell>
        </row>
        <row r="87">
          <cell r="A87" t="str">
            <v>VCSP2YC</v>
          </cell>
          <cell r="D87">
            <v>0</v>
          </cell>
        </row>
        <row r="88">
          <cell r="A88" t="str">
            <v>VCSP4YC</v>
          </cell>
          <cell r="D88">
            <v>32.338849311521592</v>
          </cell>
        </row>
        <row r="89">
          <cell r="A89" t="str">
            <v>CCSP4Y</v>
          </cell>
          <cell r="D89">
            <v>41</v>
          </cell>
        </row>
        <row r="90">
          <cell r="A90" t="str">
            <v>CCSP5Y</v>
          </cell>
          <cell r="D90">
            <v>0</v>
          </cell>
        </row>
        <row r="91">
          <cell r="A91" t="str">
            <v>CCSP6Y</v>
          </cell>
          <cell r="D91">
            <v>11.438259506076049</v>
          </cell>
        </row>
        <row r="92">
          <cell r="A92" t="str">
            <v>CCSP8Y</v>
          </cell>
          <cell r="D92">
            <v>19.538654870815321</v>
          </cell>
        </row>
        <row r="93">
          <cell r="A93" t="str">
            <v>CCTP1Y</v>
          </cell>
          <cell r="D93">
            <v>274.01666666666665</v>
          </cell>
        </row>
        <row r="94">
          <cell r="A94" t="str">
            <v>CCTP15Y</v>
          </cell>
          <cell r="D94">
            <v>146.99464359291306</v>
          </cell>
        </row>
        <row r="95">
          <cell r="A95" t="str">
            <v>CCTP2Y</v>
          </cell>
          <cell r="D95">
            <v>1492.7100428795857</v>
          </cell>
        </row>
        <row r="96">
          <cell r="A96" t="str">
            <v>CCTP3Y</v>
          </cell>
          <cell r="D96">
            <v>27</v>
          </cell>
        </row>
        <row r="97">
          <cell r="A97" t="str">
            <v>CCTP4Y</v>
          </cell>
          <cell r="D97">
            <v>2</v>
          </cell>
        </row>
        <row r="98">
          <cell r="A98" t="str">
            <v>CCTP5Y</v>
          </cell>
          <cell r="D98">
            <v>0</v>
          </cell>
        </row>
        <row r="99">
          <cell r="A99" t="str">
            <v>CCTP6Y</v>
          </cell>
          <cell r="D99">
            <v>0</v>
          </cell>
        </row>
        <row r="100">
          <cell r="A100" t="str">
            <v>CCTP8Y</v>
          </cell>
          <cell r="D100">
            <v>0</v>
          </cell>
        </row>
        <row r="101">
          <cell r="A101" t="str">
            <v>CC32W1</v>
          </cell>
          <cell r="D101">
            <v>10330.932810601036</v>
          </cell>
        </row>
        <row r="102">
          <cell r="A102" t="str">
            <v>CC32W2</v>
          </cell>
          <cell r="D102">
            <v>753.48909026168405</v>
          </cell>
        </row>
        <row r="103">
          <cell r="A103" t="str">
            <v>CC32W3</v>
          </cell>
          <cell r="D103">
            <v>227.62812024912955</v>
          </cell>
        </row>
        <row r="104">
          <cell r="A104" t="str">
            <v>CC32W4</v>
          </cell>
          <cell r="D104">
            <v>88.083285061466171</v>
          </cell>
        </row>
        <row r="105">
          <cell r="A105" t="str">
            <v>CC32W5</v>
          </cell>
          <cell r="D105">
            <v>24.095238095238095</v>
          </cell>
        </row>
        <row r="106">
          <cell r="A106" t="str">
            <v>CC32W6</v>
          </cell>
          <cell r="D106">
            <v>24.095238095238095</v>
          </cell>
        </row>
        <row r="107">
          <cell r="A107" t="str">
            <v>CC32W7</v>
          </cell>
          <cell r="D107">
            <v>12.047619047619047</v>
          </cell>
        </row>
        <row r="108">
          <cell r="A108" t="str">
            <v>CC32W8</v>
          </cell>
          <cell r="D108">
            <v>12.047619047619047</v>
          </cell>
        </row>
        <row r="109">
          <cell r="A109" t="str">
            <v>CC32W9</v>
          </cell>
          <cell r="D109">
            <v>12.047619047619047</v>
          </cell>
        </row>
        <row r="110">
          <cell r="A110" t="str">
            <v>RC32EOW</v>
          </cell>
          <cell r="D110">
            <v>992.82377361617523</v>
          </cell>
        </row>
        <row r="111">
          <cell r="A111" t="str">
            <v>CCEXCAN</v>
          </cell>
          <cell r="D111">
            <v>3067.7791040061284</v>
          </cell>
        </row>
        <row r="112">
          <cell r="A112" t="str">
            <v>CCEXYD</v>
          </cell>
          <cell r="D112">
            <v>3265.5486406652089</v>
          </cell>
        </row>
        <row r="113">
          <cell r="A113" t="str">
            <v>RCOF</v>
          </cell>
          <cell r="D113">
            <v>1.8257487563918229</v>
          </cell>
        </row>
        <row r="115">
          <cell r="D115">
            <v>62326.817385725961</v>
          </cell>
        </row>
        <row r="116">
          <cell r="D116">
            <v>0.36501079913432477</v>
          </cell>
        </row>
        <row r="117">
          <cell r="D117">
            <v>1254049.0887693586</v>
          </cell>
        </row>
        <row r="120">
          <cell r="D120" t="str">
            <v>Cal lbs</v>
          </cell>
        </row>
        <row r="121">
          <cell r="D121" t="str">
            <v>Regulated</v>
          </cell>
        </row>
        <row r="122">
          <cell r="D122">
            <v>147856229.259354</v>
          </cell>
        </row>
        <row r="123">
          <cell r="D123">
            <v>70634013.301997021</v>
          </cell>
        </row>
        <row r="124">
          <cell r="D124">
            <v>218490242.561351</v>
          </cell>
        </row>
        <row r="127">
          <cell r="D127" t="str">
            <v>Non-Regulated</v>
          </cell>
        </row>
        <row r="128">
          <cell r="D128">
            <v>107029282.69270581</v>
          </cell>
        </row>
        <row r="129">
          <cell r="D129">
            <v>110055695.9614711</v>
          </cell>
        </row>
        <row r="130">
          <cell r="D130">
            <v>217084978.65417689</v>
          </cell>
        </row>
        <row r="132">
          <cell r="D132">
            <v>435575221.21552789</v>
          </cell>
        </row>
        <row r="134">
          <cell r="D134">
            <v>0.50161311277447396</v>
          </cell>
        </row>
        <row r="135">
          <cell r="D135">
            <v>0.49838688722552604</v>
          </cell>
        </row>
        <row r="136">
          <cell r="D136">
            <v>1</v>
          </cell>
        </row>
      </sheetData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Query"/>
      <sheetName val="JE Lookup"/>
      <sheetName val="Split"/>
      <sheetName val="Waste Works Breakdown"/>
      <sheetName val="Material Codes"/>
      <sheetName val="WW Rpt APR21 to MAR22 Master"/>
      <sheetName val="WW APR21-MAR22 RO "/>
      <sheetName val="WW APR21-MAR22 Org, FW, Other"/>
      <sheetName val="WW APR21-MAR22 Res &amp; Com"/>
    </sheetNames>
    <sheetDataSet>
      <sheetData sheetId="0"/>
      <sheetData sheetId="1"/>
      <sheetData sheetId="2"/>
      <sheetData sheetId="3">
        <row r="4">
          <cell r="D4">
            <v>92024.240000000034</v>
          </cell>
          <cell r="E4">
            <v>8234515.3400000026</v>
          </cell>
        </row>
        <row r="5">
          <cell r="D5">
            <v>0</v>
          </cell>
          <cell r="E5">
            <v>7.1054273576010019E-15</v>
          </cell>
        </row>
        <row r="6">
          <cell r="D6">
            <v>1957.53</v>
          </cell>
          <cell r="E6">
            <v>70422.400000000009</v>
          </cell>
        </row>
        <row r="9">
          <cell r="D9">
            <v>93981.770000000019</v>
          </cell>
          <cell r="E9">
            <v>8304937.7400000049</v>
          </cell>
        </row>
        <row r="13">
          <cell r="D13">
            <v>165572.63</v>
          </cell>
          <cell r="E13">
            <v>16362444.449999999</v>
          </cell>
        </row>
        <row r="14">
          <cell r="D14">
            <v>1132.8400000000001</v>
          </cell>
          <cell r="E14">
            <v>96854.049999999988</v>
          </cell>
        </row>
        <row r="15">
          <cell r="D15">
            <v>12461.58</v>
          </cell>
          <cell r="E15">
            <v>1055328.44</v>
          </cell>
        </row>
        <row r="16">
          <cell r="D16">
            <v>2207.77</v>
          </cell>
          <cell r="E16">
            <v>76117.049999999988</v>
          </cell>
        </row>
        <row r="19">
          <cell r="D19">
            <v>181374.82</v>
          </cell>
          <cell r="E19">
            <v>17590743.989999998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Regulated"/>
      <sheetName val="Non-Regulated"/>
    </sheetNames>
    <sheetDataSet>
      <sheetData sheetId="0"/>
      <sheetData sheetId="1">
        <row r="134">
          <cell r="D134">
            <v>0.50161311277447396</v>
          </cell>
        </row>
        <row r="135">
          <cell r="D135">
            <v>0.49838688722552604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  <sheetName val="Sch 4 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3">
          <cell r="L23">
            <v>2329.3388396454475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harbono, Benjamin (UTC)" id="{4FDDD635-EE33-4885-ADD6-240B08358035}" userId="Sharbono, Benjamin (UTC)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74" dT="2022-12-03T23:21:32.82" personId="{4FDDD635-EE33-4885-ADD6-240B08358035}" id="{D857E9A4-FEB5-411F-9C1C-1EC4943F4EE1}">
    <text>Was 0.004275. Current rate charged for WUTC fees is 0.005100.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0" dT="2022-12-02T23:13:18.09" personId="{4FDDD635-EE33-4885-ADD6-240B08358035}" id="{8D26E76B-1FD2-4797-8F5F-F466E04E7416}">
    <text>Original filing used the Annual Pickups from the general rate case TG-220339. Revised to Customer count from TG-220339.</text>
  </threadedComment>
  <threadedComment ref="E11" dT="2022-12-02T23:20:22.17" personId="{4FDDD635-EE33-4885-ADD6-240B08358035}" id="{16A28872-6AB5-4FCB-94E2-F5DB1CCAC9E6}">
    <text>Original filing used the Annual Pickups from the general rate case TG-220339. Revised to Customer count from TG-220339.</text>
  </threadedComment>
  <threadedComment ref="E12" dT="2022-12-02T23:20:26.69" personId="{4FDDD635-EE33-4885-ADD6-240B08358035}" id="{40F17BD3-D461-4789-9A70-B5A9B22C220D}">
    <text>Original filing used the Annual Pickups from the general rate case TG-220339. Revised to Customer count from TG-220339.</text>
  </threadedComment>
  <threadedComment ref="E13" dT="2022-12-02T23:20:32.55" personId="{4FDDD635-EE33-4885-ADD6-240B08358035}" id="{B069D787-5942-4848-96DE-0D2E16C792B6}">
    <text>Original filing used the Annual Pickups from the general rate case TG-220339. Revised to Customer count from TG-220339.</text>
  </threadedComment>
  <threadedComment ref="E14" dT="2022-12-02T23:20:43.33" personId="{4FDDD635-EE33-4885-ADD6-240B08358035}" id="{B5AD7530-E757-4D3A-9488-D5036E48DD1E}">
    <text>Original filing used the Annual Pickups from the general rate case TG-220339. Revised to Customer count from TG-220339.</text>
  </threadedComment>
  <threadedComment ref="E15" dT="2022-12-02T23:20:57.04" personId="{4FDDD635-EE33-4885-ADD6-240B08358035}" id="{11AB4AD8-57FB-4C80-9728-48E8103210BB}">
    <text>Original filing used the Annual Pickups from the general rate case TG-220339. Revised to Customer count from TG-220339.</text>
  </threadedComment>
  <threadedComment ref="E16" dT="2022-12-02T23:21:03.43" personId="{4FDDD635-EE33-4885-ADD6-240B08358035}" id="{56CFCECD-7FDE-4CBD-92EA-75AE1D9DEDD0}">
    <text>Original filing used the Annual Pickups from the general rate case TG-220339. Revised to Customer count from TG-220339.</text>
  </threadedComment>
  <threadedComment ref="E17" dT="2022-12-02T23:21:08.33" personId="{4FDDD635-EE33-4885-ADD6-240B08358035}" id="{6E5BBD81-9AD1-46CF-AF49-757FF5E0A15F}">
    <text>Original filing used the Annual Pickups from the general rate case TG-220339. Revised to Customer count from TG-220339.</text>
  </threadedComment>
  <threadedComment ref="E18" dT="2022-12-02T23:21:13.60" personId="{4FDDD635-EE33-4885-ADD6-240B08358035}" id="{B6C4AE13-2D21-4816-A7DB-83E74AA09105}">
    <text>Original filing used the Annual Pickups from the general rate case TG-220339. Revised to Customer count from TG-220339.</text>
  </threadedComment>
  <threadedComment ref="E19" dT="2022-12-02T23:21:18.04" personId="{4FDDD635-EE33-4885-ADD6-240B08358035}" id="{D85D0255-8911-4D6E-8E1A-C99518FD33DB}">
    <text>Original filing used the Annual Pickups from the general rate case TG-220339. Revised to Customer count from TG-220339.</text>
  </threadedComment>
  <threadedComment ref="E20" dT="2022-12-02T23:21:25.81" personId="{4FDDD635-EE33-4885-ADD6-240B08358035}" id="{3F338211-B328-4C02-940E-8DF13A159C45}">
    <text>Original filing used the Annual Pickups from the general rate case TG-220339. Revised to Customer count from TG-220339.</text>
  </threadedComment>
  <threadedComment ref="E21" dT="2022-12-02T23:21:32.03" personId="{4FDDD635-EE33-4885-ADD6-240B08358035}" id="{2F9406A2-3CD3-42B5-8AA9-77C8A31F2071}">
    <text>Original filing used the Annual Pickups from the general rate case TG-220339. Revised to Customer count from TG-220339.</text>
  </threadedComment>
  <threadedComment ref="E22" dT="2022-12-02T23:21:39.71" personId="{4FDDD635-EE33-4885-ADD6-240B08358035}" id="{D16FD654-877D-4426-9D2A-AA851BCF295F}">
    <text>Original filing used the Annual Pickups from the general rate case TG-220339. Revised to Customer count from TG-220339.</text>
  </threadedComment>
  <threadedComment ref="E23" dT="2022-12-02T23:21:46.00" personId="{4FDDD635-EE33-4885-ADD6-240B08358035}" id="{A042DB09-F4E4-4554-BA11-6F9BD59FB66E}">
    <text>Original filing used the Annual Pickups from the general rate case TG-220339. Revised to Customer count from TG-220339.</text>
  </threadedComment>
  <threadedComment ref="E24" dT="2022-12-02T23:21:51.28" personId="{4FDDD635-EE33-4885-ADD6-240B08358035}" id="{C4C1D14F-D15F-4C04-96F8-95533C8139A7}">
    <text>Original filing used the Annual Pickups from the general rate case TG-220339. Revised to Customer count from TG-220339.</text>
  </threadedComment>
  <threadedComment ref="E25" dT="2022-12-02T23:21:56.85" personId="{4FDDD635-EE33-4885-ADD6-240B08358035}" id="{E04595A6-0534-48A8-A0E6-300B738548FB}">
    <text>Original filing used the Annual Pickups from the general rate case TG-220339. Revised to Customer count from TG-220339.</text>
  </threadedComment>
  <threadedComment ref="E26" dT="2022-12-02T23:22:02.73" personId="{4FDDD635-EE33-4885-ADD6-240B08358035}" id="{EB99149B-FF3B-4537-AF16-676597DDE0C2}">
    <text>Original filing used the Annual Pickups from the general rate case TG-220339. Revised to Customer count from TG-220339.</text>
  </threadedComment>
  <threadedComment ref="E27" dT="2022-12-02T23:22:10.53" personId="{4FDDD635-EE33-4885-ADD6-240B08358035}" id="{F3B6E630-3795-4104-A742-609995138D1A}">
    <text>Original filing used the Annual Pickups from the general rate case TG-220339. Revised to Customer count from TG-220339.</text>
  </threadedComment>
  <threadedComment ref="E28" dT="2022-12-02T23:22:22.66" personId="{4FDDD635-EE33-4885-ADD6-240B08358035}" id="{48BBAF73-6023-422B-AD17-7BBF627C4ACA}">
    <text>Original filing used the Annual Pickups from the general rate case TG-220339. Revised to Customer count from TG-220339.</text>
  </threadedComment>
  <threadedComment ref="E29" dT="2022-12-02T23:22:27.98" personId="{4FDDD635-EE33-4885-ADD6-240B08358035}" id="{557D4684-9C54-4385-A856-ACE9AE8B2E7A}">
    <text>Original filing used the Annual Pickups from the general rate case TG-220339. Revised to Customer count from TG-220339.</text>
  </threadedComment>
  <threadedComment ref="E37" dT="2022-12-02T23:22:27.98" personId="{4FDDD635-EE33-4885-ADD6-240B08358035}" id="{F5254447-63AA-43C9-879F-8B028020F0AB}">
    <text>Original filing used the Annual Pickups from the general rate case TG-220339. Revised to Customer count from TG-220339.</text>
  </threadedComment>
  <threadedComment ref="E38" dT="2022-12-03T22:58:07.38" personId="{4FDDD635-EE33-4885-ADD6-240B08358035}" id="{24350187-239E-4399-9D69-D54BC4881574}">
    <text>Original filing used the Annual Pickups from the general rate case TG-220339. Revised to Customer count from TG-220339.</text>
  </threadedComment>
  <threadedComment ref="E39" dT="2022-12-03T22:58:14.84" personId="{4FDDD635-EE33-4885-ADD6-240B08358035}" id="{1077BA47-9241-4662-8B44-7970782C944F}">
    <text>Original filing used the Annual Pickups from the general rate case TG-220339. Revised to Customer count from TG-220339.</text>
  </threadedComment>
  <threadedComment ref="E40" dT="2022-12-03T22:58:20.76" personId="{4FDDD635-EE33-4885-ADD6-240B08358035}" id="{8C40457A-2BC1-40E4-A1C5-63E8FE556BA7}">
    <text>Original filing used the Annual Pickups from the general rate case TG-220339. Revised to Customer count from TG-220339.</text>
  </threadedComment>
  <threadedComment ref="E41" dT="2022-12-03T22:58:26.23" personId="{4FDDD635-EE33-4885-ADD6-240B08358035}" id="{94281E7E-C835-436A-91F9-5359B99DBE15}">
    <text>Original filing used the Annual Pickups from the general rate case TG-220339. Revised to Customer count from TG-220339.</text>
  </threadedComment>
  <threadedComment ref="E42" dT="2022-12-03T22:58:30.14" personId="{4FDDD635-EE33-4885-ADD6-240B08358035}" id="{AABA27AD-F4B6-42BE-A7A4-8D8CDDAF8300}">
    <text>Original filing used the Annual Pickups from the general rate case TG-220339. Revised to Customer count from TG-220339.</text>
  </threadedComment>
  <threadedComment ref="E43" dT="2022-12-03T22:58:34.10" personId="{4FDDD635-EE33-4885-ADD6-240B08358035}" id="{65A0BF4A-B7BC-4FEA-A838-CC13BD54EA15}">
    <text>Original filing used the Annual Pickups from the general rate case TG-220339. Revised to Customer count from TG-220339.</text>
  </threadedComment>
  <threadedComment ref="E44" dT="2022-12-03T22:58:38.31" personId="{4FDDD635-EE33-4885-ADD6-240B08358035}" id="{412FAFAB-88CD-4987-8F61-AB173DAD1C04}">
    <text>Original filing used the Annual Pickups from the general rate case TG-220339. Revised to Customer count from TG-220339.</text>
  </threadedComment>
  <threadedComment ref="E45" dT="2022-12-03T22:58:42.29" personId="{4FDDD635-EE33-4885-ADD6-240B08358035}" id="{A429EAEB-6318-4733-88B3-15A1B418ADF3}">
    <text>Original filing used the Annual Pickups from the general rate case TG-220339. Revised to Customer count from TG-220339.</text>
  </threadedComment>
  <threadedComment ref="E46" dT="2022-12-03T22:58:46.73" personId="{4FDDD635-EE33-4885-ADD6-240B08358035}" id="{A664DFB1-000D-443B-99FA-B1CD139A29C7}">
    <text>Original filing used the Annual Pickups from the general rate case TG-220339. Revised to Customer count from TG-220339.</text>
  </threadedComment>
  <threadedComment ref="E47" dT="2022-12-03T22:58:51.79" personId="{4FDDD635-EE33-4885-ADD6-240B08358035}" id="{84048FB4-9F04-4641-9F2A-8F0D14EECA03}">
    <text>Original filing used the Annual Pickups from the general rate case TG-220339. Revised to Customer count from TG-220339.</text>
  </threadedComment>
  <threadedComment ref="E48" dT="2022-12-03T22:59:03.93" personId="{4FDDD635-EE33-4885-ADD6-240B08358035}" id="{72241BC6-9CAC-42DC-B812-470D55F42011}">
    <text>Original filing used the Annual Pickups from the general rate case TG-220339. Revised to Customer count from TG-220339.</text>
  </threadedComment>
  <threadedComment ref="E49" dT="2022-12-03T22:59:19.85" personId="{4FDDD635-EE33-4885-ADD6-240B08358035}" id="{15486181-DB41-4334-A281-497BE2F3B4C8}">
    <text>Original filing used the Annual Pickups from the general rate case TG-220339. Revised to Customer count from TG-220339.</text>
  </threadedComment>
  <threadedComment ref="E50" dT="2022-12-03T22:59:25.15" personId="{4FDDD635-EE33-4885-ADD6-240B08358035}" id="{106F04CF-862A-49F9-AAAA-A64DC409DDFC}">
    <text>Original filing used the Annual Pickups from the general rate case TG-220339. Revised to Customer count from TG-220339.</text>
  </threadedComment>
  <threadedComment ref="E51" dT="2022-12-03T22:59:28.91" personId="{4FDDD635-EE33-4885-ADD6-240B08358035}" id="{E91B301F-9B22-48B7-91B3-A94F9E97129F}">
    <text>Original filing used the Annual Pickups from the general rate case TG-220339. Revised to Customer count from TG-220339.</text>
  </threadedComment>
  <threadedComment ref="E52" dT="2022-12-03T22:59:33.18" personId="{4FDDD635-EE33-4885-ADD6-240B08358035}" id="{53B34EF9-6712-4215-BC05-02AEC575D6AA}">
    <text>Original filing used the Annual Pickups from the general rate case TG-220339. Revised to Customer count from TG-220339.</text>
  </threadedComment>
  <threadedComment ref="E53" dT="2022-12-03T22:59:40.05" personId="{4FDDD635-EE33-4885-ADD6-240B08358035}" id="{C3174D71-5E8E-42CF-96A1-35B3AA274121}">
    <text>Original filing used the Annual Pickups from the general rate case TG-220339. Revised to Customer count from TG-220339.</text>
  </threadedComment>
  <threadedComment ref="E54" dT="2022-12-03T22:59:45.32" personId="{4FDDD635-EE33-4885-ADD6-240B08358035}" id="{E92FC482-8D37-40DD-9C32-F0C719A22128}">
    <text>Original filing used the Annual Pickups from the general rate case TG-220339. Revised to Customer count from TG-220339.</text>
  </threadedComment>
  <threadedComment ref="E55" dT="2022-12-03T22:59:56.47" personId="{4FDDD635-EE33-4885-ADD6-240B08358035}" id="{C8CD74BB-C146-4D7E-99D4-D05C5DEEF467}">
    <text>Original filing used the Annual Pickups from the general rate case TG-220339. Revised to Customer count from TG-220339.</text>
  </threadedComment>
  <threadedComment ref="E56" dT="2022-12-03T23:00:10.94" personId="{4FDDD635-EE33-4885-ADD6-240B08358035}" id="{DDA798F5-2DDB-413B-A5AE-597AA7FD77EA}">
    <text>Original filing used the Annual Pickups from the general rate case TG-220339. Revised to Customer count from TG-220339.</text>
  </threadedComment>
  <threadedComment ref="E57" dT="2022-12-03T23:00:16.68" personId="{4FDDD635-EE33-4885-ADD6-240B08358035}" id="{5A9F69C2-5C1F-4DB2-904E-4DF15FCD6F97}">
    <text>Original filing used the Annual Pickups from the general rate case TG-220339. Revised to Customer count from TG-220339.</text>
  </threadedComment>
  <threadedComment ref="E58" dT="2022-12-03T23:00:20.60" personId="{4FDDD635-EE33-4885-ADD6-240B08358035}" id="{99371E00-729E-46D6-8153-B70CDBCD3D47}">
    <text>Original filing used the Annual Pickups from the general rate case TG-220339. Revised to Customer count from TG-220339.</text>
  </threadedComment>
  <threadedComment ref="E59" dT="2022-12-03T23:00:24.32" personId="{4FDDD635-EE33-4885-ADD6-240B08358035}" id="{A74A826C-F13D-4B41-80FF-2F008BCF15C1}">
    <text>Original filing used the Annual Pickups from the general rate case TG-220339. Revised to Customer count from TG-220339.</text>
  </threadedComment>
  <threadedComment ref="E60" dT="2022-12-03T23:00:29.55" personId="{4FDDD635-EE33-4885-ADD6-240B08358035}" id="{DAAF80AB-4255-483B-8C42-3E44BE51771C}">
    <text>Original filing used the Annual Pickups from the general rate case TG-220339. Revised to Customer count from TG-220339.</text>
  </threadedComment>
  <threadedComment ref="E61" dT="2022-12-03T23:00:33.23" personId="{4FDDD635-EE33-4885-ADD6-240B08358035}" id="{674AC90C-AC9C-48D1-8846-D3348DDCC5A2}">
    <text>Original filing used the Annual Pickups from the general rate case TG-220339. Revised to Customer count from TG-220339.</text>
  </threadedComment>
  <threadedComment ref="E62" dT="2022-12-03T23:00:36.98" personId="{4FDDD635-EE33-4885-ADD6-240B08358035}" id="{7D8182A4-E4E7-4A9F-9789-1C3B4DF84458}">
    <text>Original filing used the Annual Pickups from the general rate case TG-220339. Revised to Customer count from TG-220339.</text>
  </threadedComment>
  <threadedComment ref="E63" dT="2022-12-03T23:00:42.34" personId="{4FDDD635-EE33-4885-ADD6-240B08358035}" id="{946DC9EF-9811-4F53-AE7E-2B749F62B314}">
    <text>Original filing used the Annual Pickups from the general rate case TG-220339. Revised to Customer count from TG-220339.</text>
  </threadedComment>
  <threadedComment ref="E64" dT="2022-12-03T23:00:46.25" personId="{4FDDD635-EE33-4885-ADD6-240B08358035}" id="{C0615D51-B0A1-46C1-968A-465B6DB5AF2D}">
    <text>Original filing used the Annual Pickups from the general rate case TG-220339. Revised to Customer count from TG-220339.</text>
  </threadedComment>
  <threadedComment ref="E65" dT="2022-12-03T23:00:50.53" personId="{4FDDD635-EE33-4885-ADD6-240B08358035}" id="{CA6A34C7-AB15-400E-A32D-D32747212338}">
    <text>Original filing used the Annual Pickups from the general rate case TG-220339. Revised to Customer count from TG-220339.</text>
  </threadedComment>
  <threadedComment ref="E66" dT="2022-12-03T23:00:56.17" personId="{4FDDD635-EE33-4885-ADD6-240B08358035}" id="{20FBC187-FB5F-4E18-9033-796069F16FEE}">
    <text>Original filing used the Annual Pickups from the general rate case TG-220339. Revised to Customer count from TG-220339.</text>
  </threadedComment>
  <threadedComment ref="E67" dT="2022-12-03T23:01:00.32" personId="{4FDDD635-EE33-4885-ADD6-240B08358035}" id="{653905D4-2FC8-4078-AC37-D9C94E45841A}">
    <text>Original filing used the Annual Pickups from the general rate case TG-220339. Revised to Customer count from TG-220339.</text>
  </threadedComment>
  <threadedComment ref="E68" dT="2022-12-03T23:01:06.92" personId="{4FDDD635-EE33-4885-ADD6-240B08358035}" id="{62A3C397-1617-4E69-8B70-E81FEB9959D6}">
    <text>Original filing used the Annual Pickups from the general rate case TG-220339. Revised to Customer count from TG-220339.</text>
  </threadedComment>
  <threadedComment ref="E69" dT="2022-12-03T23:01:12.80" personId="{4FDDD635-EE33-4885-ADD6-240B08358035}" id="{086CEFF1-3DDF-46A5-9DEA-9A3BB1E65D11}">
    <text>Original filing used the Annual Pickups from the general rate case TG-220339. Revised to Customer count from TG-220339.</text>
  </threadedComment>
  <threadedComment ref="E70" dT="2022-12-03T23:01:17.57" personId="{4FDDD635-EE33-4885-ADD6-240B08358035}" id="{827B3D83-5F88-4BAD-AD99-C431687450E7}">
    <text>Original filing used the Annual Pickups from the general rate case TG-220339. Revised to Customer count from TG-220339.</text>
  </threadedComment>
  <threadedComment ref="E71" dT="2022-12-03T23:01:22.83" personId="{4FDDD635-EE33-4885-ADD6-240B08358035}" id="{F796B135-953B-4F2E-8F48-BA43CAD2F63E}">
    <text>Original filing used the Annual Pickups from the general rate case TG-220339. Revised to Customer count from TG-220339.</text>
  </threadedComment>
  <threadedComment ref="E72" dT="2022-12-03T23:01:28.06" personId="{4FDDD635-EE33-4885-ADD6-240B08358035}" id="{EC84B4D7-C889-491F-8F68-56A78A90D40A}">
    <text>Original filing used the Annual Pickups from the general rate case TG-220339. Revised to Customer count from TG-220339.</text>
  </threadedComment>
  <threadedComment ref="E73" dT="2022-12-03T23:01:32.57" personId="{4FDDD635-EE33-4885-ADD6-240B08358035}" id="{704010BA-C3B6-4AC2-99F2-0CC3AEC72F70}">
    <text>Original filing used the Annual Pickups from the general rate case TG-220339. Revised to Customer count from TG-220339.</text>
  </threadedComment>
  <threadedComment ref="E74" dT="2022-12-03T23:01:37.44" personId="{4FDDD635-EE33-4885-ADD6-240B08358035}" id="{32DF1D66-66CB-4416-BF74-8D9530A69AD1}">
    <text>Original filing used the Annual Pickups from the general rate case TG-220339. Revised to Customer count from TG-220339.</text>
  </threadedComment>
  <threadedComment ref="E75" dT="2022-12-03T23:01:43.15" personId="{4FDDD635-EE33-4885-ADD6-240B08358035}" id="{9995ADF2-B452-4F09-A2A1-D05682E2CCDD}">
    <text>Original filing used the Annual Pickups from the general rate case TG-220339. Revised to Customer count from TG-220339.</text>
  </threadedComment>
  <threadedComment ref="E76" dT="2022-12-03T23:01:52.75" personId="{4FDDD635-EE33-4885-ADD6-240B08358035}" id="{33FD54D5-BE37-49A1-AF14-15279DA0250B}">
    <text>Original filing used the Annual Pickups from the general rate case TG-220339. Revised to Customer count from TG-220339.</text>
  </threadedComment>
  <threadedComment ref="E77" dT="2022-12-03T23:02:00.10" personId="{4FDDD635-EE33-4885-ADD6-240B08358035}" id="{E5C0D40A-2743-429B-8F8B-2C0AC4CF6FBD}">
    <text>Original filing used the Annual Pickups from the general rate case TG-220339. Revised to Customer count from TG-220339.</text>
  </threadedComment>
  <threadedComment ref="E78" dT="2022-12-03T23:02:07.17" personId="{4FDDD635-EE33-4885-ADD6-240B08358035}" id="{22E8138B-4C5F-4ABD-AE83-1ED04FF6B4E3}">
    <text>Original filing used the Annual Pickups from the general rate case TG-220339. Revised to Customer count from TG-220339.</text>
  </threadedComment>
  <threadedComment ref="E79" dT="2022-12-03T23:02:13.98" personId="{4FDDD635-EE33-4885-ADD6-240B08358035}" id="{B9E79830-BAEB-4689-AD8D-C90FE85834E8}">
    <text>Original filing used the Annual Pickups from the general rate case TG-220339. Revised to Customer count from TG-220339.</text>
  </threadedComment>
  <threadedComment ref="E80" dT="2022-12-03T23:02:19.21" personId="{4FDDD635-EE33-4885-ADD6-240B08358035}" id="{8A9F7ADA-8B9B-4B26-96EF-2BA42652A3F7}">
    <text>Original filing used the Annual Pickups from the general rate case TG-220339. Revised to Customer count from TG-220339.</text>
  </threadedComment>
  <threadedComment ref="E81" dT="2022-12-03T23:02:25.57" personId="{4FDDD635-EE33-4885-ADD6-240B08358035}" id="{954F4E5A-C95E-458F-BAAF-9BD02EF2E3CA}">
    <text>Original filing used the Annual Pickups from the general rate case TG-220339. Revised to Customer count from TG-220339.</text>
  </threadedComment>
  <threadedComment ref="E82" dT="2022-12-03T23:02:30.24" personId="{4FDDD635-EE33-4885-ADD6-240B08358035}" id="{3DEF39E2-B1AB-4459-AFEB-60D99C52359B}">
    <text>Original filing used the Annual Pickups from the general rate case TG-220339. Revised to Customer count from TG-220339.</text>
  </threadedComment>
  <threadedComment ref="E83" dT="2022-12-03T23:02:40.46" personId="{4FDDD635-EE33-4885-ADD6-240B08358035}" id="{052F0686-6DC1-4454-A15D-2AB3B84D634F}">
    <text>Original filing used the Annual Pickups from the general rate case TG-220339. Revised to Customer count from TG-220339.</text>
  </threadedComment>
  <threadedComment ref="E84" dT="2022-12-03T23:02:46.79" personId="{4FDDD635-EE33-4885-ADD6-240B08358035}" id="{202A5EE6-9C1D-4818-8602-35A2E548DB7F}">
    <text>Original filing used the Annual Pickups from the general rate case TG-220339. Revised to Customer count from TG-220339.</text>
  </threadedComment>
  <threadedComment ref="E85" dT="2022-12-03T23:02:57.84" personId="{4FDDD635-EE33-4885-ADD6-240B08358035}" id="{681472ED-4A98-4880-96C3-E79293DB9243}">
    <text>Original filing used the Annual Pickups from the general rate case TG-220339. Revised to Customer count from TG-220339.</text>
  </threadedComment>
  <threadedComment ref="E86" dT="2022-12-03T23:03:09.65" personId="{4FDDD635-EE33-4885-ADD6-240B08358035}" id="{552700F8-AE7E-4979-8BB7-A0F0C1C21460}">
    <text>Original filing used the Annual Pickups from the general rate case TG-220339. Revised to Customer count from TG-220339.</text>
  </threadedComment>
  <threadedComment ref="E87" dT="2022-12-03T23:03:14.97" personId="{4FDDD635-EE33-4885-ADD6-240B08358035}" id="{97C5353E-8561-465D-AEFE-BDAA14231051}">
    <text>Original filing used the Annual Pickups from the general rate case TG-220339. Revised to Customer count from TG-220339.</text>
  </threadedComment>
  <threadedComment ref="E88" dT="2022-12-03T23:03:19.62" personId="{4FDDD635-EE33-4885-ADD6-240B08358035}" id="{A32D7669-FCD6-425D-BF23-918157140F46}">
    <text>Original filing used the Annual Pickups from the general rate case TG-220339. Revised to Customer count from TG-220339.</text>
  </threadedComment>
  <threadedComment ref="E89" dT="2022-12-03T23:03:24.40" personId="{4FDDD635-EE33-4885-ADD6-240B08358035}" id="{A2D7EE5F-39BE-4BB3-A054-4F6C87713E18}">
    <text>Original filing used the Annual Pickups from the general rate case TG-220339. Revised to Customer count from TG-220339.</text>
  </threadedComment>
  <threadedComment ref="E90" dT="2022-12-03T23:03:29.43" personId="{4FDDD635-EE33-4885-ADD6-240B08358035}" id="{5B72C5D1-7942-4614-98FB-F94C3A9E920D}">
    <text>Original filing used the Annual Pickups from the general rate case TG-220339. Revised to Customer count from TG-220339.</text>
  </threadedComment>
  <threadedComment ref="E91" dT="2022-12-03T23:03:35.60" personId="{4FDDD635-EE33-4885-ADD6-240B08358035}" id="{3621FF39-6918-4F05-A820-A1588172BC81}">
    <text>Original filing used the Annual Pickups from the general rate case TG-220339. Revised to Customer count from TG-220339.</text>
  </threadedComment>
  <threadedComment ref="E92" dT="2022-12-03T23:03:44.45" personId="{4FDDD635-EE33-4885-ADD6-240B08358035}" id="{75DEAEE0-29AF-4F63-AE68-88AEF9835DC9}">
    <text>Original filing used the Annual Pickups from the general rate case TG-220339. Revised to Customer count from TG-220339.</text>
  </threadedComment>
  <threadedComment ref="N92" dT="2022-12-03T23:35:34.78" personId="{4FDDD635-EE33-4885-ADD6-240B08358035}" id="{2700A2A4-2E5E-4040-AAE2-D40C85930D2A}">
    <text>Multiplied by monthly pickups to calculate increase in monthly bill minimum.</text>
  </threadedComment>
  <threadedComment ref="E93" dT="2022-12-03T23:03:51.95" personId="{4FDDD635-EE33-4885-ADD6-240B08358035}" id="{CE17081D-942B-4C5F-9185-D470F3FDFED1}">
    <text>Original filing used the Annual Pickups from the general rate case TG-220339. Revised to Customer count from TG-220339.</text>
  </threadedComment>
  <threadedComment ref="E94" dT="2022-12-03T23:04:03.93" personId="{4FDDD635-EE33-4885-ADD6-240B08358035}" id="{4B4A6E47-344D-4B2C-96E3-976EE70D12F3}">
    <text>Original filing used the Annual Pickups from the general rate case TG-220339. Revised to Customer count from TG-220339.</text>
  </threadedComment>
  <threadedComment ref="E95" dT="2022-12-03T23:04:15.95" personId="{4FDDD635-EE33-4885-ADD6-240B08358035}" id="{C2FC4FB6-33BD-40FE-A449-E0796B2462EF}">
    <text>Original filing used the Annual Pickups from the general rate case TG-220339. Revised to Customer count from TG-220339.</text>
  </threadedComment>
  <threadedComment ref="E96" dT="2022-12-03T23:05:09.12" personId="{4FDDD635-EE33-4885-ADD6-240B08358035}" id="{5EDFBF2E-559D-4971-8D17-DD4D53CC23A7}">
    <text>Original filing used the Annual Pickups from the general rate case TG-220339. Revised to Customer count from TG-220339.</text>
  </threadedComment>
  <threadedComment ref="E97" dT="2022-12-03T23:05:17.04" personId="{4FDDD635-EE33-4885-ADD6-240B08358035}" id="{01BAFC55-2AD9-4777-ADE5-116FE9469330}">
    <text>Original filing used the Annual Pickups from the general rate case TG-220339. Revised to Customer count from TG-220339.</text>
  </threadedComment>
  <threadedComment ref="E98" dT="2022-12-03T23:05:21.16" personId="{4FDDD635-EE33-4885-ADD6-240B08358035}" id="{2C84A696-D98C-4814-A863-D0974095F08C}">
    <text>Original filing used the Annual Pickups from the general rate case TG-220339. Revised to Customer count from TG-220339.</text>
  </threadedComment>
  <threadedComment ref="E99" dT="2022-12-03T23:05:26.40" personId="{4FDDD635-EE33-4885-ADD6-240B08358035}" id="{4A410F09-1A3F-4CD3-BD97-D97A87738643}">
    <text>Original filing used the Annual Pickups from the general rate case TG-220339. Revised to Customer count from TG-220339.</text>
  </threadedComment>
  <threadedComment ref="E100" dT="2022-12-03T23:05:30.69" personId="{4FDDD635-EE33-4885-ADD6-240B08358035}" id="{11737ABA-6263-4667-B4A0-66A01B87D7BD}">
    <text>Original filing used the Annual Pickups from the general rate case TG-220339. Revised to Customer count from TG-220339.</text>
  </threadedComment>
  <threadedComment ref="E101" dT="2022-12-03T23:05:36.13" personId="{4FDDD635-EE33-4885-ADD6-240B08358035}" id="{411F8380-80F7-4CC3-A3E3-C7AB8308858C}">
    <text>Original filing used the Annual Pickups from the general rate case TG-220339. Revised to Customer count from TG-220339.</text>
  </threadedComment>
  <threadedComment ref="E102" dT="2022-12-03T23:05:41.32" personId="{4FDDD635-EE33-4885-ADD6-240B08358035}" id="{B4FEECDD-78B3-4D8C-962E-097D775A517F}">
    <text>Original filing used the Annual Pickups from the general rate case TG-220339. Revised to Customer count from TG-220339.</text>
  </threadedComment>
  <threadedComment ref="E103" dT="2022-12-03T23:05:46.64" personId="{4FDDD635-EE33-4885-ADD6-240B08358035}" id="{CEE536BD-31DC-4F15-B659-09B62E1C0292}">
    <text>Original filing used the Annual Pickups from the general rate case TG-220339. Revised to Customer count from TG-220339.</text>
  </threadedComment>
  <threadedComment ref="E104" dT="2022-12-03T23:05:52.82" personId="{4FDDD635-EE33-4885-ADD6-240B08358035}" id="{2FFCA777-5EEF-4B52-A1E1-C4DA9C7BDE5B}">
    <text>Original filing used the Annual Pickups from the general rate case TG-220339. Revised to Customer count from TG-220339.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7"/>
  <sheetViews>
    <sheetView showGridLines="0" tabSelected="1" topLeftCell="A62" zoomScaleNormal="100" zoomScaleSheetLayoutView="100" zoomScalePageLayoutView="80" workbookViewId="0">
      <selection activeCell="E100" sqref="E100"/>
    </sheetView>
  </sheetViews>
  <sheetFormatPr defaultColWidth="9.140625" defaultRowHeight="12.75"/>
  <cols>
    <col min="1" max="1" width="26.140625" style="3" customWidth="1"/>
    <col min="2" max="2" width="7" style="3" customWidth="1"/>
    <col min="3" max="3" width="22" style="3" customWidth="1"/>
    <col min="4" max="4" width="9.5703125" style="3" bestFit="1" customWidth="1"/>
    <col min="5" max="5" width="10.7109375" style="3" bestFit="1" customWidth="1"/>
    <col min="6" max="6" width="26.7109375" style="3" bestFit="1" customWidth="1"/>
    <col min="7" max="7" width="10.140625" style="3" bestFit="1" customWidth="1"/>
    <col min="8" max="8" width="7.5703125" style="3" bestFit="1" customWidth="1"/>
    <col min="9" max="9" width="9.28515625" style="3" bestFit="1" customWidth="1"/>
    <col min="10" max="10" width="9.5703125" style="3" bestFit="1" customWidth="1"/>
    <col min="11" max="11" width="14.5703125" style="3" customWidth="1"/>
    <col min="12" max="12" width="9.140625" style="3"/>
    <col min="13" max="13" width="17.42578125" style="3" customWidth="1"/>
    <col min="14" max="16384" width="9.140625" style="3"/>
  </cols>
  <sheetData>
    <row r="1" spans="1:10">
      <c r="A1" s="81" t="s">
        <v>348</v>
      </c>
    </row>
    <row r="2" spans="1:10">
      <c r="A2" s="77" t="s">
        <v>315</v>
      </c>
    </row>
    <row r="3" spans="1:10" ht="13.5" thickBot="1">
      <c r="A3" s="77"/>
    </row>
    <row r="4" spans="1:10" customFormat="1" ht="25.5" customHeight="1" thickBot="1">
      <c r="A4" s="266" t="s">
        <v>371</v>
      </c>
      <c r="B4" s="267"/>
      <c r="C4" s="267"/>
      <c r="D4" s="267"/>
      <c r="E4" s="267"/>
      <c r="F4" s="267"/>
      <c r="G4" s="267"/>
      <c r="H4" s="267"/>
      <c r="I4" s="268"/>
    </row>
    <row r="6" spans="1:10">
      <c r="A6" s="269" t="s">
        <v>0</v>
      </c>
      <c r="B6" s="269"/>
      <c r="C6" s="269"/>
      <c r="D6" s="269"/>
      <c r="E6" s="269"/>
      <c r="F6" s="269"/>
      <c r="G6" s="269"/>
      <c r="H6" s="269"/>
      <c r="I6" s="269"/>
      <c r="J6" s="8"/>
    </row>
    <row r="7" spans="1:10">
      <c r="A7" s="3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  <c r="H7" s="9" t="s">
        <v>7</v>
      </c>
      <c r="I7" s="9" t="s">
        <v>8</v>
      </c>
    </row>
    <row r="8" spans="1:10">
      <c r="A8" s="3" t="s">
        <v>9</v>
      </c>
      <c r="C8" s="5">
        <f>+C12*5</f>
        <v>21.65</v>
      </c>
      <c r="D8" s="10">
        <f>ROUND($C$8*2,2)</f>
        <v>43.3</v>
      </c>
      <c r="E8" s="10">
        <f>ROUND($C$8*3,2)</f>
        <v>64.95</v>
      </c>
      <c r="F8" s="10">
        <f>ROUND($C$8*4,2)</f>
        <v>86.6</v>
      </c>
      <c r="G8" s="10">
        <f>ROUND($C$8*5,2)</f>
        <v>108.25</v>
      </c>
      <c r="H8" s="10">
        <f>ROUND($C$8*6,2)</f>
        <v>129.9</v>
      </c>
      <c r="I8" s="10">
        <f>ROUND($C$8*7,2)</f>
        <v>151.55000000000001</v>
      </c>
    </row>
    <row r="9" spans="1:10">
      <c r="A9" s="3" t="s">
        <v>10</v>
      </c>
      <c r="C9" s="5">
        <f>+C12*4</f>
        <v>17.32</v>
      </c>
      <c r="D9" s="10">
        <f>ROUND($C$9*2,2)</f>
        <v>34.64</v>
      </c>
      <c r="E9" s="10">
        <f>ROUND($C$9*3,2)</f>
        <v>51.96</v>
      </c>
      <c r="F9" s="10">
        <f>ROUND($C$9*4,2)</f>
        <v>69.28</v>
      </c>
      <c r="G9" s="10">
        <f>ROUND($C$9*5,2)</f>
        <v>86.6</v>
      </c>
      <c r="H9" s="10">
        <f>ROUND($C$9*6,2)</f>
        <v>103.92</v>
      </c>
      <c r="I9" s="10">
        <f>ROUND($C$9*7,2)</f>
        <v>121.24</v>
      </c>
    </row>
    <row r="10" spans="1:10">
      <c r="A10" s="3" t="s">
        <v>11</v>
      </c>
      <c r="C10" s="5">
        <f>+C12*3</f>
        <v>12.99</v>
      </c>
      <c r="D10" s="10">
        <f>ROUND($C$10*2,2)</f>
        <v>25.98</v>
      </c>
      <c r="E10" s="10">
        <f>ROUND($C$10*3,2)</f>
        <v>38.97</v>
      </c>
      <c r="F10" s="10">
        <f>ROUND($C$10*4,2)</f>
        <v>51.96</v>
      </c>
      <c r="G10" s="10">
        <f>ROUND($C$10*5,2)</f>
        <v>64.95</v>
      </c>
      <c r="H10" s="10">
        <f>ROUND($C$10*6,2)</f>
        <v>77.94</v>
      </c>
      <c r="I10" s="10">
        <f>ROUND($C$10*7,2)</f>
        <v>90.93</v>
      </c>
    </row>
    <row r="11" spans="1:10">
      <c r="A11" s="3" t="s">
        <v>12</v>
      </c>
      <c r="C11" s="5">
        <f>+C12*2</f>
        <v>8.66</v>
      </c>
      <c r="D11" s="7">
        <f>ROUND($C$11*2,2)</f>
        <v>17.32</v>
      </c>
      <c r="E11" s="7">
        <f>ROUND($C$11*3,2)</f>
        <v>25.98</v>
      </c>
      <c r="F11" s="7">
        <f>ROUND($C$11*4,2)</f>
        <v>34.64</v>
      </c>
      <c r="G11" s="7">
        <f>ROUND($C$11*5,2)</f>
        <v>43.3</v>
      </c>
      <c r="H11" s="7">
        <f>ROUND($C$11*6,2)</f>
        <v>51.96</v>
      </c>
      <c r="I11" s="7">
        <f>ROUND($C$11*7,2)</f>
        <v>60.62</v>
      </c>
    </row>
    <row r="12" spans="1:10">
      <c r="A12" s="3" t="s">
        <v>13</v>
      </c>
      <c r="C12" s="5">
        <f>ROUND(52/12,2)</f>
        <v>4.33</v>
      </c>
      <c r="D12" s="7">
        <f>ROUND($C$12*2,2)</f>
        <v>8.66</v>
      </c>
      <c r="E12" s="7">
        <f>ROUND($C$12*3,2)</f>
        <v>12.99</v>
      </c>
      <c r="F12" s="7">
        <f>ROUND($C$12*4,2)</f>
        <v>17.32</v>
      </c>
      <c r="G12" s="7">
        <f>ROUND($C$12*5,2)</f>
        <v>21.65</v>
      </c>
      <c r="H12" s="7">
        <f>ROUND($C$12*6,2)</f>
        <v>25.98</v>
      </c>
      <c r="I12" s="7">
        <f>ROUND($C$12*7,2)</f>
        <v>30.31</v>
      </c>
    </row>
    <row r="13" spans="1:10">
      <c r="A13" s="3" t="s">
        <v>14</v>
      </c>
      <c r="C13" s="5">
        <f>ROUND(26/12,2)</f>
        <v>2.17</v>
      </c>
      <c r="D13" s="7">
        <f>ROUND($C$13*2,2)</f>
        <v>4.34</v>
      </c>
      <c r="E13" s="7">
        <f>ROUND($C$13*3,2)</f>
        <v>6.51</v>
      </c>
      <c r="F13" s="7">
        <f>ROUND($C$13*4,2)</f>
        <v>8.68</v>
      </c>
      <c r="G13" s="7">
        <f>ROUND($C$13*5,2)</f>
        <v>10.85</v>
      </c>
      <c r="H13" s="7">
        <f>ROUND($C$13*6,2)</f>
        <v>13.02</v>
      </c>
      <c r="I13" s="7">
        <f>ROUND($C$13*7,2)</f>
        <v>15.19</v>
      </c>
    </row>
    <row r="14" spans="1:10">
      <c r="A14" s="3" t="s">
        <v>15</v>
      </c>
      <c r="C14" s="5">
        <f>12/12</f>
        <v>1</v>
      </c>
      <c r="D14" s="7">
        <f>$C$14*2</f>
        <v>2</v>
      </c>
      <c r="E14" s="7">
        <f>$C$14*3</f>
        <v>3</v>
      </c>
      <c r="F14" s="7">
        <f>$C$14*4</f>
        <v>4</v>
      </c>
      <c r="G14" s="7">
        <f>$C$14*5</f>
        <v>5</v>
      </c>
      <c r="H14" s="7">
        <f>$C$14*6</f>
        <v>6</v>
      </c>
      <c r="I14" s="7">
        <f>$C$14*7</f>
        <v>7</v>
      </c>
    </row>
    <row r="15" spans="1:10">
      <c r="A15" s="3" t="s">
        <v>16</v>
      </c>
      <c r="C15" s="5">
        <v>1</v>
      </c>
      <c r="D15" s="7"/>
      <c r="E15" s="7"/>
      <c r="F15" s="7"/>
      <c r="G15" s="7"/>
      <c r="H15" s="7"/>
      <c r="I15" s="7"/>
    </row>
    <row r="16" spans="1:10">
      <c r="C16" s="5"/>
      <c r="D16" s="7"/>
      <c r="E16" s="7"/>
      <c r="F16" s="7"/>
      <c r="G16" s="7"/>
      <c r="H16" s="7"/>
      <c r="I16" s="7"/>
    </row>
    <row r="17" spans="1:9">
      <c r="A17" s="269" t="s">
        <v>17</v>
      </c>
      <c r="B17" s="269"/>
      <c r="C17" s="269"/>
      <c r="D17" s="7"/>
      <c r="E17" s="7"/>
      <c r="F17" s="7"/>
      <c r="G17" s="7"/>
      <c r="H17" s="7"/>
      <c r="I17" s="7"/>
    </row>
    <row r="18" spans="1:9">
      <c r="A18" s="1" t="s">
        <v>18</v>
      </c>
      <c r="B18" s="1"/>
      <c r="C18" s="11" t="s">
        <v>19</v>
      </c>
      <c r="D18" s="7"/>
      <c r="E18" s="7"/>
      <c r="F18" s="7"/>
      <c r="G18" s="7"/>
      <c r="H18" s="7"/>
      <c r="I18" s="7"/>
    </row>
    <row r="19" spans="1:9">
      <c r="A19" s="12" t="s">
        <v>20</v>
      </c>
      <c r="B19" s="12"/>
      <c r="C19" s="6">
        <v>20</v>
      </c>
      <c r="D19" s="7"/>
      <c r="E19" s="7"/>
      <c r="F19" s="7"/>
      <c r="G19" s="7"/>
      <c r="H19" s="7"/>
      <c r="I19" s="7"/>
    </row>
    <row r="20" spans="1:9">
      <c r="A20" s="12" t="s">
        <v>21</v>
      </c>
      <c r="B20" s="12"/>
      <c r="C20" s="6">
        <v>34</v>
      </c>
      <c r="D20" s="7"/>
      <c r="E20" s="7"/>
      <c r="F20" s="7"/>
      <c r="G20" s="7"/>
      <c r="H20" s="7"/>
      <c r="I20" s="7"/>
    </row>
    <row r="21" spans="1:9">
      <c r="A21" s="12" t="s">
        <v>22</v>
      </c>
      <c r="B21" s="12"/>
      <c r="C21" s="6">
        <v>51</v>
      </c>
      <c r="D21" s="7"/>
      <c r="E21" s="7"/>
      <c r="F21" s="7"/>
      <c r="G21" s="7"/>
      <c r="H21" s="7"/>
      <c r="I21" s="7"/>
    </row>
    <row r="22" spans="1:9">
      <c r="A22" s="12" t="s">
        <v>23</v>
      </c>
      <c r="B22" s="12"/>
      <c r="C22" s="6">
        <v>77</v>
      </c>
      <c r="D22" s="7"/>
      <c r="E22" s="7"/>
      <c r="F22" s="7"/>
      <c r="G22" s="3" t="s">
        <v>24</v>
      </c>
      <c r="H22" s="6">
        <v>2000</v>
      </c>
      <c r="I22" s="7"/>
    </row>
    <row r="23" spans="1:9">
      <c r="A23" s="12" t="s">
        <v>25</v>
      </c>
      <c r="B23" s="12"/>
      <c r="C23" s="6">
        <v>97</v>
      </c>
      <c r="D23" s="7"/>
      <c r="E23" s="7"/>
      <c r="F23" s="7"/>
      <c r="G23" s="3" t="s">
        <v>26</v>
      </c>
      <c r="H23" s="78" t="s">
        <v>313</v>
      </c>
      <c r="I23" s="7"/>
    </row>
    <row r="24" spans="1:9">
      <c r="A24" s="12" t="s">
        <v>27</v>
      </c>
      <c r="B24" s="12"/>
      <c r="C24" s="79">
        <v>117</v>
      </c>
      <c r="D24" s="7"/>
      <c r="E24" s="7"/>
      <c r="F24" s="7"/>
      <c r="I24" s="7"/>
    </row>
    <row r="25" spans="1:9">
      <c r="A25" s="12" t="s">
        <v>28</v>
      </c>
      <c r="B25" s="12"/>
      <c r="C25" s="79">
        <v>137</v>
      </c>
      <c r="D25" s="7"/>
      <c r="E25" s="7"/>
      <c r="F25" s="7"/>
      <c r="G25" s="2" t="s">
        <v>29</v>
      </c>
      <c r="H25" s="13">
        <v>12</v>
      </c>
      <c r="I25" s="7"/>
    </row>
    <row r="26" spans="1:9">
      <c r="A26" s="12" t="s">
        <v>30</v>
      </c>
      <c r="B26" s="12"/>
      <c r="C26" s="79">
        <f>C25+20+20</f>
        <v>177</v>
      </c>
      <c r="D26" s="7"/>
      <c r="E26" s="7"/>
      <c r="F26" s="7"/>
      <c r="G26" s="2"/>
      <c r="H26" s="13"/>
      <c r="I26" s="7"/>
    </row>
    <row r="27" spans="1:9">
      <c r="A27" s="12" t="s">
        <v>31</v>
      </c>
      <c r="B27" s="12"/>
      <c r="C27" s="79">
        <v>40</v>
      </c>
      <c r="D27" s="7" t="s">
        <v>32</v>
      </c>
      <c r="E27" s="7"/>
      <c r="F27" s="7"/>
      <c r="G27" s="14"/>
      <c r="H27" s="15"/>
      <c r="I27" s="7"/>
    </row>
    <row r="28" spans="1:9">
      <c r="A28" s="12" t="s">
        <v>33</v>
      </c>
      <c r="B28" s="12"/>
      <c r="C28" s="79">
        <v>47</v>
      </c>
      <c r="D28" s="7"/>
      <c r="E28" s="7"/>
      <c r="F28" s="7"/>
      <c r="G28" s="7"/>
      <c r="H28" s="7"/>
      <c r="I28" s="7"/>
    </row>
    <row r="29" spans="1:9">
      <c r="A29" s="12" t="s">
        <v>34</v>
      </c>
      <c r="B29" s="12"/>
      <c r="C29" s="79">
        <f>C21</f>
        <v>51</v>
      </c>
      <c r="D29" s="7"/>
      <c r="E29" s="7"/>
      <c r="F29" s="7"/>
      <c r="G29" s="7"/>
      <c r="H29" s="7"/>
      <c r="I29" s="7"/>
    </row>
    <row r="30" spans="1:9">
      <c r="A30" s="12" t="s">
        <v>35</v>
      </c>
      <c r="B30" s="12"/>
      <c r="C30" s="79">
        <v>68</v>
      </c>
      <c r="D30" s="7"/>
      <c r="E30" s="7"/>
      <c r="F30" s="7"/>
      <c r="G30" s="7"/>
      <c r="H30" s="7"/>
      <c r="I30" s="7"/>
    </row>
    <row r="31" spans="1:9">
      <c r="A31" s="12" t="s">
        <v>36</v>
      </c>
      <c r="B31" s="12"/>
      <c r="C31" s="79">
        <f>C22</f>
        <v>77</v>
      </c>
      <c r="D31" s="7"/>
      <c r="E31" s="7"/>
      <c r="F31" s="7"/>
      <c r="G31" s="7"/>
      <c r="H31" s="7"/>
      <c r="I31" s="7"/>
    </row>
    <row r="32" spans="1:9">
      <c r="A32" s="12" t="s">
        <v>37</v>
      </c>
      <c r="B32" s="12"/>
      <c r="C32" s="79">
        <v>34</v>
      </c>
      <c r="D32" s="7"/>
      <c r="E32" s="7"/>
      <c r="F32" s="7"/>
      <c r="G32" s="7"/>
      <c r="H32" s="7"/>
      <c r="I32" s="7"/>
    </row>
    <row r="33" spans="1:9">
      <c r="A33" s="12" t="s">
        <v>38</v>
      </c>
      <c r="B33" s="12"/>
      <c r="C33" s="79">
        <v>34</v>
      </c>
      <c r="D33" s="7"/>
      <c r="E33" s="7"/>
      <c r="F33" s="7"/>
      <c r="G33" s="7"/>
      <c r="H33" s="7"/>
      <c r="I33" s="7"/>
    </row>
    <row r="34" spans="1:9">
      <c r="A34" s="1" t="s">
        <v>39</v>
      </c>
      <c r="B34" s="1"/>
      <c r="C34" s="79"/>
      <c r="D34" s="7"/>
      <c r="E34" s="7"/>
      <c r="F34" s="7"/>
      <c r="G34" s="7"/>
      <c r="H34" s="7"/>
      <c r="I34" s="7"/>
    </row>
    <row r="35" spans="1:9">
      <c r="A35" s="12" t="s">
        <v>40</v>
      </c>
      <c r="B35" s="12"/>
      <c r="C35" s="79">
        <v>29</v>
      </c>
      <c r="D35" s="7"/>
      <c r="E35" s="7"/>
      <c r="F35" s="7"/>
      <c r="G35" s="7"/>
      <c r="H35" s="7"/>
      <c r="I35" s="7"/>
    </row>
    <row r="36" spans="1:9">
      <c r="A36" s="12" t="s">
        <v>41</v>
      </c>
      <c r="B36" s="12"/>
      <c r="C36" s="79">
        <v>125</v>
      </c>
      <c r="D36" s="7"/>
      <c r="E36" s="7"/>
      <c r="F36" s="7"/>
      <c r="G36" s="7"/>
      <c r="H36" s="7"/>
      <c r="I36" s="7"/>
    </row>
    <row r="37" spans="1:9">
      <c r="A37" s="12" t="s">
        <v>42</v>
      </c>
      <c r="B37" s="12"/>
      <c r="C37" s="79">
        <v>175</v>
      </c>
      <c r="D37" s="7"/>
      <c r="E37" s="7"/>
      <c r="F37" s="7"/>
      <c r="G37" s="7"/>
      <c r="H37" s="7"/>
      <c r="I37" s="7"/>
    </row>
    <row r="38" spans="1:9">
      <c r="A38" s="12" t="s">
        <v>43</v>
      </c>
      <c r="B38" s="12"/>
      <c r="C38" s="79">
        <v>250</v>
      </c>
      <c r="D38" s="7"/>
      <c r="E38" s="7"/>
      <c r="F38" s="7"/>
      <c r="G38" s="7"/>
      <c r="H38" s="7"/>
      <c r="I38" s="7"/>
    </row>
    <row r="39" spans="1:9">
      <c r="A39" s="12" t="s">
        <v>44</v>
      </c>
      <c r="B39" s="12"/>
      <c r="C39" s="79">
        <v>324</v>
      </c>
      <c r="D39" s="7"/>
      <c r="E39" s="7"/>
      <c r="F39" s="7"/>
      <c r="G39" s="7"/>
      <c r="H39" s="7"/>
      <c r="I39" s="7"/>
    </row>
    <row r="40" spans="1:9">
      <c r="A40" s="12" t="s">
        <v>45</v>
      </c>
      <c r="B40" s="12"/>
      <c r="C40" s="79">
        <v>473</v>
      </c>
      <c r="D40" s="7"/>
      <c r="E40" s="7"/>
      <c r="F40" s="7"/>
      <c r="G40" s="7"/>
      <c r="H40" s="7"/>
      <c r="I40" s="7"/>
    </row>
    <row r="41" spans="1:9">
      <c r="A41" s="12" t="s">
        <v>46</v>
      </c>
      <c r="B41" s="12"/>
      <c r="C41" s="79">
        <v>613</v>
      </c>
      <c r="D41" s="7"/>
      <c r="E41" s="7"/>
      <c r="F41" s="7"/>
      <c r="G41" s="7"/>
      <c r="H41" s="7"/>
      <c r="I41" s="7"/>
    </row>
    <row r="42" spans="1:9">
      <c r="A42" s="16" t="s">
        <v>47</v>
      </c>
      <c r="B42" s="16"/>
      <c r="C42" s="79">
        <f>C41+115</f>
        <v>728</v>
      </c>
      <c r="D42" s="7"/>
      <c r="E42" s="7"/>
      <c r="F42" s="7"/>
      <c r="G42" s="7"/>
      <c r="H42" s="7"/>
      <c r="I42" s="7"/>
    </row>
    <row r="43" spans="1:9">
      <c r="A43" s="12" t="s">
        <v>48</v>
      </c>
      <c r="B43" s="12"/>
      <c r="C43" s="79">
        <v>840</v>
      </c>
      <c r="D43" s="7"/>
      <c r="E43" s="7"/>
      <c r="F43" s="7"/>
      <c r="G43" s="7"/>
      <c r="H43" s="7"/>
      <c r="I43" s="7"/>
    </row>
    <row r="44" spans="1:9">
      <c r="A44" s="12" t="s">
        <v>49</v>
      </c>
      <c r="B44" s="12"/>
      <c r="C44" s="79">
        <v>980</v>
      </c>
      <c r="D44" s="7"/>
      <c r="E44" s="7"/>
      <c r="F44" s="7"/>
      <c r="G44" s="7"/>
      <c r="H44" s="7"/>
      <c r="I44" s="7"/>
    </row>
    <row r="45" spans="1:9">
      <c r="A45" s="17" t="s">
        <v>50</v>
      </c>
      <c r="B45" s="17">
        <v>2.25</v>
      </c>
      <c r="C45" s="79"/>
      <c r="D45" s="18"/>
      <c r="E45" s="7"/>
      <c r="F45" s="7"/>
      <c r="G45" s="7"/>
      <c r="H45" s="7"/>
      <c r="I45" s="7"/>
    </row>
    <row r="46" spans="1:9">
      <c r="A46" s="12" t="s">
        <v>51</v>
      </c>
      <c r="B46" s="12"/>
      <c r="C46" s="79">
        <f>C39*$B$45</f>
        <v>729</v>
      </c>
      <c r="D46" s="7" t="s">
        <v>32</v>
      </c>
      <c r="E46" s="7"/>
      <c r="F46" s="7"/>
      <c r="G46" s="7"/>
      <c r="H46" s="7"/>
      <c r="I46" s="7"/>
    </row>
    <row r="47" spans="1:9">
      <c r="A47" s="12" t="s">
        <v>52</v>
      </c>
      <c r="B47" s="12"/>
      <c r="C47" s="6">
        <f>C41*$B$45</f>
        <v>1379.25</v>
      </c>
      <c r="D47" s="7" t="s">
        <v>32</v>
      </c>
      <c r="E47" s="7"/>
      <c r="F47" s="7"/>
      <c r="G47" s="7"/>
      <c r="H47" s="7"/>
      <c r="I47" s="7"/>
    </row>
    <row r="48" spans="1:9">
      <c r="A48" s="12" t="s">
        <v>53</v>
      </c>
      <c r="B48" s="12"/>
      <c r="C48" s="6">
        <f>C43*$B$45</f>
        <v>1890</v>
      </c>
      <c r="D48" s="7" t="s">
        <v>32</v>
      </c>
      <c r="E48" s="7"/>
      <c r="F48" s="7"/>
      <c r="G48" s="7"/>
      <c r="H48" s="7"/>
      <c r="I48" s="7"/>
    </row>
    <row r="49" spans="1:9">
      <c r="A49" s="17" t="s">
        <v>54</v>
      </c>
      <c r="B49" s="17">
        <v>3</v>
      </c>
      <c r="C49" s="6"/>
      <c r="D49" s="7"/>
      <c r="E49" s="7"/>
      <c r="F49" s="7"/>
      <c r="G49" s="7"/>
      <c r="H49" s="7"/>
      <c r="I49" s="7"/>
    </row>
    <row r="50" spans="1:9">
      <c r="A50" s="12" t="s">
        <v>51</v>
      </c>
      <c r="B50" s="12"/>
      <c r="C50" s="19">
        <f>C39*$B$49</f>
        <v>972</v>
      </c>
      <c r="D50" s="7" t="s">
        <v>32</v>
      </c>
      <c r="E50" s="7"/>
      <c r="F50" s="7"/>
      <c r="G50" s="7"/>
      <c r="H50" s="7"/>
      <c r="I50" s="7"/>
    </row>
    <row r="51" spans="1:9">
      <c r="A51" s="12" t="s">
        <v>55</v>
      </c>
      <c r="B51" s="12"/>
      <c r="C51" s="19">
        <f>C40*$B$49</f>
        <v>1419</v>
      </c>
      <c r="D51" s="7" t="s">
        <v>32</v>
      </c>
      <c r="E51" s="7"/>
      <c r="F51" s="7"/>
      <c r="G51" s="7"/>
      <c r="H51" s="7"/>
      <c r="I51" s="7"/>
    </row>
    <row r="52" spans="1:9">
      <c r="A52" s="12" t="s">
        <v>52</v>
      </c>
      <c r="B52" s="12"/>
      <c r="C52" s="19">
        <f>C41*$B$49</f>
        <v>1839</v>
      </c>
      <c r="D52" s="7" t="s">
        <v>32</v>
      </c>
      <c r="E52" s="7"/>
      <c r="F52" s="7"/>
      <c r="G52" s="7"/>
      <c r="H52" s="7"/>
      <c r="I52" s="7"/>
    </row>
    <row r="53" spans="1:9">
      <c r="A53" s="12" t="s">
        <v>53</v>
      </c>
      <c r="B53" s="12"/>
      <c r="C53" s="19">
        <f>C43*$B$49</f>
        <v>2520</v>
      </c>
      <c r="D53" s="7" t="s">
        <v>32</v>
      </c>
      <c r="E53" s="7"/>
      <c r="F53" s="7"/>
      <c r="G53" s="7"/>
      <c r="H53" s="7"/>
      <c r="I53" s="7"/>
    </row>
    <row r="54" spans="1:9">
      <c r="A54" s="17" t="s">
        <v>56</v>
      </c>
      <c r="B54" s="17">
        <v>4</v>
      </c>
      <c r="C54" s="6"/>
      <c r="D54" s="7"/>
      <c r="E54" s="7"/>
      <c r="F54" s="7"/>
      <c r="G54" s="7"/>
      <c r="H54" s="7"/>
      <c r="I54" s="7"/>
    </row>
    <row r="55" spans="1:9">
      <c r="A55" s="12" t="s">
        <v>311</v>
      </c>
      <c r="B55" s="17"/>
      <c r="C55" s="6">
        <f>C38*B54</f>
        <v>1000</v>
      </c>
      <c r="D55" s="7" t="s">
        <v>32</v>
      </c>
      <c r="E55" s="7"/>
      <c r="F55" s="7"/>
      <c r="G55" s="7"/>
      <c r="H55" s="7"/>
      <c r="I55" s="7"/>
    </row>
    <row r="56" spans="1:9">
      <c r="A56" s="12" t="s">
        <v>51</v>
      </c>
      <c r="B56" s="17"/>
      <c r="C56" s="6">
        <f>C39*B54</f>
        <v>1296</v>
      </c>
      <c r="D56" s="7" t="s">
        <v>32</v>
      </c>
      <c r="E56" s="7"/>
      <c r="F56" s="7"/>
      <c r="G56" s="7"/>
      <c r="H56" s="7"/>
      <c r="I56" s="7"/>
    </row>
    <row r="57" spans="1:9">
      <c r="A57" s="12" t="s">
        <v>55</v>
      </c>
      <c r="B57" s="12"/>
      <c r="C57" s="19">
        <f>C40*$B$54</f>
        <v>1892</v>
      </c>
      <c r="D57" s="7" t="s">
        <v>32</v>
      </c>
      <c r="E57" s="7"/>
      <c r="F57" s="7"/>
      <c r="G57" s="7"/>
      <c r="H57" s="7"/>
      <c r="I57" s="7"/>
    </row>
    <row r="58" spans="1:9">
      <c r="A58" s="12" t="s">
        <v>52</v>
      </c>
      <c r="B58" s="12"/>
      <c r="C58" s="19">
        <f>C41*$B$54</f>
        <v>2452</v>
      </c>
      <c r="D58" s="7" t="s">
        <v>32</v>
      </c>
      <c r="E58" s="7"/>
      <c r="F58" s="7"/>
      <c r="G58" s="7"/>
      <c r="H58" s="7"/>
      <c r="I58" s="7"/>
    </row>
    <row r="59" spans="1:9">
      <c r="A59" s="12" t="s">
        <v>53</v>
      </c>
      <c r="B59" s="12"/>
      <c r="C59" s="19">
        <f>C43*$B$54</f>
        <v>3360</v>
      </c>
      <c r="D59" s="7" t="s">
        <v>32</v>
      </c>
      <c r="E59" s="7"/>
      <c r="F59" s="7"/>
      <c r="G59" s="7"/>
      <c r="H59" s="7"/>
      <c r="I59" s="7"/>
    </row>
    <row r="60" spans="1:9">
      <c r="A60" s="17" t="s">
        <v>57</v>
      </c>
      <c r="B60" s="17">
        <v>5</v>
      </c>
      <c r="C60" s="6"/>
      <c r="D60" s="7"/>
      <c r="E60" s="7"/>
      <c r="F60" s="7"/>
      <c r="G60" s="7"/>
      <c r="H60" s="7"/>
      <c r="I60" s="7"/>
    </row>
    <row r="61" spans="1:9">
      <c r="A61" s="12" t="s">
        <v>52</v>
      </c>
      <c r="B61" s="12"/>
      <c r="C61" s="19">
        <f>C41*$B$60</f>
        <v>3065</v>
      </c>
      <c r="D61" s="7" t="s">
        <v>32</v>
      </c>
      <c r="E61" s="7"/>
      <c r="F61" s="7"/>
      <c r="G61" s="7"/>
      <c r="H61" s="7"/>
      <c r="I61" s="7"/>
    </row>
    <row r="62" spans="1:9">
      <c r="A62" s="12" t="s">
        <v>53</v>
      </c>
      <c r="B62" s="12"/>
      <c r="C62" s="19">
        <f>C43*$B$60</f>
        <v>4200</v>
      </c>
      <c r="D62" s="7" t="s">
        <v>32</v>
      </c>
      <c r="E62" s="7"/>
      <c r="F62" s="7"/>
      <c r="G62" s="7"/>
      <c r="H62" s="7"/>
      <c r="I62" s="7"/>
    </row>
    <row r="63" spans="1:9">
      <c r="C63" s="271" t="s">
        <v>314</v>
      </c>
      <c r="D63" s="271"/>
    </row>
    <row r="64" spans="1:9">
      <c r="C64" s="271"/>
      <c r="D64" s="271"/>
    </row>
    <row r="66" spans="1:13">
      <c r="A66" s="20" t="s">
        <v>58</v>
      </c>
      <c r="B66" s="20"/>
      <c r="C66" s="21" t="s">
        <v>238</v>
      </c>
      <c r="D66" s="21" t="s">
        <v>59</v>
      </c>
      <c r="E66" s="21" t="s">
        <v>239</v>
      </c>
      <c r="F66" s="21" t="s">
        <v>59</v>
      </c>
      <c r="G66" s="8"/>
      <c r="H66" s="8"/>
    </row>
    <row r="67" spans="1:13">
      <c r="A67" s="22" t="s">
        <v>340</v>
      </c>
      <c r="B67" s="22"/>
      <c r="C67" s="265">
        <f ca="1">+C95</f>
        <v>106.34000000000002</v>
      </c>
      <c r="D67" s="24">
        <f ca="1">C67/2000</f>
        <v>5.3170000000000009E-2</v>
      </c>
      <c r="E67" s="265">
        <f ca="1">+B95</f>
        <v>94.460000000000008</v>
      </c>
      <c r="F67" s="24">
        <f ca="1">E67/2000</f>
        <v>4.7230000000000001E-2</v>
      </c>
    </row>
    <row r="68" spans="1:13">
      <c r="A68" s="22" t="s">
        <v>341</v>
      </c>
      <c r="B68" s="22"/>
      <c r="C68" s="215">
        <f ca="1">H91</f>
        <v>111.94000000000001</v>
      </c>
      <c r="D68" s="144">
        <f ca="1">C68/2000</f>
        <v>5.5970000000000006E-2</v>
      </c>
      <c r="E68" s="215">
        <f ca="1">G91</f>
        <v>99.43</v>
      </c>
      <c r="F68" s="26">
        <f ca="1">E68/2000</f>
        <v>4.9715000000000002E-2</v>
      </c>
      <c r="G68" s="14"/>
      <c r="M68" s="33"/>
    </row>
    <row r="69" spans="1:13">
      <c r="A69" s="12" t="s">
        <v>63</v>
      </c>
      <c r="B69" s="12"/>
      <c r="C69" s="23">
        <f ca="1">C68-C67</f>
        <v>5.5999999999999943</v>
      </c>
      <c r="D69" s="27">
        <f ca="1">D68-D67</f>
        <v>2.7999999999999969E-3</v>
      </c>
      <c r="E69" s="23">
        <f ca="1">E68-E67</f>
        <v>4.9699999999999989</v>
      </c>
      <c r="F69" s="27">
        <f ca="1">F68-F67</f>
        <v>2.4850000000000011E-3</v>
      </c>
    </row>
    <row r="70" spans="1:13">
      <c r="C70" s="29">
        <f ca="1">C69/C67</f>
        <v>5.2661275155162626E-2</v>
      </c>
      <c r="D70" s="30"/>
      <c r="E70" s="29">
        <f ca="1">E69/E67</f>
        <v>5.2614863434257871E-2</v>
      </c>
      <c r="F70" s="29"/>
      <c r="L70" s="32"/>
    </row>
    <row r="72" spans="1:13">
      <c r="A72" s="8"/>
      <c r="B72" s="8"/>
      <c r="C72" s="21" t="s">
        <v>65</v>
      </c>
      <c r="E72" s="270" t="s">
        <v>60</v>
      </c>
      <c r="F72" s="270"/>
    </row>
    <row r="73" spans="1:13">
      <c r="A73" s="3" t="s">
        <v>66</v>
      </c>
      <c r="C73" s="33">
        <f ca="1">C69</f>
        <v>5.5999999999999943</v>
      </c>
      <c r="E73" s="3" t="s">
        <v>61</v>
      </c>
      <c r="F73" s="25">
        <f>0.0175</f>
        <v>1.7500000000000002E-2</v>
      </c>
    </row>
    <row r="74" spans="1:13">
      <c r="A74" s="3" t="s">
        <v>337</v>
      </c>
      <c r="C74" s="35">
        <f ca="1">C73/$F$78</f>
        <v>5.7294863924698118</v>
      </c>
      <c r="D74" s="33"/>
      <c r="E74" s="3" t="s">
        <v>62</v>
      </c>
      <c r="F74" s="260">
        <v>5.1000000000000004E-3</v>
      </c>
    </row>
    <row r="75" spans="1:13">
      <c r="A75" s="8" t="s">
        <v>338</v>
      </c>
      <c r="B75" s="8"/>
      <c r="C75" s="80">
        <f>+'Regulated DF Calc'!H113</f>
        <v>83053.402324556257</v>
      </c>
      <c r="E75" s="3" t="s">
        <v>339</v>
      </c>
      <c r="F75" s="28"/>
    </row>
    <row r="76" spans="1:13">
      <c r="A76" s="1" t="s">
        <v>68</v>
      </c>
      <c r="B76" s="1"/>
      <c r="C76" s="36">
        <f ca="1">C74*C75</f>
        <v>475853.33846686571</v>
      </c>
      <c r="E76" s="3" t="s">
        <v>64</v>
      </c>
      <c r="F76" s="31">
        <f>SUM(F73:F75)</f>
        <v>2.2600000000000002E-2</v>
      </c>
    </row>
    <row r="78" spans="1:13">
      <c r="E78" s="3" t="s">
        <v>67</v>
      </c>
      <c r="F78" s="34">
        <f>1-F76</f>
        <v>0.97740000000000005</v>
      </c>
    </row>
    <row r="79" spans="1:13">
      <c r="A79" s="1"/>
      <c r="B79" s="1"/>
      <c r="C79" s="37"/>
      <c r="G79" s="33"/>
    </row>
    <row r="80" spans="1:13">
      <c r="A80" s="1" t="s">
        <v>366</v>
      </c>
    </row>
    <row r="81" spans="1:9">
      <c r="A81" s="156">
        <v>2023</v>
      </c>
      <c r="B81" s="156"/>
      <c r="C81" s="154"/>
      <c r="F81" s="156">
        <v>2024</v>
      </c>
      <c r="G81" s="154"/>
      <c r="H81" s="154"/>
    </row>
    <row r="82" spans="1:9">
      <c r="A82" s="4"/>
      <c r="B82" s="155" t="s">
        <v>282</v>
      </c>
      <c r="C82" s="155" t="s">
        <v>359</v>
      </c>
      <c r="F82" s="4"/>
      <c r="G82" s="155" t="s">
        <v>282</v>
      </c>
      <c r="H82" s="155" t="s">
        <v>359</v>
      </c>
    </row>
    <row r="83" spans="1:9">
      <c r="A83" s="3" t="s">
        <v>358</v>
      </c>
      <c r="B83" s="5">
        <v>83.52</v>
      </c>
      <c r="C83" s="5">
        <v>94.25</v>
      </c>
      <c r="F83" s="3" t="s">
        <v>450</v>
      </c>
      <c r="G83" s="5">
        <f ca="1">+B95-B90-B89-B87-B94</f>
        <v>92.52</v>
      </c>
      <c r="H83" s="5">
        <f ca="1">+C95-C90-C89-C87-C94</f>
        <v>104.4</v>
      </c>
    </row>
    <row r="84" spans="1:9">
      <c r="A84" s="3" t="s">
        <v>360</v>
      </c>
      <c r="B84" s="261">
        <v>1.31</v>
      </c>
      <c r="C84" s="261">
        <v>1.47</v>
      </c>
      <c r="F84" s="3" t="s">
        <v>376</v>
      </c>
      <c r="G84" s="263">
        <v>4.97</v>
      </c>
      <c r="H84" s="263">
        <v>5.6</v>
      </c>
    </row>
    <row r="85" spans="1:9">
      <c r="A85" s="3" t="s">
        <v>367</v>
      </c>
      <c r="B85" s="5">
        <f>+B83+B84</f>
        <v>84.83</v>
      </c>
      <c r="C85" s="5">
        <f>+C83+C84</f>
        <v>95.72</v>
      </c>
      <c r="F85" s="3" t="s">
        <v>377</v>
      </c>
      <c r="G85" s="264">
        <f ca="1">+G84+G83</f>
        <v>97.49</v>
      </c>
      <c r="H85" s="264">
        <f ca="1">+H84+H83</f>
        <v>110</v>
      </c>
    </row>
    <row r="86" spans="1:9">
      <c r="A86" s="3" t="s">
        <v>361</v>
      </c>
      <c r="B86" s="5">
        <v>2.09</v>
      </c>
      <c r="C86" s="5">
        <v>2.36</v>
      </c>
      <c r="F86" s="3" t="s">
        <v>362</v>
      </c>
      <c r="G86" s="263">
        <v>1.43</v>
      </c>
      <c r="H86" s="263">
        <v>1.43</v>
      </c>
    </row>
    <row r="87" spans="1:9">
      <c r="A87" s="3" t="s">
        <v>362</v>
      </c>
      <c r="B87" s="261">
        <v>1.43</v>
      </c>
      <c r="C87" s="261">
        <v>1.43</v>
      </c>
      <c r="G87" s="264">
        <f ca="1">+G85+G86</f>
        <v>98.92</v>
      </c>
      <c r="H87" s="264">
        <f ca="1">+H85+H86</f>
        <v>111.43</v>
      </c>
      <c r="I87" s="3" t="s">
        <v>445</v>
      </c>
    </row>
    <row r="88" spans="1:9">
      <c r="A88" s="3" t="s">
        <v>369</v>
      </c>
      <c r="B88" s="5">
        <f>+SUM(B85:B87)</f>
        <v>88.350000000000009</v>
      </c>
      <c r="C88" s="5">
        <f>+SUM(C85:C87)</f>
        <v>99.51</v>
      </c>
      <c r="D88" s="3" t="s">
        <v>363</v>
      </c>
      <c r="F88" s="3" t="s">
        <v>378</v>
      </c>
      <c r="G88" s="264">
        <v>0.06</v>
      </c>
      <c r="H88" s="264">
        <v>0.06</v>
      </c>
      <c r="I88" s="3" t="s">
        <v>445</v>
      </c>
    </row>
    <row r="89" spans="1:9">
      <c r="A89" s="3" t="s">
        <v>364</v>
      </c>
      <c r="B89" s="5">
        <v>0.06</v>
      </c>
      <c r="C89" s="5">
        <v>0.06</v>
      </c>
      <c r="F89" s="3" t="s">
        <v>379</v>
      </c>
      <c r="G89" s="264">
        <v>0.31</v>
      </c>
      <c r="H89" s="264">
        <v>0.31</v>
      </c>
      <c r="I89" s="3" t="s">
        <v>445</v>
      </c>
    </row>
    <row r="90" spans="1:9">
      <c r="A90" s="3" t="s">
        <v>365</v>
      </c>
      <c r="B90" s="261">
        <v>0.31</v>
      </c>
      <c r="C90" s="261">
        <v>0.31</v>
      </c>
      <c r="F90" s="3" t="s">
        <v>372</v>
      </c>
      <c r="G90" s="263">
        <v>0.14000000000000001</v>
      </c>
      <c r="H90" s="263">
        <v>0.14000000000000001</v>
      </c>
      <c r="I90" s="3" t="s">
        <v>445</v>
      </c>
    </row>
    <row r="91" spans="1:9">
      <c r="A91" s="3" t="s">
        <v>368</v>
      </c>
      <c r="B91" s="262">
        <f ca="1">SUM(B88:OFFSET(B91,-1,0))</f>
        <v>88.720000000000013</v>
      </c>
      <c r="C91" s="262">
        <f ca="1">SUM(C88:OFFSET(C91,-1,0))</f>
        <v>99.88000000000001</v>
      </c>
      <c r="D91" s="3" t="s">
        <v>363</v>
      </c>
      <c r="F91" s="3" t="s">
        <v>446</v>
      </c>
      <c r="G91" s="264">
        <f ca="1">SUM(G87:G90)</f>
        <v>99.43</v>
      </c>
      <c r="H91" s="264">
        <f ca="1">SUM(H87:H90)</f>
        <v>111.94000000000001</v>
      </c>
    </row>
    <row r="92" spans="1:9">
      <c r="A92" s="3" t="s">
        <v>376</v>
      </c>
      <c r="B92" s="261">
        <v>5.6</v>
      </c>
      <c r="C92" s="261">
        <v>6.32</v>
      </c>
      <c r="G92" s="153"/>
      <c r="H92" s="153"/>
    </row>
    <row r="93" spans="1:9">
      <c r="A93" s="3" t="s">
        <v>448</v>
      </c>
      <c r="B93" s="5">
        <f ca="1">+B91+B92</f>
        <v>94.320000000000007</v>
      </c>
      <c r="C93" s="5">
        <f ca="1">+C91+C92</f>
        <v>106.20000000000002</v>
      </c>
      <c r="G93" s="7"/>
      <c r="H93" s="7"/>
    </row>
    <row r="94" spans="1:9">
      <c r="A94" s="3" t="s">
        <v>449</v>
      </c>
      <c r="B94" s="261">
        <v>0.14000000000000001</v>
      </c>
      <c r="C94" s="261">
        <v>0.14000000000000001</v>
      </c>
    </row>
    <row r="95" spans="1:9">
      <c r="A95" s="3" t="s">
        <v>447</v>
      </c>
      <c r="B95" s="5">
        <f ca="1">+B93+B94</f>
        <v>94.460000000000008</v>
      </c>
      <c r="C95" s="5">
        <f ca="1">+C93+C94</f>
        <v>106.34000000000002</v>
      </c>
    </row>
    <row r="96" spans="1:9">
      <c r="B96" s="5"/>
      <c r="C96" s="5"/>
    </row>
    <row r="97" spans="2:3">
      <c r="B97" s="5">
        <f ca="1">+B95-B87-B89-B90-B94</f>
        <v>92.52</v>
      </c>
      <c r="C97" s="5">
        <f ca="1">+C95-C87-C89-C90-C94</f>
        <v>104.4</v>
      </c>
    </row>
  </sheetData>
  <mergeCells count="5">
    <mergeCell ref="A4:I4"/>
    <mergeCell ref="A6:I6"/>
    <mergeCell ref="A17:C17"/>
    <mergeCell ref="E72:F72"/>
    <mergeCell ref="C63:D64"/>
  </mergeCells>
  <pageMargins left="0.7" right="0.7" top="0.75" bottom="0.75" header="0.3" footer="0.3"/>
  <pageSetup scale="58" orientation="portrait" r:id="rId1"/>
  <headerFooter>
    <oddFooter xml:space="preserve">&amp;L&amp;F - &amp;A
&amp;R&amp;P of &amp;N
</oddFooter>
  </headerFooter>
  <rowBreaks count="1" manualBreakCount="1">
    <brk id="65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41"/>
  <sheetViews>
    <sheetView showGridLines="0" topLeftCell="A4" zoomScaleNormal="100" zoomScaleSheetLayoutView="100" workbookViewId="0">
      <pane xSplit="3" ySplit="2" topLeftCell="D60" activePane="bottomRight" state="frozen"/>
      <selection activeCell="K25" sqref="K25"/>
      <selection pane="topRight" activeCell="K25" sqref="K25"/>
      <selection pane="bottomLeft" activeCell="K25" sqref="K25"/>
      <selection pane="bottomRight" activeCell="E40" sqref="E40"/>
    </sheetView>
  </sheetViews>
  <sheetFormatPr defaultColWidth="9.140625" defaultRowHeight="13.5" customHeight="1" outlineLevelCol="1"/>
  <cols>
    <col min="1" max="1" width="11.140625" style="104" customWidth="1"/>
    <col min="2" max="2" width="25.85546875" style="104" customWidth="1"/>
    <col min="3" max="3" width="2.5703125" style="85" customWidth="1"/>
    <col min="4" max="4" width="2.7109375" style="85" customWidth="1" outlineLevel="1"/>
    <col min="5" max="5" width="14.7109375" style="85" customWidth="1" outlineLevel="1"/>
    <col min="6" max="6" width="2.7109375" style="85" customWidth="1" outlineLevel="1"/>
    <col min="7" max="7" width="16.42578125" style="85" bestFit="1" customWidth="1"/>
    <col min="8" max="13" width="14.7109375" style="85" customWidth="1" outlineLevel="1"/>
    <col min="14" max="14" width="22" style="85" bestFit="1" customWidth="1"/>
    <col min="15" max="22" width="14.7109375" style="85" customWidth="1"/>
    <col min="23" max="16384" width="9.140625" style="85"/>
  </cols>
  <sheetData>
    <row r="1" spans="1:23" ht="13.5" customHeight="1">
      <c r="A1" s="81" t="s">
        <v>348</v>
      </c>
      <c r="B1" s="82"/>
      <c r="C1" s="83"/>
      <c r="D1" s="274"/>
      <c r="E1" s="274"/>
      <c r="F1" s="274"/>
      <c r="G1" s="274"/>
      <c r="H1" s="274"/>
      <c r="I1" s="274"/>
      <c r="J1" s="274"/>
      <c r="K1" s="275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3" ht="13.5" customHeight="1" thickBot="1">
      <c r="A2" s="81" t="s">
        <v>310</v>
      </c>
      <c r="B2" s="82"/>
      <c r="C2" s="83"/>
      <c r="D2" s="276"/>
      <c r="E2" s="276"/>
      <c r="F2" s="276"/>
      <c r="G2" s="276"/>
      <c r="H2" s="276"/>
      <c r="I2" s="276"/>
      <c r="J2" s="276"/>
      <c r="K2" s="277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3" ht="13.5" customHeight="1">
      <c r="A3" s="152" t="s">
        <v>434</v>
      </c>
      <c r="B3" s="152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</row>
    <row r="4" spans="1:23" ht="15">
      <c r="A4" s="272"/>
      <c r="B4" s="272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</row>
    <row r="5" spans="1:23" s="137" customFormat="1" ht="39.75" customHeight="1">
      <c r="A5" s="133"/>
      <c r="B5" s="134"/>
      <c r="C5" s="135"/>
      <c r="D5" s="136"/>
      <c r="E5" s="150" t="s">
        <v>416</v>
      </c>
      <c r="F5" s="136"/>
      <c r="G5" s="87" t="s">
        <v>70</v>
      </c>
      <c r="H5" s="87" t="s">
        <v>71</v>
      </c>
      <c r="I5" s="87" t="s">
        <v>17</v>
      </c>
      <c r="J5" s="87" t="s">
        <v>72</v>
      </c>
      <c r="K5" s="87" t="s">
        <v>73</v>
      </c>
      <c r="L5" s="87" t="s">
        <v>63</v>
      </c>
      <c r="M5" s="87" t="s">
        <v>271</v>
      </c>
      <c r="N5" s="87" t="s">
        <v>272</v>
      </c>
      <c r="O5" s="150" t="s">
        <v>343</v>
      </c>
      <c r="P5" s="87" t="s">
        <v>275</v>
      </c>
      <c r="Q5" s="150" t="s">
        <v>344</v>
      </c>
      <c r="R5" s="87" t="s">
        <v>336</v>
      </c>
      <c r="S5" s="87" t="s">
        <v>342</v>
      </c>
      <c r="T5" s="87" t="s">
        <v>278</v>
      </c>
      <c r="U5" s="136"/>
      <c r="V5" s="136"/>
    </row>
    <row r="6" spans="1:23" ht="9" customHeight="1">
      <c r="A6" s="88"/>
      <c r="B6" s="89"/>
      <c r="E6" s="90"/>
      <c r="G6" s="91"/>
      <c r="H6" s="91"/>
      <c r="I6" s="91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</row>
    <row r="7" spans="1:23" ht="13.5" customHeight="1">
      <c r="A7" s="92" t="s">
        <v>74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</row>
    <row r="8" spans="1:23" ht="13.5" customHeight="1">
      <c r="A8" s="88"/>
      <c r="B8" s="89"/>
      <c r="N8" s="282"/>
    </row>
    <row r="9" spans="1:23" ht="13.5" customHeight="1">
      <c r="A9" s="94" t="s">
        <v>75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</row>
    <row r="10" spans="1:23" s="83" customFormat="1" ht="13.5" customHeight="1">
      <c r="A10" s="95" t="s">
        <v>76</v>
      </c>
      <c r="B10" s="95" t="s">
        <v>77</v>
      </c>
      <c r="D10" s="108"/>
      <c r="E10" s="110">
        <v>147</v>
      </c>
      <c r="G10" s="97">
        <f>+References!C13</f>
        <v>2.17</v>
      </c>
      <c r="H10" s="98">
        <f>+E10*G10*12</f>
        <v>3827.88</v>
      </c>
      <c r="I10" s="235">
        <f>+References!C19</f>
        <v>20</v>
      </c>
      <c r="J10" s="84">
        <f>+H10*I10</f>
        <v>76557.600000000006</v>
      </c>
      <c r="K10" s="84">
        <f t="shared" ref="K10:K30" si="0">+J10*$H$115</f>
        <v>58049.338549643857</v>
      </c>
      <c r="L10" s="96">
        <f ca="1">+K10*References!$D$69</f>
        <v>162.53814793900261</v>
      </c>
      <c r="M10" s="96">
        <f ca="1">+L10/References!$F$78</f>
        <v>166.29644765602885</v>
      </c>
      <c r="N10" s="109">
        <f ca="1">IFERROR(+M10/H10,)*G10</f>
        <v>9.427236261679639E-2</v>
      </c>
      <c r="O10" s="237">
        <f>+'Proposed Rates'!B13</f>
        <v>9.0487499040186616</v>
      </c>
      <c r="P10" s="109">
        <f t="shared" ref="P10:P28" ca="1" si="1">+O10+N10</f>
        <v>9.1430222666354588</v>
      </c>
      <c r="Q10" s="109">
        <f ca="1">+'Proposed Rates'!G13</f>
        <v>9.1430222666354588</v>
      </c>
      <c r="R10" s="109">
        <f>+E10*O10*12</f>
        <v>15961.99483068892</v>
      </c>
      <c r="S10" s="109">
        <f ca="1">+E10*P10*12</f>
        <v>16128.29127834495</v>
      </c>
      <c r="T10" s="109">
        <f t="shared" ref="T10:T28" ca="1" si="2">+S10-R10</f>
        <v>166.29644765603007</v>
      </c>
      <c r="U10" s="108"/>
      <c r="V10" s="111">
        <f ca="1">((I10*$H$115)*(References!$D$69/References!$F$78))*'Regulated DF Calc'!G10</f>
        <v>9.4272362616796404E-2</v>
      </c>
      <c r="W10" s="143">
        <f ca="1">N10-V10</f>
        <v>0</v>
      </c>
    </row>
    <row r="11" spans="1:23" s="83" customFormat="1" ht="13.5" customHeight="1">
      <c r="A11" s="95" t="s">
        <v>78</v>
      </c>
      <c r="B11" s="95" t="s">
        <v>79</v>
      </c>
      <c r="D11" s="108"/>
      <c r="E11" s="110">
        <v>567</v>
      </c>
      <c r="G11" s="97">
        <f>+References!C12</f>
        <v>4.33</v>
      </c>
      <c r="H11" s="98">
        <f t="shared" ref="H11:H23" si="3">+E11*G11*12</f>
        <v>29461.32</v>
      </c>
      <c r="I11" s="235">
        <f>+References!C19</f>
        <v>20</v>
      </c>
      <c r="J11" s="84">
        <f t="shared" ref="J11:J28" si="4">+H11*I11</f>
        <v>589226.4</v>
      </c>
      <c r="K11" s="84">
        <f t="shared" si="0"/>
        <v>446777.36470301932</v>
      </c>
      <c r="L11" s="96">
        <f ca="1">+K11*References!$D$69</f>
        <v>1250.9766211684528</v>
      </c>
      <c r="M11" s="96">
        <f ca="1">+L11/References!$F$78</f>
        <v>1279.9024157647357</v>
      </c>
      <c r="N11" s="109">
        <f t="shared" ref="N11:N30" ca="1" si="5">IFERROR(+M11/H11,)*G11</f>
        <v>0.18811029038282417</v>
      </c>
      <c r="O11" s="237">
        <f>+'Proposed Rates'!B12</f>
        <v>12.216998656405901</v>
      </c>
      <c r="P11" s="109">
        <f t="shared" ca="1" si="1"/>
        <v>12.405108946788724</v>
      </c>
      <c r="Q11" s="109">
        <f ca="1">+'Proposed Rates'!G12</f>
        <v>12.405108946788724</v>
      </c>
      <c r="R11" s="109">
        <f t="shared" ref="R11:R23" si="6">+E11*O11*12</f>
        <v>83124.458858185739</v>
      </c>
      <c r="S11" s="109">
        <f t="shared" ref="S11:S23" ca="1" si="7">+E11*P11*12</f>
        <v>84404.361273950475</v>
      </c>
      <c r="T11" s="109">
        <f t="shared" ca="1" si="2"/>
        <v>1279.9024157647364</v>
      </c>
      <c r="U11" s="109" t="str">
        <f t="shared" ref="U11:U80" ca="1" si="8">IF(P11=Q11," ","Difference between Calculated Rate and Proposed Tariff")</f>
        <v xml:space="preserve"> </v>
      </c>
      <c r="V11" s="111">
        <f ca="1">((I11*$H$115)*(References!$D$69/References!$F$78))*'Regulated DF Calc'!G11</f>
        <v>0.18811029038282417</v>
      </c>
      <c r="W11" s="143">
        <f t="shared" ref="W11:W29" ca="1" si="9">N11-V11</f>
        <v>0</v>
      </c>
    </row>
    <row r="12" spans="1:23" s="83" customFormat="1" ht="13.5" customHeight="1">
      <c r="A12" s="95" t="s">
        <v>80</v>
      </c>
      <c r="B12" s="95" t="s">
        <v>81</v>
      </c>
      <c r="D12" s="108"/>
      <c r="E12" s="110">
        <v>8093</v>
      </c>
      <c r="G12" s="97">
        <f>+References!C13</f>
        <v>2.17</v>
      </c>
      <c r="H12" s="98">
        <f t="shared" si="3"/>
        <v>210741.71999999997</v>
      </c>
      <c r="I12" s="235">
        <f>+References!C20</f>
        <v>34</v>
      </c>
      <c r="J12" s="84">
        <f t="shared" si="4"/>
        <v>7165218.4799999986</v>
      </c>
      <c r="K12" s="84">
        <f t="shared" si="0"/>
        <v>5432983.7054411899</v>
      </c>
      <c r="L12" s="96">
        <f ca="1">+K12*References!$D$69</f>
        <v>15212.354375235314</v>
      </c>
      <c r="M12" s="96">
        <f ca="1">+L12/References!$F$78</f>
        <v>15564.103105417755</v>
      </c>
      <c r="N12" s="109">
        <f t="shared" ca="1" si="5"/>
        <v>0.16026301644855384</v>
      </c>
      <c r="O12" s="237">
        <f>+'Proposed Rates'!B25</f>
        <v>10.524874836831724</v>
      </c>
      <c r="P12" s="109">
        <f t="shared" ca="1" si="1"/>
        <v>10.685137853280278</v>
      </c>
      <c r="Q12" s="109">
        <f ca="1">+'Proposed Rates'!G25</f>
        <v>10.685137853280278</v>
      </c>
      <c r="R12" s="109">
        <f t="shared" si="6"/>
        <v>1022133.7446537497</v>
      </c>
      <c r="S12" s="109">
        <f t="shared" ca="1" si="7"/>
        <v>1037697.8477591674</v>
      </c>
      <c r="T12" s="109">
        <f t="shared" ca="1" si="2"/>
        <v>15564.103105417686</v>
      </c>
      <c r="U12" s="109" t="str">
        <f t="shared" ca="1" si="8"/>
        <v xml:space="preserve"> </v>
      </c>
      <c r="V12" s="111">
        <f ca="1">((I12*$H$115)*(References!$D$69/References!$F$78))*'Regulated DF Calc'!G12</f>
        <v>0.16026301644855387</v>
      </c>
      <c r="W12" s="143">
        <f t="shared" ca="1" si="9"/>
        <v>0</v>
      </c>
    </row>
    <row r="13" spans="1:23" s="83" customFormat="1" ht="13.5" customHeight="1">
      <c r="A13" s="95" t="s">
        <v>82</v>
      </c>
      <c r="B13" s="95" t="s">
        <v>83</v>
      </c>
      <c r="D13" s="108"/>
      <c r="E13" s="110">
        <v>1232</v>
      </c>
      <c r="G13" s="97">
        <f>+References!C14</f>
        <v>1</v>
      </c>
      <c r="H13" s="98">
        <f t="shared" si="3"/>
        <v>14784</v>
      </c>
      <c r="I13" s="235">
        <f>+References!C20</f>
        <v>34</v>
      </c>
      <c r="J13" s="84">
        <f t="shared" si="4"/>
        <v>502656</v>
      </c>
      <c r="K13" s="84">
        <f t="shared" si="0"/>
        <v>381135.88093160943</v>
      </c>
      <c r="L13" s="96">
        <f ca="1">+K13*References!$D$69</f>
        <v>1067.1804666085052</v>
      </c>
      <c r="M13" s="96">
        <f ca="1">+L13/References!$F$78</f>
        <v>1091.8564217398252</v>
      </c>
      <c r="N13" s="109">
        <f t="shared" ca="1" si="5"/>
        <v>7.3853924630670004E-2</v>
      </c>
      <c r="O13" s="237">
        <f>+'Proposed Rates'!B24</f>
        <v>5.6651957773418085</v>
      </c>
      <c r="P13" s="109">
        <f t="shared" ca="1" si="1"/>
        <v>5.7390497019724789</v>
      </c>
      <c r="Q13" s="109">
        <f ca="1">+'Proposed Rates'!G24</f>
        <v>5.7390497019724789</v>
      </c>
      <c r="R13" s="109">
        <f t="shared" si="6"/>
        <v>83754.254372221301</v>
      </c>
      <c r="S13" s="109">
        <f t="shared" ca="1" si="7"/>
        <v>84846.110793961125</v>
      </c>
      <c r="T13" s="109">
        <f t="shared" ca="1" si="2"/>
        <v>1091.8564217398234</v>
      </c>
      <c r="U13" s="109"/>
      <c r="V13" s="111">
        <f ca="1">((I13*$H$115)*(References!$D$69/References!$F$78))*'Regulated DF Calc'!G13</f>
        <v>7.385392463066999E-2</v>
      </c>
      <c r="W13" s="143">
        <f ca="1">N13-V13</f>
        <v>0</v>
      </c>
    </row>
    <row r="14" spans="1:23" s="83" customFormat="1" ht="13.5" customHeight="1">
      <c r="A14" s="95" t="s">
        <v>84</v>
      </c>
      <c r="B14" s="95" t="s">
        <v>85</v>
      </c>
      <c r="D14" s="108"/>
      <c r="E14" s="110">
        <v>48401</v>
      </c>
      <c r="G14" s="97">
        <f>+References!C12</f>
        <v>4.33</v>
      </c>
      <c r="H14" s="98">
        <f t="shared" si="3"/>
        <v>2514915.96</v>
      </c>
      <c r="I14" s="235">
        <f>+References!C20</f>
        <v>34</v>
      </c>
      <c r="J14" s="84">
        <f t="shared" si="4"/>
        <v>85507142.640000001</v>
      </c>
      <c r="K14" s="84">
        <f t="shared" si="0"/>
        <v>64835275.289743252</v>
      </c>
      <c r="L14" s="96">
        <f ca="1">+K14*References!$D$69</f>
        <v>181538.77081128091</v>
      </c>
      <c r="M14" s="96">
        <f ca="1">+L14/References!$F$78</f>
        <v>185736.41376230909</v>
      </c>
      <c r="N14" s="109">
        <f t="shared" ca="1" si="5"/>
        <v>0.31978749365080111</v>
      </c>
      <c r="O14" s="237">
        <f>+'Proposed Rates'!B14</f>
        <v>15.808897715890032</v>
      </c>
      <c r="P14" s="109">
        <f t="shared" ca="1" si="1"/>
        <v>16.128685209540834</v>
      </c>
      <c r="Q14" s="109">
        <f ca="1">+'Proposed Rates'!G14</f>
        <v>16.128685209540834</v>
      </c>
      <c r="R14" s="109">
        <f t="shared" si="6"/>
        <v>9181997.5001615211</v>
      </c>
      <c r="S14" s="109">
        <f t="shared" ca="1" si="7"/>
        <v>9367733.9139238298</v>
      </c>
      <c r="T14" s="109">
        <f t="shared" ca="1" si="2"/>
        <v>185736.41376230866</v>
      </c>
      <c r="U14" s="109" t="str">
        <f t="shared" ca="1" si="8"/>
        <v xml:space="preserve"> </v>
      </c>
      <c r="V14" s="111">
        <f ca="1">((I14*$H$115)*(References!$D$69/References!$F$78))*'Regulated DF Calc'!G14</f>
        <v>0.31978749365080106</v>
      </c>
      <c r="W14" s="143">
        <f t="shared" ca="1" si="9"/>
        <v>0</v>
      </c>
    </row>
    <row r="15" spans="1:23" s="108" customFormat="1" ht="13.5" customHeight="1">
      <c r="A15" s="107" t="s">
        <v>296</v>
      </c>
      <c r="B15" s="107" t="s">
        <v>85</v>
      </c>
      <c r="E15" s="110">
        <f>INDEX([33]Regulated!$D:$D,MATCH(A15,[33]Regulated!$A:$A,0))</f>
        <v>1.172514619883041</v>
      </c>
      <c r="G15" s="111">
        <v>4.33</v>
      </c>
      <c r="H15" s="98">
        <f t="shared" si="3"/>
        <v>60.923859649122804</v>
      </c>
      <c r="I15" s="235">
        <f>+References!C20</f>
        <v>34</v>
      </c>
      <c r="J15" s="110">
        <f t="shared" ref="J15" si="10">+H15*I15</f>
        <v>2071.4112280701752</v>
      </c>
      <c r="K15" s="110">
        <f t="shared" si="0"/>
        <v>1570.6350728572884</v>
      </c>
      <c r="L15" s="109">
        <f ca="1">+K15*References!$D$69</f>
        <v>4.397778204000403</v>
      </c>
      <c r="M15" s="109">
        <f ca="1">+L15/References!$F$78</f>
        <v>4.4994661387358326</v>
      </c>
      <c r="N15" s="109">
        <f t="shared" ca="1" si="5"/>
        <v>0.31978749365080106</v>
      </c>
      <c r="O15" s="237">
        <f>+'Proposed Rates'!B14</f>
        <v>15.808897715890032</v>
      </c>
      <c r="P15" s="109">
        <f ca="1">+O15+N15</f>
        <v>16.128685209540834</v>
      </c>
      <c r="Q15" s="109">
        <f ca="1">+'Proposed Rates'!G14</f>
        <v>16.128685209540834</v>
      </c>
      <c r="R15" s="109">
        <f t="shared" si="6"/>
        <v>222.43396435340009</v>
      </c>
      <c r="S15" s="109">
        <f t="shared" ca="1" si="7"/>
        <v>226.93343049213593</v>
      </c>
      <c r="T15" s="109">
        <f t="shared" ref="T15" ca="1" si="11">+S15-R15</f>
        <v>4.4994661387358406</v>
      </c>
      <c r="U15" s="109" t="str">
        <f t="shared" ca="1" si="8"/>
        <v xml:space="preserve"> </v>
      </c>
      <c r="V15" s="111">
        <f ca="1">((I15*$H$115)*(References!$D$69/References!$F$78))*'Regulated DF Calc'!G15</f>
        <v>0.31978749365080106</v>
      </c>
      <c r="W15" s="143">
        <f t="shared" ca="1" si="9"/>
        <v>0</v>
      </c>
    </row>
    <row r="16" spans="1:23" s="83" customFormat="1" ht="13.5" customHeight="1">
      <c r="A16" s="95" t="s">
        <v>86</v>
      </c>
      <c r="B16" s="95" t="s">
        <v>87</v>
      </c>
      <c r="D16" s="108"/>
      <c r="E16" s="110">
        <v>13838</v>
      </c>
      <c r="G16" s="97">
        <f>+References!C12</f>
        <v>4.33</v>
      </c>
      <c r="H16" s="98">
        <f t="shared" si="3"/>
        <v>719022.48</v>
      </c>
      <c r="I16" s="235">
        <f>+References!C21</f>
        <v>51</v>
      </c>
      <c r="J16" s="84">
        <f t="shared" si="4"/>
        <v>36670146.479999997</v>
      </c>
      <c r="K16" s="84">
        <f t="shared" si="0"/>
        <v>27804917.44363134</v>
      </c>
      <c r="L16" s="96">
        <f ca="1">+K16*References!$D$69</f>
        <v>77853.768842167672</v>
      </c>
      <c r="M16" s="96">
        <f ca="1">+L16/References!$F$78</f>
        <v>79653.94806851614</v>
      </c>
      <c r="N16" s="109">
        <f t="shared" ca="1" si="5"/>
        <v>0.4796812404762017</v>
      </c>
      <c r="O16" s="237">
        <f>+'Proposed Rates'!B15</f>
        <v>23.043346573835045</v>
      </c>
      <c r="P16" s="109">
        <f t="shared" ca="1" si="1"/>
        <v>23.523027814311245</v>
      </c>
      <c r="Q16" s="109">
        <f ca="1">+'Proposed Rates'!G15</f>
        <v>23.523027814311245</v>
      </c>
      <c r="R16" s="109">
        <f t="shared" si="6"/>
        <v>3826485.9586647525</v>
      </c>
      <c r="S16" s="109">
        <f t="shared" ca="1" si="7"/>
        <v>3906139.9067332679</v>
      </c>
      <c r="T16" s="109">
        <f t="shared" ca="1" si="2"/>
        <v>79653.948068515398</v>
      </c>
      <c r="U16" s="109" t="str">
        <f t="shared" ca="1" si="8"/>
        <v xml:space="preserve"> </v>
      </c>
      <c r="V16" s="111">
        <f ca="1">((I16*$H$115)*(References!$D$69/References!$F$78))*'Regulated DF Calc'!G16</f>
        <v>0.47968124047620164</v>
      </c>
      <c r="W16" s="143">
        <f t="shared" ca="1" si="9"/>
        <v>0</v>
      </c>
    </row>
    <row r="17" spans="1:23" s="83" customFormat="1" ht="13.5" customHeight="1">
      <c r="A17" s="95" t="s">
        <v>88</v>
      </c>
      <c r="B17" s="95" t="s">
        <v>89</v>
      </c>
      <c r="D17" s="108"/>
      <c r="E17" s="110">
        <v>1320</v>
      </c>
      <c r="G17" s="97">
        <f>+References!C12</f>
        <v>4.33</v>
      </c>
      <c r="H17" s="98">
        <f t="shared" si="3"/>
        <v>68587.200000000012</v>
      </c>
      <c r="I17" s="235">
        <f>+References!C22</f>
        <v>77</v>
      </c>
      <c r="J17" s="84">
        <f t="shared" si="4"/>
        <v>5281214.4000000013</v>
      </c>
      <c r="K17" s="84">
        <f t="shared" si="0"/>
        <v>4004448.9725233591</v>
      </c>
      <c r="L17" s="96">
        <f ca="1">+K17*References!$D$69</f>
        <v>11212.457123065393</v>
      </c>
      <c r="M17" s="96">
        <f ca="1">+L17/References!$F$78</f>
        <v>11471.717948706151</v>
      </c>
      <c r="N17" s="109">
        <f t="shared" ca="1" si="5"/>
        <v>0.72422461797387316</v>
      </c>
      <c r="O17" s="237">
        <f>+'Proposed Rates'!B16</f>
        <v>34.195444827162717</v>
      </c>
      <c r="P17" s="109">
        <f t="shared" ca="1" si="1"/>
        <v>34.919669445136591</v>
      </c>
      <c r="Q17" s="109">
        <f ca="1">+'Proposed Rates'!G16</f>
        <v>34.919669445136591</v>
      </c>
      <c r="R17" s="109">
        <f t="shared" si="6"/>
        <v>541655.84606225742</v>
      </c>
      <c r="S17" s="109">
        <f t="shared" ca="1" si="7"/>
        <v>553127.56401096354</v>
      </c>
      <c r="T17" s="109">
        <f t="shared" ca="1" si="2"/>
        <v>11471.717948706122</v>
      </c>
      <c r="U17" s="109" t="str">
        <f t="shared" ca="1" si="8"/>
        <v xml:space="preserve"> </v>
      </c>
      <c r="V17" s="111">
        <f ca="1">((I17*$H$115)*(References!$D$69/References!$F$78))*'Regulated DF Calc'!G17</f>
        <v>0.72422461797387316</v>
      </c>
      <c r="W17" s="143">
        <f t="shared" ca="1" si="9"/>
        <v>0</v>
      </c>
    </row>
    <row r="18" spans="1:23" s="83" customFormat="1" ht="13.5" customHeight="1">
      <c r="A18" s="95" t="s">
        <v>90</v>
      </c>
      <c r="B18" s="95" t="s">
        <v>91</v>
      </c>
      <c r="D18" s="108"/>
      <c r="E18" s="110">
        <v>243</v>
      </c>
      <c r="G18" s="97">
        <f>+References!C12</f>
        <v>4.33</v>
      </c>
      <c r="H18" s="98">
        <f t="shared" si="3"/>
        <v>12626.28</v>
      </c>
      <c r="I18" s="235">
        <f>+References!C23</f>
        <v>97</v>
      </c>
      <c r="J18" s="84">
        <f t="shared" si="4"/>
        <v>1224749.1600000001</v>
      </c>
      <c r="K18" s="84">
        <f t="shared" si="0"/>
        <v>928658.66520413302</v>
      </c>
      <c r="L18" s="96">
        <f ca="1">+K18*References!$D$69</f>
        <v>2600.2442625715698</v>
      </c>
      <c r="M18" s="96">
        <f ca="1">+L18/References!$F$78</f>
        <v>2660.3685927681295</v>
      </c>
      <c r="N18" s="109">
        <f t="shared" ca="1" si="5"/>
        <v>0.91233490835669739</v>
      </c>
      <c r="O18" s="237">
        <f>+'Proposed Rates'!B17</f>
        <v>42.542443483568626</v>
      </c>
      <c r="P18" s="109">
        <f t="shared" ca="1" si="1"/>
        <v>43.454778391925323</v>
      </c>
      <c r="Q18" s="109">
        <f ca="1">+'Proposed Rates'!G17</f>
        <v>43.454778391925323</v>
      </c>
      <c r="R18" s="109">
        <f t="shared" si="6"/>
        <v>124053.7651980861</v>
      </c>
      <c r="S18" s="109">
        <f t="shared" ca="1" si="7"/>
        <v>126714.13379085423</v>
      </c>
      <c r="T18" s="109">
        <f t="shared" ca="1" si="2"/>
        <v>2660.3685927681363</v>
      </c>
      <c r="U18" s="109" t="str">
        <f t="shared" ca="1" si="8"/>
        <v xml:space="preserve"> </v>
      </c>
      <c r="V18" s="111">
        <f ca="1">((I18*$H$115)*(References!$D$69/References!$F$78))*'Regulated DF Calc'!G18</f>
        <v>0.91233490835669717</v>
      </c>
      <c r="W18" s="143">
        <f t="shared" ca="1" si="9"/>
        <v>0</v>
      </c>
    </row>
    <row r="19" spans="1:23" s="83" customFormat="1" ht="13.5" customHeight="1">
      <c r="A19" s="95" t="s">
        <v>92</v>
      </c>
      <c r="B19" s="95" t="s">
        <v>93</v>
      </c>
      <c r="D19" s="108"/>
      <c r="E19" s="110">
        <v>49</v>
      </c>
      <c r="G19" s="97">
        <f>+References!C12</f>
        <v>4.33</v>
      </c>
      <c r="H19" s="98">
        <f t="shared" si="3"/>
        <v>2546.04</v>
      </c>
      <c r="I19" s="235">
        <f>+References!C24</f>
        <v>117</v>
      </c>
      <c r="J19" s="84">
        <f t="shared" si="4"/>
        <v>297886.68</v>
      </c>
      <c r="K19" s="84">
        <f t="shared" si="0"/>
        <v>225870.77882208198</v>
      </c>
      <c r="L19" s="96">
        <f ca="1">+K19*References!$D$69</f>
        <v>632.43818070182886</v>
      </c>
      <c r="M19" s="96">
        <f ca="1">+L19/References!$F$78</f>
        <v>647.06177685883858</v>
      </c>
      <c r="N19" s="109">
        <f t="shared" ca="1" si="5"/>
        <v>1.1004451987395214</v>
      </c>
      <c r="O19" s="237">
        <f>+'Proposed Rates'!B18</f>
        <v>52.95944213997452</v>
      </c>
      <c r="P19" s="109">
        <f t="shared" ca="1" si="1"/>
        <v>54.059887338714042</v>
      </c>
      <c r="Q19" s="109">
        <f ca="1">+'Proposed Rates'!G18</f>
        <v>54.059887338714042</v>
      </c>
      <c r="R19" s="109">
        <f t="shared" si="6"/>
        <v>31140.151978305017</v>
      </c>
      <c r="S19" s="109">
        <f t="shared" ca="1" si="7"/>
        <v>31787.213755163859</v>
      </c>
      <c r="T19" s="109">
        <f t="shared" ca="1" si="2"/>
        <v>647.06177685884177</v>
      </c>
      <c r="U19" s="109" t="str">
        <f t="shared" ca="1" si="8"/>
        <v xml:space="preserve"> </v>
      </c>
      <c r="V19" s="111">
        <f ca="1">((I19*$H$115)*(References!$D$69/References!$F$78))*'Regulated DF Calc'!G19</f>
        <v>1.1004451987395214</v>
      </c>
      <c r="W19" s="143">
        <f t="shared" ca="1" si="9"/>
        <v>0</v>
      </c>
    </row>
    <row r="20" spans="1:23" s="83" customFormat="1" ht="13.5" customHeight="1">
      <c r="A20" s="95" t="s">
        <v>94</v>
      </c>
      <c r="B20" s="95" t="s">
        <v>95</v>
      </c>
      <c r="D20" s="108"/>
      <c r="E20" s="110">
        <v>22</v>
      </c>
      <c r="G20" s="97">
        <f>+References!C12</f>
        <v>4.33</v>
      </c>
      <c r="H20" s="98">
        <f t="shared" si="3"/>
        <v>1143.1200000000001</v>
      </c>
      <c r="I20" s="235">
        <f>+References!C25</f>
        <v>137</v>
      </c>
      <c r="J20" s="84">
        <f t="shared" si="4"/>
        <v>156607.44</v>
      </c>
      <c r="K20" s="84">
        <f t="shared" si="0"/>
        <v>118746.6470207143</v>
      </c>
      <c r="L20" s="96">
        <f ca="1">+K20*References!$D$69</f>
        <v>332.49061165799969</v>
      </c>
      <c r="M20" s="96">
        <f ca="1">+L20/References!$F$78</f>
        <v>340.17864912829924</v>
      </c>
      <c r="N20" s="109">
        <f t="shared" ca="1" si="5"/>
        <v>1.2885554891223454</v>
      </c>
      <c r="O20" s="237">
        <f>+'Proposed Rates'!B19</f>
        <v>63.506440796380424</v>
      </c>
      <c r="P20" s="109">
        <f t="shared" ca="1" si="1"/>
        <v>64.794996285502776</v>
      </c>
      <c r="Q20" s="109">
        <f ca="1">+'Proposed Rates'!G19</f>
        <v>64.794996285502776</v>
      </c>
      <c r="R20" s="109">
        <f t="shared" si="6"/>
        <v>16765.700370244431</v>
      </c>
      <c r="S20" s="109">
        <f t="shared" ca="1" si="7"/>
        <v>17105.879019372733</v>
      </c>
      <c r="T20" s="109">
        <f t="shared" ca="1" si="2"/>
        <v>340.17864912830191</v>
      </c>
      <c r="U20" s="109" t="str">
        <f t="shared" ca="1" si="8"/>
        <v xml:space="preserve"> </v>
      </c>
      <c r="V20" s="111">
        <f ca="1">((I20*$H$115)*(References!$D$69/References!$F$78))*'Regulated DF Calc'!G20</f>
        <v>1.2885554891223459</v>
      </c>
      <c r="W20" s="143">
        <f t="shared" ca="1" si="9"/>
        <v>0</v>
      </c>
    </row>
    <row r="21" spans="1:23" s="83" customFormat="1" ht="13.5" customHeight="1">
      <c r="A21" s="95" t="s">
        <v>96</v>
      </c>
      <c r="B21" s="95" t="s">
        <v>97</v>
      </c>
      <c r="D21" s="108"/>
      <c r="E21" s="110">
        <v>2</v>
      </c>
      <c r="G21" s="97">
        <f>+References!C12</f>
        <v>4.33</v>
      </c>
      <c r="H21" s="98">
        <f t="shared" si="3"/>
        <v>103.92</v>
      </c>
      <c r="I21" s="236">
        <f>+(((References!C25-References!C24)/References!C24)*References!C25)+References!C25</f>
        <v>160.41880341880341</v>
      </c>
      <c r="J21" s="84">
        <f t="shared" si="4"/>
        <v>16670.72205128205</v>
      </c>
      <c r="K21" s="84">
        <f t="shared" si="0"/>
        <v>12640.474469182484</v>
      </c>
      <c r="L21" s="96">
        <f ca="1">+K21*References!$D$69</f>
        <v>35.393328513710912</v>
      </c>
      <c r="M21" s="96">
        <f ca="1">+L21/References!$F$78</f>
        <v>36.211713232771551</v>
      </c>
      <c r="N21" s="109">
        <f t="shared" ca="1" si="5"/>
        <v>1.5088213846988145</v>
      </c>
      <c r="O21" s="237">
        <f>+'Proposed Rates'!B20</f>
        <v>73.620533240206129</v>
      </c>
      <c r="P21" s="109">
        <f t="shared" ca="1" si="1"/>
        <v>75.129354624904948</v>
      </c>
      <c r="Q21" s="109">
        <f ca="1">+'Proposed Rates'!G20</f>
        <v>75.129354624904948</v>
      </c>
      <c r="R21" s="109">
        <f t="shared" si="6"/>
        <v>1766.8927977649471</v>
      </c>
      <c r="S21" s="109">
        <f t="shared" ca="1" si="7"/>
        <v>1803.1045109977188</v>
      </c>
      <c r="T21" s="109">
        <f t="shared" ca="1" si="2"/>
        <v>36.211713232771672</v>
      </c>
      <c r="U21" s="109" t="str">
        <f t="shared" ca="1" si="8"/>
        <v xml:space="preserve"> </v>
      </c>
      <c r="V21" s="111">
        <f ca="1">((I21*$H$115)*(References!$D$69/References!$F$78))*'Regulated DF Calc'!G21</f>
        <v>1.5088213846988148</v>
      </c>
      <c r="W21" s="143">
        <f t="shared" ca="1" si="9"/>
        <v>0</v>
      </c>
    </row>
    <row r="22" spans="1:23" s="83" customFormat="1" ht="13.5" customHeight="1">
      <c r="A22" s="95" t="s">
        <v>98</v>
      </c>
      <c r="B22" s="95" t="s">
        <v>99</v>
      </c>
      <c r="D22" s="108"/>
      <c r="E22" s="110">
        <v>1</v>
      </c>
      <c r="G22" s="97">
        <f>+References!C12</f>
        <v>4.33</v>
      </c>
      <c r="H22" s="98">
        <f t="shared" si="3"/>
        <v>51.96</v>
      </c>
      <c r="I22" s="235">
        <f>+References!C26</f>
        <v>177</v>
      </c>
      <c r="J22" s="84">
        <f t="shared" si="4"/>
        <v>9196.92</v>
      </c>
      <c r="K22" s="84">
        <f t="shared" si="0"/>
        <v>6973.5091316079734</v>
      </c>
      <c r="L22" s="96">
        <f ca="1">+K22*References!$D$69</f>
        <v>19.525825568502302</v>
      </c>
      <c r="M22" s="96">
        <f ca="1">+L22/References!$F$78</f>
        <v>19.977312838655926</v>
      </c>
      <c r="N22" s="109">
        <f t="shared" ca="1" si="5"/>
        <v>1.6647760698879939</v>
      </c>
      <c r="O22" s="237">
        <f>+'Proposed Rates'!B21</f>
        <v>80.880438109192212</v>
      </c>
      <c r="P22" s="109">
        <f t="shared" ca="1" si="1"/>
        <v>82.545214179080205</v>
      </c>
      <c r="Q22" s="109">
        <f ca="1">+'Proposed Rates'!G21</f>
        <v>82.545214179080205</v>
      </c>
      <c r="R22" s="109">
        <f t="shared" si="6"/>
        <v>970.56525731030661</v>
      </c>
      <c r="S22" s="109">
        <f t="shared" ca="1" si="7"/>
        <v>990.54257014896245</v>
      </c>
      <c r="T22" s="109">
        <f t="shared" ca="1" si="2"/>
        <v>19.977312838655848</v>
      </c>
      <c r="U22" s="109" t="str">
        <f t="shared" ca="1" si="8"/>
        <v xml:space="preserve"> </v>
      </c>
      <c r="V22" s="111">
        <f ca="1">((I22*$H$115)*(References!$D$69/References!$F$78))*'Regulated DF Calc'!G22</f>
        <v>1.6647760698879936</v>
      </c>
      <c r="W22" s="143">
        <f t="shared" ca="1" si="9"/>
        <v>0</v>
      </c>
    </row>
    <row r="23" spans="1:23" s="108" customFormat="1" ht="13.5" customHeight="1">
      <c r="A23" s="220" t="s">
        <v>382</v>
      </c>
      <c r="B23" s="220" t="s">
        <v>100</v>
      </c>
      <c r="E23" s="110">
        <v>1</v>
      </c>
      <c r="G23" s="111">
        <f>+References!C12</f>
        <v>4.33</v>
      </c>
      <c r="H23" s="98">
        <f t="shared" si="3"/>
        <v>51.96</v>
      </c>
      <c r="I23" s="235">
        <v>197</v>
      </c>
      <c r="J23" s="110">
        <f t="shared" ref="J23" si="12">+H23*I23</f>
        <v>10236.120000000001</v>
      </c>
      <c r="K23" s="110">
        <f t="shared" si="0"/>
        <v>7761.4762651229985</v>
      </c>
      <c r="L23" s="109">
        <f ca="1">+K23*References!$D$69</f>
        <v>21.732133542344371</v>
      </c>
      <c r="M23" s="109">
        <f ca="1">+L23/References!$F$78</f>
        <v>22.234636323249816</v>
      </c>
      <c r="N23" s="109">
        <f t="shared" ca="1" si="5"/>
        <v>1.8528863602708181</v>
      </c>
      <c r="O23" s="237">
        <f>+'Proposed Rates'!B22</f>
        <v>94.857436765598123</v>
      </c>
      <c r="P23" s="109">
        <f t="shared" ref="P23" ca="1" si="13">+O23+N23</f>
        <v>96.710323125868939</v>
      </c>
      <c r="Q23" s="109">
        <f ca="1">+'Proposed Rates'!G22</f>
        <v>96.710323125868939</v>
      </c>
      <c r="R23" s="109">
        <f t="shared" si="6"/>
        <v>1138.2892411871776</v>
      </c>
      <c r="S23" s="109">
        <f t="shared" ca="1" si="7"/>
        <v>1160.5238775104272</v>
      </c>
      <c r="T23" s="109">
        <f t="shared" ref="T23" ca="1" si="14">+S23-R23</f>
        <v>22.234636323249561</v>
      </c>
      <c r="U23" s="109" t="str">
        <f t="shared" ca="1" si="8"/>
        <v xml:space="preserve"> </v>
      </c>
      <c r="V23" s="111">
        <f ca="1">((I23*$H$115)*(References!$D$69/References!$F$78))*'Regulated DF Calc'!G23</f>
        <v>1.8528863602708181</v>
      </c>
      <c r="W23" s="143">
        <f t="shared" ca="1" si="9"/>
        <v>0</v>
      </c>
    </row>
    <row r="24" spans="1:23" s="83" customFormat="1" ht="13.5" customHeight="1">
      <c r="A24" s="95" t="s">
        <v>101</v>
      </c>
      <c r="B24" s="95" t="s">
        <v>102</v>
      </c>
      <c r="D24" s="108"/>
      <c r="E24" s="110">
        <v>21026</v>
      </c>
      <c r="G24" s="97">
        <f>+References!C15</f>
        <v>1</v>
      </c>
      <c r="H24" s="98">
        <f>+E24*G24*12</f>
        <v>252312</v>
      </c>
      <c r="I24" s="235">
        <f>+References!C33</f>
        <v>34</v>
      </c>
      <c r="J24" s="84">
        <f t="shared" si="4"/>
        <v>8578608</v>
      </c>
      <c r="K24" s="84">
        <f t="shared" si="0"/>
        <v>6504677.7860941719</v>
      </c>
      <c r="L24" s="96">
        <f ca="1">+K24*References!$D$69</f>
        <v>18213.097801063661</v>
      </c>
      <c r="M24" s="96">
        <f ca="1">+L24/References!$F$78</f>
        <v>18634.231431413609</v>
      </c>
      <c r="N24" s="109">
        <f t="shared" ca="1" si="5"/>
        <v>7.3853924630670004E-2</v>
      </c>
      <c r="O24" s="237">
        <f>+'Proposed Rates'!B36</f>
        <v>4.2951957773418084</v>
      </c>
      <c r="P24" s="109">
        <f t="shared" ca="1" si="1"/>
        <v>4.3690497019724788</v>
      </c>
      <c r="Q24" s="109">
        <f ca="1">+'Proposed Rates'!G36</f>
        <v>4.3690497019724788</v>
      </c>
      <c r="R24" s="109">
        <f>+H24*O24</f>
        <v>1083729.4369726663</v>
      </c>
      <c r="S24" s="109">
        <f ca="1">+H24*P24</f>
        <v>1102363.66840408</v>
      </c>
      <c r="T24" s="109">
        <f t="shared" ca="1" si="2"/>
        <v>18634.231431413675</v>
      </c>
      <c r="U24" s="109" t="str">
        <f t="shared" ca="1" si="8"/>
        <v xml:space="preserve"> </v>
      </c>
      <c r="V24" s="111">
        <f ca="1">((I24*$H$115)*(References!$D$69/References!$F$78))*'Regulated DF Calc'!G24</f>
        <v>7.385392463066999E-2</v>
      </c>
      <c r="W24" s="143">
        <f t="shared" ca="1" si="9"/>
        <v>0</v>
      </c>
    </row>
    <row r="25" spans="1:23" s="83" customFormat="1" ht="13.5" customHeight="1">
      <c r="A25" s="95" t="s">
        <v>103</v>
      </c>
      <c r="B25" s="95" t="s">
        <v>104</v>
      </c>
      <c r="D25" s="108"/>
      <c r="E25" s="110">
        <v>290</v>
      </c>
      <c r="G25" s="97">
        <f>+References!C15</f>
        <v>1</v>
      </c>
      <c r="H25" s="98">
        <f t="shared" ref="H25:H29" si="15">+E25*G25*12</f>
        <v>3480</v>
      </c>
      <c r="I25" s="235">
        <f>+References!C33</f>
        <v>34</v>
      </c>
      <c r="J25" s="110">
        <f t="shared" si="4"/>
        <v>118320</v>
      </c>
      <c r="K25" s="110">
        <f t="shared" si="0"/>
        <v>89715.42651799247</v>
      </c>
      <c r="L25" s="109">
        <f ca="1">+K25*References!$D$69</f>
        <v>251.20319425037863</v>
      </c>
      <c r="M25" s="109">
        <f ca="1">+L25/References!$F$78</f>
        <v>257.01165771473154</v>
      </c>
      <c r="N25" s="109">
        <f t="shared" ca="1" si="5"/>
        <v>7.385392463066999E-2</v>
      </c>
      <c r="O25" s="237">
        <f>+'Proposed Rates'!B41</f>
        <v>5.6651957773418085</v>
      </c>
      <c r="P25" s="109">
        <f t="shared" ca="1" si="1"/>
        <v>5.7390497019724789</v>
      </c>
      <c r="Q25" s="109">
        <f ca="1">+'Proposed Rates'!G41</f>
        <v>5.7390497019724789</v>
      </c>
      <c r="R25" s="109">
        <f t="shared" ref="R25:R30" si="16">+H25*O25</f>
        <v>19714.881305149494</v>
      </c>
      <c r="S25" s="109">
        <f t="shared" ref="S25:S30" ca="1" si="17">+H25*P25</f>
        <v>19971.892962864225</v>
      </c>
      <c r="T25" s="109">
        <f t="shared" ca="1" si="2"/>
        <v>257.01165771473097</v>
      </c>
      <c r="U25" s="109" t="str">
        <f t="shared" ca="1" si="8"/>
        <v xml:space="preserve"> </v>
      </c>
      <c r="V25" s="111">
        <f ca="1">((I25*$H$115)*(References!$D$69/References!$F$78))*'Regulated DF Calc'!G25</f>
        <v>7.385392463066999E-2</v>
      </c>
      <c r="W25" s="143">
        <f t="shared" ca="1" si="9"/>
        <v>0</v>
      </c>
    </row>
    <row r="26" spans="1:23" s="108" customFormat="1" ht="13.5" customHeight="1">
      <c r="A26" s="95" t="s">
        <v>380</v>
      </c>
      <c r="B26" s="95" t="s">
        <v>381</v>
      </c>
      <c r="E26" s="110">
        <v>3</v>
      </c>
      <c r="G26" s="97">
        <f>+References!C15</f>
        <v>1</v>
      </c>
      <c r="H26" s="98">
        <f t="shared" si="15"/>
        <v>36</v>
      </c>
      <c r="I26" s="235">
        <f>+References!C33</f>
        <v>34</v>
      </c>
      <c r="J26" s="110">
        <f t="shared" ref="J26" si="18">+H26*I26</f>
        <v>1224</v>
      </c>
      <c r="K26" s="110">
        <f t="shared" si="0"/>
        <v>928.09061915164625</v>
      </c>
      <c r="L26" s="109">
        <f ca="1">+K26*References!$D$69</f>
        <v>2.5986537336246065</v>
      </c>
      <c r="M26" s="109">
        <f ca="1">+L26/References!$F$78</f>
        <v>2.6587412867041196</v>
      </c>
      <c r="N26" s="109">
        <f t="shared" ca="1" si="5"/>
        <v>7.385392463066999E-2</v>
      </c>
      <c r="O26" s="237">
        <f>+'Proposed Rates'!B41</f>
        <v>5.6651957773418085</v>
      </c>
      <c r="P26" s="109">
        <f t="shared" ref="P26" ca="1" si="19">+O26+N26</f>
        <v>5.7390497019724789</v>
      </c>
      <c r="Q26" s="109">
        <f ca="1">+'Proposed Rates'!G41</f>
        <v>5.7390497019724789</v>
      </c>
      <c r="R26" s="109">
        <f t="shared" si="16"/>
        <v>203.9470479843051</v>
      </c>
      <c r="S26" s="109">
        <f t="shared" ca="1" si="17"/>
        <v>206.60578927100923</v>
      </c>
      <c r="T26" s="109">
        <f t="shared" ref="T26" ca="1" si="20">+S26-R26</f>
        <v>2.658741286704128</v>
      </c>
      <c r="U26" s="109" t="str">
        <f t="shared" ca="1" si="8"/>
        <v xml:space="preserve"> </v>
      </c>
      <c r="V26" s="111">
        <f ca="1">((I26*$H$115)*(References!$D$69/References!$F$78))*'Regulated DF Calc'!G26</f>
        <v>7.385392463066999E-2</v>
      </c>
      <c r="W26" s="143">
        <f t="shared" ca="1" si="9"/>
        <v>0</v>
      </c>
    </row>
    <row r="27" spans="1:23" s="83" customFormat="1" ht="13.5" customHeight="1">
      <c r="A27" s="95" t="s">
        <v>105</v>
      </c>
      <c r="B27" s="95" t="s">
        <v>106</v>
      </c>
      <c r="C27" s="108"/>
      <c r="D27" s="108"/>
      <c r="E27" s="110">
        <v>3717</v>
      </c>
      <c r="F27" s="108"/>
      <c r="G27" s="97">
        <f>+References!C15</f>
        <v>1</v>
      </c>
      <c r="H27" s="98">
        <f t="shared" si="15"/>
        <v>44604</v>
      </c>
      <c r="I27" s="235">
        <v>34</v>
      </c>
      <c r="J27" s="110">
        <f t="shared" si="4"/>
        <v>1516536</v>
      </c>
      <c r="K27" s="110">
        <f t="shared" si="0"/>
        <v>1149904.2771288897</v>
      </c>
      <c r="L27" s="109">
        <f ca="1">+K27*References!$D$69</f>
        <v>3219.7319759608877</v>
      </c>
      <c r="M27" s="109">
        <f ca="1">+L27/References!$F$78</f>
        <v>3294.1804542264044</v>
      </c>
      <c r="N27" s="109">
        <f t="shared" ca="1" si="5"/>
        <v>7.385392463066999E-2</v>
      </c>
      <c r="O27" s="237">
        <f>+'Proposed Rates'!B9</f>
        <v>5.5051957773418083</v>
      </c>
      <c r="P27" s="109">
        <f t="shared" ca="1" si="1"/>
        <v>5.5790497019724787</v>
      </c>
      <c r="Q27" s="109">
        <f ca="1">+'Proposed Rates'!G9</f>
        <v>5.5790497019724787</v>
      </c>
      <c r="R27" s="109">
        <f t="shared" si="16"/>
        <v>245553.75245255401</v>
      </c>
      <c r="S27" s="109">
        <f t="shared" ca="1" si="17"/>
        <v>248847.93290678045</v>
      </c>
      <c r="T27" s="109">
        <f t="shared" ca="1" si="2"/>
        <v>3294.1804542264435</v>
      </c>
      <c r="U27" s="109" t="str">
        <f t="shared" ca="1" si="8"/>
        <v xml:space="preserve"> </v>
      </c>
      <c r="V27" s="111">
        <f ca="1">((I27*$H$115)*(References!$D$69/References!$F$78))*'Regulated DF Calc'!G27</f>
        <v>7.385392463066999E-2</v>
      </c>
      <c r="W27" s="143">
        <f t="shared" ca="1" si="9"/>
        <v>0</v>
      </c>
    </row>
    <row r="28" spans="1:23" s="83" customFormat="1" ht="13.5" customHeight="1">
      <c r="A28" s="95" t="s">
        <v>107</v>
      </c>
      <c r="B28" s="95" t="s">
        <v>106</v>
      </c>
      <c r="C28" s="108"/>
      <c r="D28" s="108"/>
      <c r="E28" s="110">
        <v>15</v>
      </c>
      <c r="F28" s="108"/>
      <c r="G28" s="97">
        <f>+References!C15</f>
        <v>1</v>
      </c>
      <c r="H28" s="98">
        <f t="shared" si="15"/>
        <v>180</v>
      </c>
      <c r="I28" s="235">
        <v>34</v>
      </c>
      <c r="J28" s="110">
        <f t="shared" si="4"/>
        <v>6120</v>
      </c>
      <c r="K28" s="110">
        <f t="shared" si="0"/>
        <v>4640.4530957582319</v>
      </c>
      <c r="L28" s="109">
        <f ca="1">+K28*References!$D$69</f>
        <v>12.993268668123035</v>
      </c>
      <c r="M28" s="109">
        <f ca="1">+L28/References!$F$78</f>
        <v>13.293706433520599</v>
      </c>
      <c r="N28" s="109">
        <f t="shared" ca="1" si="5"/>
        <v>7.385392463066999E-2</v>
      </c>
      <c r="O28" s="237">
        <f>+'Proposed Rates'!B9</f>
        <v>5.5051957773418083</v>
      </c>
      <c r="P28" s="109">
        <f t="shared" ca="1" si="1"/>
        <v>5.5790497019724787</v>
      </c>
      <c r="Q28" s="109">
        <f ca="1">+'Proposed Rates'!G9</f>
        <v>5.5790497019724787</v>
      </c>
      <c r="R28" s="109">
        <f t="shared" si="16"/>
        <v>990.93523992152552</v>
      </c>
      <c r="S28" s="109">
        <f t="shared" ca="1" si="17"/>
        <v>1004.2289463550462</v>
      </c>
      <c r="T28" s="109">
        <f t="shared" ca="1" si="2"/>
        <v>13.293706433520697</v>
      </c>
      <c r="U28" s="109" t="str">
        <f t="shared" ca="1" si="8"/>
        <v xml:space="preserve"> </v>
      </c>
      <c r="V28" s="111">
        <f ca="1">((I28*$H$115)*(References!$D$69/References!$F$78))*'Regulated DF Calc'!G28</f>
        <v>7.385392463066999E-2</v>
      </c>
      <c r="W28" s="143">
        <f t="shared" ca="1" si="9"/>
        <v>0</v>
      </c>
    </row>
    <row r="29" spans="1:23" s="108" customFormat="1" ht="13.5" customHeight="1">
      <c r="A29" s="95" t="s">
        <v>297</v>
      </c>
      <c r="B29" s="95" t="s">
        <v>298</v>
      </c>
      <c r="E29" s="110">
        <v>343</v>
      </c>
      <c r="G29" s="97">
        <f>+References!C15</f>
        <v>1</v>
      </c>
      <c r="H29" s="98">
        <f t="shared" si="15"/>
        <v>4116</v>
      </c>
      <c r="I29" s="235">
        <f>References!C36</f>
        <v>125</v>
      </c>
      <c r="J29" s="110">
        <f t="shared" ref="J29" si="21">+H29*I29</f>
        <v>514500</v>
      </c>
      <c r="K29" s="110">
        <f t="shared" si="0"/>
        <v>390116.52251104743</v>
      </c>
      <c r="L29" s="109">
        <f ca="1">+K29*References!$D$69</f>
        <v>1092.3262630309316</v>
      </c>
      <c r="M29" s="109">
        <f ca="1">+L29/References!$F$78</f>
        <v>1117.5836536023446</v>
      </c>
      <c r="N29" s="109">
        <f t="shared" ca="1" si="5"/>
        <v>0.27152178173040442</v>
      </c>
      <c r="O29" s="237">
        <f>+'Proposed Rates'!B49</f>
        <v>19.153219769639001</v>
      </c>
      <c r="P29" s="109">
        <f t="shared" ref="P29" ca="1" si="22">+O29+N29</f>
        <v>19.424741551369404</v>
      </c>
      <c r="Q29" s="109">
        <f ca="1">+'Proposed Rates'!G49</f>
        <v>19.424741551369404</v>
      </c>
      <c r="R29" s="109">
        <f t="shared" si="16"/>
        <v>78834.652571834129</v>
      </c>
      <c r="S29" s="109">
        <f t="shared" ca="1" si="17"/>
        <v>79952.236225436471</v>
      </c>
      <c r="T29" s="109">
        <f t="shared" ref="T29" ca="1" si="23">+S29-R29</f>
        <v>1117.5836536023417</v>
      </c>
      <c r="U29" s="109" t="str">
        <f t="shared" ref="U29" ca="1" si="24">IF(P29=Q29," ","Difference between Calculated Rate and Proposed Tariff")</f>
        <v xml:space="preserve"> </v>
      </c>
      <c r="V29" s="111">
        <f ca="1">((I29*$H$115)*(References!$D$69/References!$F$78))*'Regulated DF Calc'!G29</f>
        <v>0.27152178173040437</v>
      </c>
      <c r="W29" s="143">
        <f t="shared" ca="1" si="9"/>
        <v>0</v>
      </c>
    </row>
    <row r="30" spans="1:23" s="108" customFormat="1" ht="13.5" customHeight="1">
      <c r="A30" s="95"/>
      <c r="B30" s="95" t="s">
        <v>417</v>
      </c>
      <c r="E30" s="110">
        <v>1</v>
      </c>
      <c r="G30" s="97">
        <v>1</v>
      </c>
      <c r="H30" s="98">
        <f t="shared" ref="H30" si="25">+E30*G30</f>
        <v>1</v>
      </c>
      <c r="I30" s="235">
        <f>References!C20</f>
        <v>34</v>
      </c>
      <c r="J30" s="110">
        <f t="shared" ref="J30" si="26">+H30*I30</f>
        <v>34</v>
      </c>
      <c r="K30" s="110">
        <f t="shared" si="0"/>
        <v>25.780294976434618</v>
      </c>
      <c r="L30" s="109">
        <f ca="1">+K30*References!$D$69</f>
        <v>7.2184825934016858E-2</v>
      </c>
      <c r="M30" s="109">
        <f ca="1">+L30/References!$F$78</f>
        <v>7.385392463066999E-2</v>
      </c>
      <c r="N30" s="109">
        <f t="shared" ca="1" si="5"/>
        <v>7.385392463066999E-2</v>
      </c>
      <c r="O30" s="237">
        <v>13.31</v>
      </c>
      <c r="P30" s="109">
        <f t="shared" ref="P30" ca="1" si="27">+O30+N30</f>
        <v>13.383853924630671</v>
      </c>
      <c r="Q30" s="109">
        <f ca="1">+'Proposed Rates'!G50</f>
        <v>19.424741551369404</v>
      </c>
      <c r="R30" s="109">
        <f t="shared" si="16"/>
        <v>13.31</v>
      </c>
      <c r="S30" s="109">
        <f t="shared" ca="1" si="17"/>
        <v>13.383853924630671</v>
      </c>
      <c r="T30" s="109">
        <f t="shared" ref="T30" ca="1" si="28">+S30-R30</f>
        <v>7.385392463067042E-2</v>
      </c>
      <c r="U30" s="109"/>
      <c r="V30" s="111"/>
      <c r="W30" s="143"/>
    </row>
    <row r="31" spans="1:23" s="83" customFormat="1" ht="13.5" customHeight="1">
      <c r="A31" s="99"/>
      <c r="B31" s="99"/>
      <c r="U31" s="96" t="str">
        <f t="shared" si="8"/>
        <v xml:space="preserve"> </v>
      </c>
    </row>
    <row r="32" spans="1:23" s="83" customFormat="1" ht="13.5" customHeight="1">
      <c r="A32" s="82"/>
      <c r="B32" s="100" t="s">
        <v>108</v>
      </c>
      <c r="D32" s="102"/>
      <c r="E32" s="103">
        <f>+SUM(E10:E31)</f>
        <v>99312.172514619888</v>
      </c>
      <c r="F32" s="103"/>
      <c r="G32" s="103"/>
      <c r="H32" s="103">
        <f>+SUM(H10:H31)</f>
        <v>3882653.7638596492</v>
      </c>
      <c r="I32" s="103">
        <f>SUM(I10:I28)</f>
        <v>1359.4188034188035</v>
      </c>
      <c r="J32" s="103">
        <f>+SUM(J10:J31)</f>
        <v>148244922.45327938</v>
      </c>
      <c r="K32" s="103">
        <f>+SUM(K10:K31)</f>
        <v>112405818.5177711</v>
      </c>
      <c r="L32" s="226">
        <f ca="1">+SUM(L10:L31)</f>
        <v>314736.29184975871</v>
      </c>
      <c r="M32" s="226">
        <f ca="1">+SUM(M10:M31)</f>
        <v>322013.80381600035</v>
      </c>
      <c r="N32" s="226"/>
      <c r="O32" s="226"/>
      <c r="P32" s="226"/>
      <c r="Q32" s="226"/>
      <c r="R32" s="226">
        <f>+SUM(R10:R31)</f>
        <v>16360212.472000739</v>
      </c>
      <c r="S32" s="226">
        <f ca="1">+SUM(S10:S31)</f>
        <v>16682226.275816737</v>
      </c>
      <c r="T32" s="226">
        <f ca="1">+SUM(T10:T31)</f>
        <v>322013.80381599918</v>
      </c>
      <c r="U32" s="96" t="str">
        <f t="shared" si="8"/>
        <v xml:space="preserve"> </v>
      </c>
      <c r="V32" s="142"/>
    </row>
    <row r="33" spans="1:23" ht="13.5" customHeight="1">
      <c r="U33" s="96" t="str">
        <f t="shared" si="8"/>
        <v xml:space="preserve"> </v>
      </c>
    </row>
    <row r="34" spans="1:23" ht="13.5" customHeight="1">
      <c r="A34" s="92" t="s">
        <v>109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6" t="str">
        <f t="shared" si="8"/>
        <v xml:space="preserve"> </v>
      </c>
      <c r="V34" s="93"/>
    </row>
    <row r="35" spans="1:23" ht="13.5" customHeight="1">
      <c r="A35" s="88"/>
      <c r="B35" s="88"/>
      <c r="U35" s="96" t="str">
        <f t="shared" si="8"/>
        <v xml:space="preserve"> </v>
      </c>
    </row>
    <row r="36" spans="1:23" ht="13.5" customHeight="1">
      <c r="A36" s="94" t="s">
        <v>110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6" t="str">
        <f t="shared" si="8"/>
        <v xml:space="preserve"> </v>
      </c>
      <c r="V36" s="94"/>
    </row>
    <row r="37" spans="1:23" s="83" customFormat="1" ht="13.5" customHeight="1">
      <c r="A37" s="95" t="s">
        <v>111</v>
      </c>
      <c r="B37" s="95" t="s">
        <v>112</v>
      </c>
      <c r="D37" s="108"/>
      <c r="E37" s="110">
        <v>406</v>
      </c>
      <c r="G37" s="97">
        <f>+References!C12</f>
        <v>4.33</v>
      </c>
      <c r="H37" s="219">
        <f>+E37*G37*12</f>
        <v>21095.760000000002</v>
      </c>
      <c r="I37" s="235">
        <f>+References!C37</f>
        <v>175</v>
      </c>
      <c r="J37" s="84">
        <f t="shared" ref="J37:J100" si="29">+H37*I37</f>
        <v>3691758.0000000005</v>
      </c>
      <c r="K37" s="84">
        <f t="shared" ref="K37:K68" si="30">+J37*$H$115</f>
        <v>2799253.2418121272</v>
      </c>
      <c r="L37" s="96">
        <f ca="1">+K37*References!$D$69</f>
        <v>7837.9090770739476</v>
      </c>
      <c r="M37" s="96">
        <f ca="1">+L37/References!$F$78</f>
        <v>8019.1416790197945</v>
      </c>
      <c r="N37" s="96">
        <f ca="1">IFERROR(+M37/H37,0)</f>
        <v>0.38013049442256613</v>
      </c>
      <c r="O37" s="237">
        <f>+'Proposed Rates'!B75</f>
        <v>20.418507677494606</v>
      </c>
      <c r="P37" s="96">
        <f t="shared" ref="P37:P70" ca="1" si="31">+O37+N37</f>
        <v>20.798638171917172</v>
      </c>
      <c r="Q37" s="96">
        <f ca="1">+'Proposed Rates'!G75</f>
        <v>20.798638171917172</v>
      </c>
      <c r="R37" s="96">
        <f>+E37*O37*G37*12</f>
        <v>430743.93752258364</v>
      </c>
      <c r="S37" s="96">
        <f ca="1">+E37*P37*G37*12</f>
        <v>438763.07920160342</v>
      </c>
      <c r="T37" s="96">
        <f t="shared" ref="T37:T70" ca="1" si="32">+S37-R37</f>
        <v>8019.1416790197836</v>
      </c>
      <c r="U37" s="96" t="str">
        <f t="shared" ca="1" si="8"/>
        <v xml:space="preserve"> </v>
      </c>
      <c r="V37" s="97">
        <f ca="1">((I37*$H$115)*(References!$D$69/References!$F$78))</f>
        <v>0.38013049442256613</v>
      </c>
      <c r="W37" s="116">
        <f t="shared" ref="W37" ca="1" si="33">N37-V37</f>
        <v>0</v>
      </c>
    </row>
    <row r="38" spans="1:23" s="83" customFormat="1" ht="13.5" customHeight="1">
      <c r="A38" s="95" t="s">
        <v>113</v>
      </c>
      <c r="B38" s="95" t="s">
        <v>114</v>
      </c>
      <c r="D38" s="108"/>
      <c r="E38" s="110">
        <v>11</v>
      </c>
      <c r="G38" s="97">
        <f>+References!C11</f>
        <v>8.66</v>
      </c>
      <c r="H38" s="219">
        <f t="shared" ref="H38:H91" si="34">+E38*G38*12</f>
        <v>1143.1200000000001</v>
      </c>
      <c r="I38" s="235">
        <f>+References!C37</f>
        <v>175</v>
      </c>
      <c r="J38" s="84">
        <f t="shared" si="29"/>
        <v>200046.00000000003</v>
      </c>
      <c r="K38" s="84">
        <f t="shared" si="30"/>
        <v>151683.67320164238</v>
      </c>
      <c r="L38" s="96">
        <f ca="1">+K38*References!$D$69</f>
        <v>424.71428496459816</v>
      </c>
      <c r="M38" s="96">
        <f ca="1">+L38/References!$F$78</f>
        <v>434.53477078432388</v>
      </c>
      <c r="N38" s="96">
        <f t="shared" ref="N38:N101" ca="1" si="35">IFERROR(+M38/H38,0)</f>
        <v>0.38013049442256619</v>
      </c>
      <c r="O38" s="237">
        <f>+'Proposed Rates'!B75</f>
        <v>20.418507677494606</v>
      </c>
      <c r="P38" s="96">
        <f t="shared" ca="1" si="31"/>
        <v>20.798638171917172</v>
      </c>
      <c r="Q38" s="96">
        <f ca="1">+'Proposed Rates'!G75</f>
        <v>20.798638171917172</v>
      </c>
      <c r="R38" s="96">
        <f t="shared" ref="R38:R101" si="36">+E38*O38*G38*12</f>
        <v>23340.804496297635</v>
      </c>
      <c r="S38" s="96">
        <f t="shared" ref="S38:S101" ca="1" si="37">+E38*P38*G38*12</f>
        <v>23775.339267081959</v>
      </c>
      <c r="T38" s="96">
        <f t="shared" ca="1" si="32"/>
        <v>434.53477078432479</v>
      </c>
      <c r="U38" s="96" t="str">
        <f t="shared" ca="1" si="8"/>
        <v xml:space="preserve"> </v>
      </c>
      <c r="V38" s="97">
        <f ca="1">((I38*$H$115)*(References!$D$69/References!$F$78))</f>
        <v>0.38013049442256613</v>
      </c>
      <c r="W38" s="116">
        <f t="shared" ref="W38:W99" ca="1" si="38">N38-V38</f>
        <v>0</v>
      </c>
    </row>
    <row r="39" spans="1:23" s="83" customFormat="1" ht="13.5" customHeight="1">
      <c r="A39" s="95" t="s">
        <v>115</v>
      </c>
      <c r="B39" s="95" t="s">
        <v>116</v>
      </c>
      <c r="D39" s="108"/>
      <c r="E39" s="110">
        <v>732</v>
      </c>
      <c r="G39" s="97">
        <f>+References!C13</f>
        <v>2.17</v>
      </c>
      <c r="H39" s="219">
        <f t="shared" si="34"/>
        <v>19061.28</v>
      </c>
      <c r="I39" s="235">
        <f>+References!C37</f>
        <v>175</v>
      </c>
      <c r="J39" s="84">
        <f t="shared" si="29"/>
        <v>3335724</v>
      </c>
      <c r="K39" s="84">
        <f t="shared" si="30"/>
        <v>2529292.6082344824</v>
      </c>
      <c r="L39" s="96">
        <f ca="1">+K39*References!$D$69</f>
        <v>7082.0193030565424</v>
      </c>
      <c r="M39" s="96">
        <f ca="1">+L39/References!$F$78</f>
        <v>7245.773790726972</v>
      </c>
      <c r="N39" s="96">
        <f t="shared" ca="1" si="35"/>
        <v>0.38013049442256619</v>
      </c>
      <c r="O39" s="237">
        <f>+'Proposed Rates'!B75</f>
        <v>20.418507677494606</v>
      </c>
      <c r="P39" s="96">
        <f t="shared" ca="1" si="31"/>
        <v>20.798638171917172</v>
      </c>
      <c r="Q39" s="96">
        <f ca="1">+'Proposed Rates'!G75</f>
        <v>20.798638171917172</v>
      </c>
      <c r="R39" s="96">
        <f t="shared" si="36"/>
        <v>389202.89202287432</v>
      </c>
      <c r="S39" s="96">
        <f t="shared" ca="1" si="37"/>
        <v>396448.66581360134</v>
      </c>
      <c r="T39" s="96">
        <f t="shared" ca="1" si="32"/>
        <v>7245.7737907270202</v>
      </c>
      <c r="U39" s="96" t="str">
        <f t="shared" ca="1" si="8"/>
        <v xml:space="preserve"> </v>
      </c>
      <c r="V39" s="97">
        <f ca="1">((I39*$H$115)*(References!$D$69/References!$F$78))</f>
        <v>0.38013049442256613</v>
      </c>
      <c r="W39" s="116">
        <f t="shared" ca="1" si="38"/>
        <v>0</v>
      </c>
    </row>
    <row r="40" spans="1:23" s="108" customFormat="1" ht="13.5" customHeight="1">
      <c r="A40" s="107" t="s">
        <v>117</v>
      </c>
      <c r="B40" s="107" t="s">
        <v>118</v>
      </c>
      <c r="E40" s="110">
        <v>133</v>
      </c>
      <c r="G40" s="111">
        <f>+References!C12</f>
        <v>4.33</v>
      </c>
      <c r="H40" s="219">
        <f t="shared" si="34"/>
        <v>6910.68</v>
      </c>
      <c r="I40" s="235">
        <f>+References!C38</f>
        <v>250</v>
      </c>
      <c r="J40" s="110">
        <f t="shared" si="29"/>
        <v>1727670</v>
      </c>
      <c r="K40" s="110">
        <f t="shared" si="30"/>
        <v>1309995.3594687295</v>
      </c>
      <c r="L40" s="109">
        <f ca="1">+K40*References!$D$69</f>
        <v>3667.9870065124387</v>
      </c>
      <c r="M40" s="109">
        <f ca="1">+L40/References!$F$78</f>
        <v>3752.8002931373426</v>
      </c>
      <c r="N40" s="96">
        <f t="shared" ca="1" si="35"/>
        <v>0.54304356346080884</v>
      </c>
      <c r="O40" s="237">
        <f>+'Proposed Rates'!B76</f>
        <v>27.576439539278006</v>
      </c>
      <c r="P40" s="109">
        <f t="shared" ca="1" si="31"/>
        <v>28.119483102738815</v>
      </c>
      <c r="Q40" s="109">
        <f ca="1">+'Proposed Rates'!G76</f>
        <v>28.119483102738815</v>
      </c>
      <c r="R40" s="96">
        <f t="shared" si="36"/>
        <v>190571.94919529773</v>
      </c>
      <c r="S40" s="96">
        <f t="shared" ca="1" si="37"/>
        <v>194324.7494884351</v>
      </c>
      <c r="T40" s="109">
        <f t="shared" ca="1" si="32"/>
        <v>3752.8002931373776</v>
      </c>
      <c r="U40" s="96" t="str">
        <f t="shared" ca="1" si="8"/>
        <v xml:space="preserve"> </v>
      </c>
      <c r="V40" s="97">
        <f ca="1">((I40*$H$115)*(References!$D$69/References!$F$78))</f>
        <v>0.54304356346080873</v>
      </c>
      <c r="W40" s="116">
        <f t="shared" ca="1" si="38"/>
        <v>0</v>
      </c>
    </row>
    <row r="41" spans="1:23" s="83" customFormat="1" ht="13.5" customHeight="1">
      <c r="A41" s="95" t="s">
        <v>119</v>
      </c>
      <c r="B41" s="95" t="s">
        <v>120</v>
      </c>
      <c r="D41" s="108"/>
      <c r="E41" s="110">
        <v>2</v>
      </c>
      <c r="G41" s="97">
        <f>+References!C11</f>
        <v>8.66</v>
      </c>
      <c r="H41" s="219">
        <f t="shared" si="34"/>
        <v>207.84</v>
      </c>
      <c r="I41" s="235">
        <f>+References!C38</f>
        <v>250</v>
      </c>
      <c r="J41" s="84">
        <f t="shared" si="29"/>
        <v>51960</v>
      </c>
      <c r="K41" s="84">
        <f t="shared" si="30"/>
        <v>39398.35667575126</v>
      </c>
      <c r="L41" s="96">
        <f ca="1">+K41*References!$D$69</f>
        <v>110.3153986921034</v>
      </c>
      <c r="M41" s="96">
        <f ca="1">+L41/References!$F$78</f>
        <v>112.86617422969449</v>
      </c>
      <c r="N41" s="96">
        <f t="shared" ca="1" si="35"/>
        <v>0.54304356346080873</v>
      </c>
      <c r="O41" s="244">
        <f>+'Proposed Rates'!B76</f>
        <v>27.576439539278006</v>
      </c>
      <c r="P41" s="96">
        <f t="shared" ca="1" si="31"/>
        <v>28.119483102738815</v>
      </c>
      <c r="Q41" s="106">
        <f ca="1">+'Proposed Rates'!G76</f>
        <v>28.119483102738815</v>
      </c>
      <c r="R41" s="96">
        <f t="shared" si="36"/>
        <v>5731.4871938435408</v>
      </c>
      <c r="S41" s="96">
        <f t="shared" ca="1" si="37"/>
        <v>5844.3533680732353</v>
      </c>
      <c r="T41" s="96">
        <f t="shared" ca="1" si="32"/>
        <v>112.86617422969448</v>
      </c>
      <c r="U41" s="96" t="str">
        <f t="shared" ca="1" si="8"/>
        <v xml:space="preserve"> </v>
      </c>
      <c r="V41" s="97">
        <f ca="1">((I41*$H$115)*(References!$D$69/References!$F$78))</f>
        <v>0.54304356346080873</v>
      </c>
      <c r="W41" s="116">
        <f t="shared" ca="1" si="38"/>
        <v>0</v>
      </c>
    </row>
    <row r="42" spans="1:23" s="83" customFormat="1" ht="13.5" customHeight="1">
      <c r="A42" s="95" t="s">
        <v>121</v>
      </c>
      <c r="B42" s="95" t="s">
        <v>122</v>
      </c>
      <c r="D42" s="108"/>
      <c r="E42" s="110">
        <v>201</v>
      </c>
      <c r="G42" s="97">
        <f>+References!C13</f>
        <v>2.17</v>
      </c>
      <c r="H42" s="219">
        <f t="shared" si="34"/>
        <v>5234.0399999999991</v>
      </c>
      <c r="I42" s="235">
        <f>+References!C38</f>
        <v>250</v>
      </c>
      <c r="J42" s="84">
        <f t="shared" si="29"/>
        <v>1308509.9999999998</v>
      </c>
      <c r="K42" s="84">
        <f t="shared" si="30"/>
        <v>992169.8170474841</v>
      </c>
      <c r="L42" s="96">
        <f ca="1">+K42*References!$D$69</f>
        <v>2778.0754877329523</v>
      </c>
      <c r="M42" s="96">
        <f ca="1">+L42/References!$F$78</f>
        <v>2842.3117328964108</v>
      </c>
      <c r="N42" s="96">
        <f t="shared" ca="1" si="35"/>
        <v>0.54304356346080873</v>
      </c>
      <c r="O42" s="237">
        <f>+'Proposed Rates'!B76</f>
        <v>27.576439539278006</v>
      </c>
      <c r="P42" s="96">
        <f t="shared" ca="1" si="31"/>
        <v>28.119483102738815</v>
      </c>
      <c r="Q42" s="96">
        <f ca="1">+'Proposed Rates'!G76</f>
        <v>28.119483102738815</v>
      </c>
      <c r="R42" s="96">
        <f t="shared" si="36"/>
        <v>144336.18760616265</v>
      </c>
      <c r="S42" s="96">
        <f t="shared" ca="1" si="37"/>
        <v>147178.49933905905</v>
      </c>
      <c r="T42" s="96">
        <f t="shared" ca="1" si="32"/>
        <v>2842.3117328963999</v>
      </c>
      <c r="U42" s="96" t="str">
        <f t="shared" ca="1" si="8"/>
        <v xml:space="preserve"> </v>
      </c>
      <c r="V42" s="97">
        <f ca="1">((I42*$H$115)*(References!$D$69/References!$F$78))</f>
        <v>0.54304356346080873</v>
      </c>
      <c r="W42" s="116">
        <f t="shared" ca="1" si="38"/>
        <v>0</v>
      </c>
    </row>
    <row r="43" spans="1:23" s="108" customFormat="1" ht="13.5" customHeight="1">
      <c r="A43" s="107" t="s">
        <v>123</v>
      </c>
      <c r="B43" s="107" t="s">
        <v>124</v>
      </c>
      <c r="E43" s="110">
        <v>510</v>
      </c>
      <c r="G43" s="111">
        <f>+References!C12</f>
        <v>4.33</v>
      </c>
      <c r="H43" s="219">
        <f t="shared" si="34"/>
        <v>26499.600000000002</v>
      </c>
      <c r="I43" s="235">
        <f>+References!C39</f>
        <v>324</v>
      </c>
      <c r="J43" s="110">
        <f t="shared" si="29"/>
        <v>8585870.4000000004</v>
      </c>
      <c r="K43" s="110">
        <f t="shared" si="30"/>
        <v>6510184.4571011383</v>
      </c>
      <c r="L43" s="109">
        <f ca="1">+K43*References!$D$69</f>
        <v>18228.516479883168</v>
      </c>
      <c r="M43" s="109">
        <f ca="1">+L43/References!$F$78</f>
        <v>18650.00662971472</v>
      </c>
      <c r="N43" s="96">
        <f t="shared" ca="1" si="35"/>
        <v>0.70378445824520819</v>
      </c>
      <c r="O43" s="237">
        <f>+'Proposed Rates'!$B$77</f>
        <v>33.001865642904292</v>
      </c>
      <c r="P43" s="109">
        <f t="shared" ca="1" si="31"/>
        <v>33.705650101149502</v>
      </c>
      <c r="Q43" s="109">
        <f ca="1">+'Proposed Rates'!$G$77</f>
        <v>33.705650101149502</v>
      </c>
      <c r="R43" s="96">
        <f t="shared" si="36"/>
        <v>874536.2387907065</v>
      </c>
      <c r="S43" s="96">
        <f t="shared" ca="1" si="37"/>
        <v>893186.24542042124</v>
      </c>
      <c r="T43" s="109">
        <f t="shared" ca="1" si="32"/>
        <v>18650.006629714742</v>
      </c>
      <c r="U43" s="96" t="str">
        <f t="shared" ca="1" si="8"/>
        <v xml:space="preserve"> </v>
      </c>
      <c r="V43" s="97">
        <f ca="1">((I43*$H$115)*(References!$D$69/References!$F$78))</f>
        <v>0.70378445824520819</v>
      </c>
      <c r="W43" s="116">
        <f t="shared" ca="1" si="38"/>
        <v>0</v>
      </c>
    </row>
    <row r="44" spans="1:23" s="83" customFormat="1" ht="13.5" customHeight="1">
      <c r="A44" s="95" t="s">
        <v>125</v>
      </c>
      <c r="B44" s="95" t="s">
        <v>126</v>
      </c>
      <c r="D44" s="108"/>
      <c r="E44" s="110">
        <v>46</v>
      </c>
      <c r="G44" s="97">
        <f>+References!C11</f>
        <v>8.66</v>
      </c>
      <c r="H44" s="219">
        <f t="shared" si="34"/>
        <v>4780.32</v>
      </c>
      <c r="I44" s="235">
        <f>+References!C39</f>
        <v>324</v>
      </c>
      <c r="J44" s="84">
        <f t="shared" si="29"/>
        <v>1548823.68</v>
      </c>
      <c r="K44" s="84">
        <f t="shared" si="30"/>
        <v>1174386.2157907935</v>
      </c>
      <c r="L44" s="96">
        <f ca="1">+K44*References!$D$69</f>
        <v>3288.2814042142181</v>
      </c>
      <c r="M44" s="96">
        <f ca="1">+L44/References!$F$78</f>
        <v>3364.3149214387336</v>
      </c>
      <c r="N44" s="96">
        <f t="shared" ca="1" si="35"/>
        <v>0.70378445824520819</v>
      </c>
      <c r="O44" s="237">
        <f>+'Proposed Rates'!$B$77</f>
        <v>33.001865642904292</v>
      </c>
      <c r="P44" s="96">
        <f t="shared" ca="1" si="31"/>
        <v>33.705650101149502</v>
      </c>
      <c r="Q44" s="96">
        <f ca="1">+'Proposed Rates'!$G$77</f>
        <v>33.705650101149502</v>
      </c>
      <c r="R44" s="96">
        <f t="shared" si="36"/>
        <v>157759.47837008827</v>
      </c>
      <c r="S44" s="96">
        <f t="shared" ca="1" si="37"/>
        <v>161123.79329152696</v>
      </c>
      <c r="T44" s="96">
        <f t="shared" ca="1" si="32"/>
        <v>3364.314921438694</v>
      </c>
      <c r="U44" s="96" t="str">
        <f t="shared" ca="1" si="8"/>
        <v xml:space="preserve"> </v>
      </c>
      <c r="V44" s="97">
        <f ca="1">((I44*$H$115)*(References!$D$69/References!$F$78))</f>
        <v>0.70378445824520819</v>
      </c>
      <c r="W44" s="116">
        <f t="shared" ca="1" si="38"/>
        <v>0</v>
      </c>
    </row>
    <row r="45" spans="1:23" s="83" customFormat="1" ht="13.5" customHeight="1">
      <c r="A45" s="95" t="s">
        <v>127</v>
      </c>
      <c r="B45" s="95" t="s">
        <v>128</v>
      </c>
      <c r="D45" s="108"/>
      <c r="E45" s="110">
        <v>6</v>
      </c>
      <c r="G45" s="97">
        <f>+References!C10</f>
        <v>12.99</v>
      </c>
      <c r="H45" s="219">
        <f t="shared" si="34"/>
        <v>935.28</v>
      </c>
      <c r="I45" s="235">
        <f>+References!C39</f>
        <v>324</v>
      </c>
      <c r="J45" s="84">
        <f t="shared" si="29"/>
        <v>303030.71999999997</v>
      </c>
      <c r="K45" s="84">
        <f t="shared" si="30"/>
        <v>229771.21613298132</v>
      </c>
      <c r="L45" s="96">
        <f ca="1">+K45*References!$D$69</f>
        <v>643.35940517234701</v>
      </c>
      <c r="M45" s="96">
        <f ca="1">+L45/References!$F$78</f>
        <v>658.23552810757826</v>
      </c>
      <c r="N45" s="96">
        <f t="shared" ca="1" si="35"/>
        <v>0.70378445824520819</v>
      </c>
      <c r="O45" s="237">
        <f>+'Proposed Rates'!$B$77</f>
        <v>33.001865642904292</v>
      </c>
      <c r="P45" s="96">
        <f t="shared" ca="1" si="31"/>
        <v>33.705650101149502</v>
      </c>
      <c r="Q45" s="96">
        <f ca="1">+'Proposed Rates'!$G$77</f>
        <v>33.705650101149502</v>
      </c>
      <c r="R45" s="96">
        <f t="shared" si="36"/>
        <v>30865.984898495524</v>
      </c>
      <c r="S45" s="96">
        <f t="shared" ca="1" si="37"/>
        <v>31524.220426603108</v>
      </c>
      <c r="T45" s="96">
        <f t="shared" ca="1" si="32"/>
        <v>658.23552810758338</v>
      </c>
      <c r="U45" s="96" t="str">
        <f t="shared" ca="1" si="8"/>
        <v xml:space="preserve"> </v>
      </c>
      <c r="V45" s="97">
        <f ca="1">((I45*$H$115)*(References!$D$69/References!$F$78))</f>
        <v>0.70378445824520819</v>
      </c>
      <c r="W45" s="116">
        <f t="shared" ca="1" si="38"/>
        <v>0</v>
      </c>
    </row>
    <row r="46" spans="1:23" s="83" customFormat="1" ht="13.5" customHeight="1">
      <c r="A46" s="95" t="s">
        <v>129</v>
      </c>
      <c r="B46" s="95" t="s">
        <v>130</v>
      </c>
      <c r="D46" s="108"/>
      <c r="E46" s="110">
        <v>1</v>
      </c>
      <c r="G46" s="97">
        <f>+References!C9</f>
        <v>17.32</v>
      </c>
      <c r="H46" s="219">
        <f t="shared" si="34"/>
        <v>207.84</v>
      </c>
      <c r="I46" s="235">
        <f>+References!C39</f>
        <v>324</v>
      </c>
      <c r="J46" s="84">
        <f t="shared" si="29"/>
        <v>67340.160000000003</v>
      </c>
      <c r="K46" s="84">
        <f t="shared" si="30"/>
        <v>51060.270251773632</v>
      </c>
      <c r="L46" s="96">
        <f ca="1">+K46*References!$D$69</f>
        <v>142.96875670496601</v>
      </c>
      <c r="M46" s="96">
        <f ca="1">+L46/References!$F$78</f>
        <v>146.27456180168406</v>
      </c>
      <c r="N46" s="96">
        <f t="shared" ca="1" si="35"/>
        <v>0.70378445824520808</v>
      </c>
      <c r="O46" s="237">
        <f>+'Proposed Rates'!$B$77</f>
        <v>33.001865642904292</v>
      </c>
      <c r="P46" s="96">
        <f t="shared" ca="1" si="31"/>
        <v>33.705650101149502</v>
      </c>
      <c r="Q46" s="96">
        <f ca="1">+'Proposed Rates'!$G$77</f>
        <v>33.705650101149502</v>
      </c>
      <c r="R46" s="96">
        <f t="shared" si="36"/>
        <v>6859.1077552212282</v>
      </c>
      <c r="S46" s="96">
        <f t="shared" ca="1" si="37"/>
        <v>7005.3823170229116</v>
      </c>
      <c r="T46" s="96">
        <f t="shared" ca="1" si="32"/>
        <v>146.27456180168338</v>
      </c>
      <c r="U46" s="96" t="str">
        <f t="shared" ca="1" si="8"/>
        <v xml:space="preserve"> </v>
      </c>
      <c r="V46" s="97">
        <f ca="1">((I46*$H$115)*(References!$D$69/References!$F$78))</f>
        <v>0.70378445824520819</v>
      </c>
      <c r="W46" s="116">
        <f t="shared" ca="1" si="38"/>
        <v>0</v>
      </c>
    </row>
    <row r="47" spans="1:23" s="83" customFormat="1" ht="13.5" customHeight="1">
      <c r="A47" s="82" t="s">
        <v>131</v>
      </c>
      <c r="B47" s="95" t="s">
        <v>132</v>
      </c>
      <c r="D47" s="108"/>
      <c r="E47" s="110">
        <v>1</v>
      </c>
      <c r="G47" s="97">
        <f>+References!C8</f>
        <v>21.65</v>
      </c>
      <c r="H47" s="219">
        <f t="shared" si="34"/>
        <v>259.79999999999995</v>
      </c>
      <c r="I47" s="235">
        <f>+References!C39</f>
        <v>324</v>
      </c>
      <c r="J47" s="84">
        <f t="shared" si="29"/>
        <v>84175.199999999983</v>
      </c>
      <c r="K47" s="84">
        <f t="shared" si="30"/>
        <v>63825.33781471703</v>
      </c>
      <c r="L47" s="96">
        <f ca="1">+K47*References!$D$69</f>
        <v>178.71094588120749</v>
      </c>
      <c r="M47" s="96">
        <f ca="1">+L47/References!$F$78</f>
        <v>182.84320225210507</v>
      </c>
      <c r="N47" s="96">
        <f t="shared" ca="1" si="35"/>
        <v>0.7037844582452083</v>
      </c>
      <c r="O47" s="237">
        <f>+'Proposed Rates'!$B$77</f>
        <v>33.001865642904292</v>
      </c>
      <c r="P47" s="96">
        <f t="shared" ca="1" si="31"/>
        <v>33.705650101149502</v>
      </c>
      <c r="Q47" s="96">
        <f ca="1">+'Proposed Rates'!$G$77</f>
        <v>33.705650101149502</v>
      </c>
      <c r="R47" s="96">
        <f t="shared" si="36"/>
        <v>8573.8846940265339</v>
      </c>
      <c r="S47" s="96">
        <f t="shared" ca="1" si="37"/>
        <v>8756.7278962786404</v>
      </c>
      <c r="T47" s="96">
        <f t="shared" ca="1" si="32"/>
        <v>182.84320225210649</v>
      </c>
      <c r="U47" s="96" t="str">
        <f t="shared" ca="1" si="8"/>
        <v xml:space="preserve"> </v>
      </c>
      <c r="V47" s="97">
        <f ca="1">((I47*$H$115)*(References!$D$69/References!$F$78))</f>
        <v>0.70378445824520819</v>
      </c>
      <c r="W47" s="116">
        <f t="shared" ca="1" si="38"/>
        <v>0</v>
      </c>
    </row>
    <row r="48" spans="1:23" s="83" customFormat="1" ht="13.5" customHeight="1">
      <c r="A48" s="95" t="s">
        <v>133</v>
      </c>
      <c r="B48" s="95" t="s">
        <v>134</v>
      </c>
      <c r="D48" s="108"/>
      <c r="E48" s="110">
        <v>401</v>
      </c>
      <c r="G48" s="97">
        <f>+References!C13</f>
        <v>2.17</v>
      </c>
      <c r="H48" s="219">
        <f t="shared" si="34"/>
        <v>10442.039999999999</v>
      </c>
      <c r="I48" s="235">
        <f>+References!C39</f>
        <v>324</v>
      </c>
      <c r="J48" s="84">
        <f t="shared" si="29"/>
        <v>3383220.9599999995</v>
      </c>
      <c r="K48" s="84">
        <f t="shared" si="30"/>
        <v>2565306.8917428325</v>
      </c>
      <c r="L48" s="96">
        <f ca="1">+K48*References!$D$69</f>
        <v>7182.859296879923</v>
      </c>
      <c r="M48" s="96">
        <f ca="1">+L48/References!$F$78</f>
        <v>7348.9454643747931</v>
      </c>
      <c r="N48" s="96">
        <f t="shared" ca="1" si="35"/>
        <v>0.70378445824520819</v>
      </c>
      <c r="O48" s="237">
        <f>+'Proposed Rates'!B77</f>
        <v>33.001865642904292</v>
      </c>
      <c r="P48" s="96">
        <f t="shared" ca="1" si="31"/>
        <v>33.705650101149502</v>
      </c>
      <c r="Q48" s="96">
        <f ca="1">+'Proposed Rates'!G77</f>
        <v>33.705650101149502</v>
      </c>
      <c r="R48" s="96">
        <f t="shared" si="36"/>
        <v>344606.80111783236</v>
      </c>
      <c r="S48" s="96">
        <f t="shared" ca="1" si="37"/>
        <v>351955.7465822071</v>
      </c>
      <c r="T48" s="96">
        <f t="shared" ca="1" si="32"/>
        <v>7348.9454643747304</v>
      </c>
      <c r="U48" s="96" t="str">
        <f t="shared" ca="1" si="8"/>
        <v xml:space="preserve"> </v>
      </c>
      <c r="V48" s="97">
        <f ca="1">((I48*$H$115)*(References!$D$69/References!$F$78))</f>
        <v>0.70378445824520819</v>
      </c>
      <c r="W48" s="116">
        <f t="shared" ca="1" si="38"/>
        <v>0</v>
      </c>
    </row>
    <row r="49" spans="1:23" s="108" customFormat="1" ht="13.5" customHeight="1">
      <c r="A49" s="107" t="s">
        <v>135</v>
      </c>
      <c r="B49" s="107" t="s">
        <v>136</v>
      </c>
      <c r="E49" s="110">
        <v>190</v>
      </c>
      <c r="G49" s="111">
        <f>+References!C12</f>
        <v>4.33</v>
      </c>
      <c r="H49" s="219">
        <f t="shared" si="34"/>
        <v>9872.4000000000015</v>
      </c>
      <c r="I49" s="235">
        <f>+References!C40</f>
        <v>473</v>
      </c>
      <c r="J49" s="110">
        <f t="shared" si="29"/>
        <v>4669645.2000000011</v>
      </c>
      <c r="K49" s="110">
        <f t="shared" si="30"/>
        <v>3540730.3144497667</v>
      </c>
      <c r="L49" s="109">
        <f ca="1">+K49*References!$D$69</f>
        <v>9914.0448804593361</v>
      </c>
      <c r="M49" s="109">
        <f ca="1">+L49/References!$F$78</f>
        <v>10143.283078022647</v>
      </c>
      <c r="N49" s="96">
        <f t="shared" ca="1" si="35"/>
        <v>1.0274384220678503</v>
      </c>
      <c r="O49" s="237">
        <f>+'Proposed Rates'!$B$78</f>
        <v>46.155223608313989</v>
      </c>
      <c r="P49" s="109">
        <f t="shared" ca="1" si="31"/>
        <v>47.182662030381842</v>
      </c>
      <c r="Q49" s="109">
        <f ca="1">+'Proposed Rates'!$G$78</f>
        <v>47.182662030381842</v>
      </c>
      <c r="R49" s="96">
        <f t="shared" si="36"/>
        <v>455662.82955071901</v>
      </c>
      <c r="S49" s="96">
        <f t="shared" ca="1" si="37"/>
        <v>465806.11262874177</v>
      </c>
      <c r="T49" s="109">
        <f t="shared" ca="1" si="32"/>
        <v>10143.283078022767</v>
      </c>
      <c r="U49" s="96" t="str">
        <f t="shared" ca="1" si="8"/>
        <v xml:space="preserve"> </v>
      </c>
      <c r="V49" s="97">
        <f ca="1">((I49*$H$115)*(References!$D$69/References!$F$78))</f>
        <v>1.0274384220678503</v>
      </c>
      <c r="W49" s="116">
        <f t="shared" ca="1" si="38"/>
        <v>0</v>
      </c>
    </row>
    <row r="50" spans="1:23" s="83" customFormat="1" ht="13.5" customHeight="1">
      <c r="A50" s="95" t="s">
        <v>137</v>
      </c>
      <c r="B50" s="95" t="s">
        <v>138</v>
      </c>
      <c r="D50" s="108"/>
      <c r="E50" s="110">
        <v>55</v>
      </c>
      <c r="G50" s="97">
        <f>+References!C11</f>
        <v>8.66</v>
      </c>
      <c r="H50" s="219">
        <f t="shared" si="34"/>
        <v>5715.6</v>
      </c>
      <c r="I50" s="235">
        <f>+References!C40</f>
        <v>473</v>
      </c>
      <c r="J50" s="84">
        <f t="shared" si="29"/>
        <v>2703478.8000000003</v>
      </c>
      <c r="K50" s="84">
        <f t="shared" si="30"/>
        <v>2049896.4978393384</v>
      </c>
      <c r="L50" s="96">
        <f ca="1">+K50*References!$D$69</f>
        <v>5739.7101939501408</v>
      </c>
      <c r="M50" s="96">
        <f ca="1">+L50/References!$F$78</f>
        <v>5872.4270451710054</v>
      </c>
      <c r="N50" s="96">
        <f t="shared" ca="1" si="35"/>
        <v>1.0274384220678503</v>
      </c>
      <c r="O50" s="237">
        <f>+'Proposed Rates'!$B$78</f>
        <v>46.155223608313989</v>
      </c>
      <c r="P50" s="96">
        <f t="shared" ca="1" si="31"/>
        <v>47.182662030381842</v>
      </c>
      <c r="Q50" s="96">
        <f ca="1">+'Proposed Rates'!$G$78</f>
        <v>47.182662030381842</v>
      </c>
      <c r="R50" s="96">
        <f t="shared" si="36"/>
        <v>263804.79605567944</v>
      </c>
      <c r="S50" s="96">
        <f t="shared" ca="1" si="37"/>
        <v>269677.22310085048</v>
      </c>
      <c r="T50" s="96">
        <f t="shared" ca="1" si="32"/>
        <v>5872.4270451710327</v>
      </c>
      <c r="U50" s="96" t="str">
        <f t="shared" ca="1" si="8"/>
        <v xml:space="preserve"> </v>
      </c>
      <c r="V50" s="97">
        <f ca="1">((I50*$H$115)*(References!$D$69/References!$F$78))</f>
        <v>1.0274384220678503</v>
      </c>
      <c r="W50" s="116">
        <f t="shared" ca="1" si="38"/>
        <v>0</v>
      </c>
    </row>
    <row r="51" spans="1:23" s="108" customFormat="1" ht="13.5" customHeight="1">
      <c r="A51" s="107" t="s">
        <v>301</v>
      </c>
      <c r="B51" s="107" t="s">
        <v>138</v>
      </c>
      <c r="E51" s="110">
        <v>1</v>
      </c>
      <c r="G51" s="111">
        <f>+References!C11</f>
        <v>8.66</v>
      </c>
      <c r="H51" s="219">
        <f t="shared" si="34"/>
        <v>103.92</v>
      </c>
      <c r="I51" s="235">
        <f>+References!C40</f>
        <v>473</v>
      </c>
      <c r="J51" s="110">
        <f t="shared" ref="J51" si="39">+H51*I51</f>
        <v>49154.16</v>
      </c>
      <c r="K51" s="110">
        <f t="shared" si="30"/>
        <v>37270.845415260694</v>
      </c>
      <c r="L51" s="109">
        <f ca="1">+K51*References!$D$69</f>
        <v>104.35836716272983</v>
      </c>
      <c r="M51" s="109">
        <f ca="1">+L51/References!$F$78</f>
        <v>106.77140082129101</v>
      </c>
      <c r="N51" s="96">
        <f t="shared" ca="1" si="35"/>
        <v>1.0274384220678503</v>
      </c>
      <c r="O51" s="237">
        <f>+'Proposed Rates'!$B$78</f>
        <v>46.155223608313989</v>
      </c>
      <c r="P51" s="109">
        <f t="shared" ref="P51" ca="1" si="40">+O51+N51</f>
        <v>47.182662030381842</v>
      </c>
      <c r="Q51" s="109">
        <f ca="1">+'Proposed Rates'!$G$78</f>
        <v>47.182662030381842</v>
      </c>
      <c r="R51" s="96">
        <f t="shared" si="36"/>
        <v>4796.45083737599</v>
      </c>
      <c r="S51" s="96">
        <f t="shared" ca="1" si="37"/>
        <v>4903.2222381972806</v>
      </c>
      <c r="T51" s="109">
        <f t="shared" ref="T51" ca="1" si="41">+S51-R51</f>
        <v>106.77140082129063</v>
      </c>
      <c r="U51" s="109" t="str">
        <f t="shared" ca="1" si="8"/>
        <v xml:space="preserve"> </v>
      </c>
      <c r="V51" s="97">
        <f ca="1">((I51*$H$115)*(References!$D$69/References!$F$78))</f>
        <v>1.0274384220678503</v>
      </c>
      <c r="W51" s="116">
        <f t="shared" ca="1" si="38"/>
        <v>0</v>
      </c>
    </row>
    <row r="52" spans="1:23" s="83" customFormat="1" ht="13.5" customHeight="1">
      <c r="A52" s="95" t="s">
        <v>139</v>
      </c>
      <c r="B52" s="95" t="s">
        <v>140</v>
      </c>
      <c r="D52" s="108"/>
      <c r="E52" s="110">
        <v>13</v>
      </c>
      <c r="G52" s="97">
        <f>+References!C10</f>
        <v>12.99</v>
      </c>
      <c r="H52" s="219">
        <f t="shared" si="34"/>
        <v>2026.44</v>
      </c>
      <c r="I52" s="235">
        <f>+References!C40</f>
        <v>473</v>
      </c>
      <c r="J52" s="84">
        <f t="shared" si="29"/>
        <v>958506.12</v>
      </c>
      <c r="K52" s="84">
        <f t="shared" si="30"/>
        <v>726781.48559758347</v>
      </c>
      <c r="L52" s="96">
        <f ca="1">+K52*References!$D$69</f>
        <v>2034.9881596732314</v>
      </c>
      <c r="M52" s="96">
        <f ca="1">+L52/References!$F$78</f>
        <v>2082.042316015174</v>
      </c>
      <c r="N52" s="96">
        <f t="shared" ca="1" si="35"/>
        <v>1.0274384220678501</v>
      </c>
      <c r="O52" s="237">
        <f>+'Proposed Rates'!$B$78</f>
        <v>46.155223608313989</v>
      </c>
      <c r="P52" s="96">
        <f t="shared" ca="1" si="31"/>
        <v>47.182662030381842</v>
      </c>
      <c r="Q52" s="96">
        <f ca="1">+'Proposed Rates'!$G$78</f>
        <v>47.182662030381842</v>
      </c>
      <c r="R52" s="96">
        <f t="shared" si="36"/>
        <v>93530.791328831794</v>
      </c>
      <c r="S52" s="96">
        <f t="shared" ca="1" si="37"/>
        <v>95612.833644846978</v>
      </c>
      <c r="T52" s="96">
        <f t="shared" ca="1" si="32"/>
        <v>2082.042316015184</v>
      </c>
      <c r="U52" s="96" t="str">
        <f t="shared" ca="1" si="8"/>
        <v xml:space="preserve"> </v>
      </c>
      <c r="V52" s="97">
        <f ca="1">((I52*$H$115)*(References!$D$69/References!$F$78))</f>
        <v>1.0274384220678503</v>
      </c>
      <c r="W52" s="116">
        <f t="shared" ca="1" si="38"/>
        <v>0</v>
      </c>
    </row>
    <row r="53" spans="1:23" s="83" customFormat="1" ht="13.5" customHeight="1">
      <c r="A53" s="95" t="s">
        <v>141</v>
      </c>
      <c r="B53" s="95" t="s">
        <v>142</v>
      </c>
      <c r="D53" s="108"/>
      <c r="E53" s="110">
        <v>1</v>
      </c>
      <c r="G53" s="97">
        <f>+References!C9</f>
        <v>17.32</v>
      </c>
      <c r="H53" s="219">
        <f t="shared" si="34"/>
        <v>207.84</v>
      </c>
      <c r="I53" s="235">
        <f>+References!C40</f>
        <v>473</v>
      </c>
      <c r="J53" s="84">
        <f t="shared" si="29"/>
        <v>98308.32</v>
      </c>
      <c r="K53" s="84">
        <f t="shared" si="30"/>
        <v>74541.690830521387</v>
      </c>
      <c r="L53" s="96">
        <f ca="1">+K53*References!$D$69</f>
        <v>208.71673432545967</v>
      </c>
      <c r="M53" s="96">
        <f ca="1">+L53/References!$F$78</f>
        <v>213.54280164258202</v>
      </c>
      <c r="N53" s="96">
        <f t="shared" ca="1" si="35"/>
        <v>1.0274384220678503</v>
      </c>
      <c r="O53" s="237">
        <f>+'Proposed Rates'!$B$78</f>
        <v>46.155223608313989</v>
      </c>
      <c r="P53" s="96">
        <f t="shared" ca="1" si="31"/>
        <v>47.182662030381842</v>
      </c>
      <c r="Q53" s="96">
        <f ca="1">+'Proposed Rates'!$G$78</f>
        <v>47.182662030381842</v>
      </c>
      <c r="R53" s="96">
        <f t="shared" si="36"/>
        <v>9592.90167475198</v>
      </c>
      <c r="S53" s="96">
        <f t="shared" ca="1" si="37"/>
        <v>9806.4444763945612</v>
      </c>
      <c r="T53" s="96">
        <f t="shared" ca="1" si="32"/>
        <v>213.54280164258125</v>
      </c>
      <c r="U53" s="96" t="str">
        <f t="shared" ca="1" si="8"/>
        <v xml:space="preserve"> </v>
      </c>
      <c r="V53" s="97">
        <f ca="1">((I53*$H$115)*(References!$D$69/References!$F$78))</f>
        <v>1.0274384220678503</v>
      </c>
      <c r="W53" s="116">
        <f t="shared" ca="1" si="38"/>
        <v>0</v>
      </c>
    </row>
    <row r="54" spans="1:23" s="83" customFormat="1" ht="13.5" customHeight="1">
      <c r="A54" s="95" t="s">
        <v>143</v>
      </c>
      <c r="B54" s="95" t="s">
        <v>144</v>
      </c>
      <c r="D54" s="108"/>
      <c r="E54" s="110">
        <v>1</v>
      </c>
      <c r="G54" s="97">
        <f>+References!C8</f>
        <v>21.65</v>
      </c>
      <c r="H54" s="219">
        <f t="shared" si="34"/>
        <v>259.79999999999995</v>
      </c>
      <c r="I54" s="235">
        <f>+References!C40</f>
        <v>473</v>
      </c>
      <c r="J54" s="84">
        <f t="shared" si="29"/>
        <v>122885.39999999998</v>
      </c>
      <c r="K54" s="84">
        <f t="shared" si="30"/>
        <v>93177.113538151709</v>
      </c>
      <c r="L54" s="96">
        <f ca="1">+K54*References!$D$69</f>
        <v>260.89591790682448</v>
      </c>
      <c r="M54" s="96">
        <f ca="1">+L54/References!$F$78</f>
        <v>266.92850205322742</v>
      </c>
      <c r="N54" s="96">
        <f t="shared" ca="1" si="35"/>
        <v>1.0274384220678501</v>
      </c>
      <c r="O54" s="237">
        <f>+'Proposed Rates'!$B$78</f>
        <v>46.155223608313989</v>
      </c>
      <c r="P54" s="96">
        <f t="shared" ca="1" si="31"/>
        <v>47.182662030381842</v>
      </c>
      <c r="Q54" s="96">
        <f ca="1">+'Proposed Rates'!$G$78</f>
        <v>47.182662030381842</v>
      </c>
      <c r="R54" s="96">
        <f t="shared" si="36"/>
        <v>11991.127093439973</v>
      </c>
      <c r="S54" s="96">
        <f t="shared" ca="1" si="37"/>
        <v>12258.055595493202</v>
      </c>
      <c r="T54" s="96">
        <f t="shared" ca="1" si="32"/>
        <v>266.92850205322975</v>
      </c>
      <c r="U54" s="96" t="str">
        <f t="shared" ca="1" si="8"/>
        <v xml:space="preserve"> </v>
      </c>
      <c r="V54" s="97">
        <f ca="1">((I54*$H$115)*(References!$D$69/References!$F$78))</f>
        <v>1.0274384220678503</v>
      </c>
      <c r="W54" s="116">
        <f t="shared" ca="1" si="38"/>
        <v>0</v>
      </c>
    </row>
    <row r="55" spans="1:23" s="108" customFormat="1" ht="13.5" customHeight="1">
      <c r="A55" s="220" t="s">
        <v>383</v>
      </c>
      <c r="B55" s="220" t="s">
        <v>302</v>
      </c>
      <c r="E55" s="110">
        <v>1</v>
      </c>
      <c r="G55" s="105">
        <f>+References!C12*6</f>
        <v>25.98</v>
      </c>
      <c r="H55" s="219">
        <f t="shared" si="34"/>
        <v>311.76</v>
      </c>
      <c r="I55" s="235">
        <f>+References!C40</f>
        <v>473</v>
      </c>
      <c r="J55" s="110">
        <f t="shared" ref="J55" si="42">+H55*I55</f>
        <v>147462.47999999998</v>
      </c>
      <c r="K55" s="110">
        <f t="shared" si="30"/>
        <v>111812.53624578206</v>
      </c>
      <c r="L55" s="109">
        <f ca="1">+K55*References!$D$69</f>
        <v>313.07510148818943</v>
      </c>
      <c r="M55" s="109">
        <f ca="1">+L55/References!$F$78</f>
        <v>320.31420246387296</v>
      </c>
      <c r="N55" s="96">
        <f t="shared" ca="1" si="35"/>
        <v>1.0274384220678501</v>
      </c>
      <c r="O55" s="237">
        <f>+'Proposed Rates'!$B$78</f>
        <v>46.155223608313989</v>
      </c>
      <c r="P55" s="109">
        <f t="shared" ref="P55" ca="1" si="43">+O55+N55</f>
        <v>47.182662030381842</v>
      </c>
      <c r="Q55" s="109">
        <f ca="1">+'Proposed Rates'!$G$78</f>
        <v>47.182662030381842</v>
      </c>
      <c r="R55" s="96">
        <f t="shared" si="36"/>
        <v>14389.352512127971</v>
      </c>
      <c r="S55" s="96">
        <f t="shared" ca="1" si="37"/>
        <v>14709.666714591844</v>
      </c>
      <c r="T55" s="109">
        <f t="shared" ref="T55" ca="1" si="44">+S55-R55</f>
        <v>320.31420246387279</v>
      </c>
      <c r="U55" s="109" t="str">
        <f t="shared" ca="1" si="8"/>
        <v xml:space="preserve"> </v>
      </c>
      <c r="V55" s="97">
        <f ca="1">((I55*$H$115)*(References!$D$69/References!$F$78))</f>
        <v>1.0274384220678503</v>
      </c>
      <c r="W55" s="116">
        <f t="shared" ca="1" si="38"/>
        <v>0</v>
      </c>
    </row>
    <row r="56" spans="1:23" s="83" customFormat="1" ht="13.5" customHeight="1">
      <c r="A56" s="95" t="s">
        <v>145</v>
      </c>
      <c r="B56" s="95" t="s">
        <v>146</v>
      </c>
      <c r="D56" s="108"/>
      <c r="E56" s="110">
        <v>35</v>
      </c>
      <c r="G56" s="97">
        <f>+References!C13</f>
        <v>2.17</v>
      </c>
      <c r="H56" s="219">
        <f t="shared" si="34"/>
        <v>911.40000000000009</v>
      </c>
      <c r="I56" s="235">
        <f>+References!C40</f>
        <v>473</v>
      </c>
      <c r="J56" s="84">
        <f t="shared" si="29"/>
        <v>431092.20000000007</v>
      </c>
      <c r="K56" s="84">
        <f t="shared" si="30"/>
        <v>326873.06111882796</v>
      </c>
      <c r="L56" s="96">
        <f ca="1">+K56*References!$D$69</f>
        <v>915.24457113271728</v>
      </c>
      <c r="M56" s="96">
        <f ca="1">+L56/References!$F$78</f>
        <v>936.4073778726389</v>
      </c>
      <c r="N56" s="96">
        <f t="shared" ca="1" si="35"/>
        <v>1.0274384220678503</v>
      </c>
      <c r="O56" s="237">
        <f>+'Proposed Rates'!B78</f>
        <v>46.155223608313989</v>
      </c>
      <c r="P56" s="96">
        <f t="shared" ca="1" si="31"/>
        <v>47.182662030381842</v>
      </c>
      <c r="Q56" s="96">
        <f ca="1">+'Proposed Rates'!G78</f>
        <v>47.182662030381842</v>
      </c>
      <c r="R56" s="96">
        <f t="shared" si="36"/>
        <v>42065.870796617368</v>
      </c>
      <c r="S56" s="96">
        <f t="shared" ca="1" si="37"/>
        <v>43002.278174490013</v>
      </c>
      <c r="T56" s="96">
        <f t="shared" ca="1" si="32"/>
        <v>936.40737787264516</v>
      </c>
      <c r="U56" s="96" t="str">
        <f t="shared" ca="1" si="8"/>
        <v xml:space="preserve"> </v>
      </c>
      <c r="V56" s="97">
        <f ca="1">((I56*$H$115)*(References!$D$69/References!$F$78))</f>
        <v>1.0274384220678503</v>
      </c>
      <c r="W56" s="116">
        <f t="shared" ca="1" si="38"/>
        <v>0</v>
      </c>
    </row>
    <row r="57" spans="1:23" s="108" customFormat="1" ht="13.5" customHeight="1">
      <c r="A57" s="107" t="s">
        <v>147</v>
      </c>
      <c r="B57" s="107" t="s">
        <v>148</v>
      </c>
      <c r="E57" s="110">
        <v>201</v>
      </c>
      <c r="G57" s="111">
        <f>+References!C12</f>
        <v>4.33</v>
      </c>
      <c r="H57" s="219">
        <f t="shared" si="34"/>
        <v>10443.960000000001</v>
      </c>
      <c r="I57" s="235">
        <f>+References!C41</f>
        <v>613</v>
      </c>
      <c r="J57" s="110">
        <f t="shared" si="29"/>
        <v>6402147.4800000004</v>
      </c>
      <c r="K57" s="110">
        <f t="shared" si="30"/>
        <v>4854389.7210893407</v>
      </c>
      <c r="L57" s="109">
        <f ca="1">+K57*References!$D$69</f>
        <v>13592.291219050139</v>
      </c>
      <c r="M57" s="109">
        <f ca="1">+L57/References!$F$78</f>
        <v>13906.57992536335</v>
      </c>
      <c r="N57" s="96">
        <f t="shared" ca="1" si="35"/>
        <v>1.3315428176059032</v>
      </c>
      <c r="O57" s="237">
        <f>+'Proposed Rates'!$B$79</f>
        <v>59.736029750309676</v>
      </c>
      <c r="P57" s="109">
        <f t="shared" ca="1" si="31"/>
        <v>61.067572567915576</v>
      </c>
      <c r="Q57" s="109">
        <f ca="1">+'Proposed Rates'!$G$79</f>
        <v>61.067572567915576</v>
      </c>
      <c r="R57" s="96">
        <f t="shared" si="36"/>
        <v>623880.70527104428</v>
      </c>
      <c r="S57" s="96">
        <f t="shared" ca="1" si="37"/>
        <v>637787.28519640758</v>
      </c>
      <c r="T57" s="109">
        <f t="shared" ca="1" si="32"/>
        <v>13906.579925363301</v>
      </c>
      <c r="U57" s="96" t="str">
        <f t="shared" ca="1" si="8"/>
        <v xml:space="preserve"> </v>
      </c>
      <c r="V57" s="97">
        <f ca="1">((I57*$H$115)*(References!$D$69/References!$F$78))</f>
        <v>1.3315428176059032</v>
      </c>
      <c r="W57" s="116">
        <f t="shared" ca="1" si="38"/>
        <v>0</v>
      </c>
    </row>
    <row r="58" spans="1:23" s="83" customFormat="1" ht="13.5" customHeight="1">
      <c r="A58" s="95" t="s">
        <v>149</v>
      </c>
      <c r="B58" s="95" t="s">
        <v>150</v>
      </c>
      <c r="D58" s="108"/>
      <c r="E58" s="110">
        <v>116</v>
      </c>
      <c r="G58" s="97">
        <f>+References!C11</f>
        <v>8.66</v>
      </c>
      <c r="H58" s="219">
        <f t="shared" si="34"/>
        <v>12054.720000000001</v>
      </c>
      <c r="I58" s="235">
        <f>+References!C41</f>
        <v>613</v>
      </c>
      <c r="J58" s="84">
        <f t="shared" si="29"/>
        <v>7389543.3600000003</v>
      </c>
      <c r="K58" s="84">
        <f t="shared" si="30"/>
        <v>5603076.6929986412</v>
      </c>
      <c r="L58" s="96">
        <f ca="1">+K58*References!$D$69</f>
        <v>15688.614740396179</v>
      </c>
      <c r="M58" s="96">
        <f ca="1">+L58/References!$F$78</f>
        <v>16051.375834250233</v>
      </c>
      <c r="N58" s="96">
        <f t="shared" ca="1" si="35"/>
        <v>1.331542817605903</v>
      </c>
      <c r="O58" s="237">
        <f>+'Proposed Rates'!$B$79</f>
        <v>59.736029750309676</v>
      </c>
      <c r="P58" s="96">
        <f t="shared" ca="1" si="31"/>
        <v>61.067572567915576</v>
      </c>
      <c r="Q58" s="96">
        <f ca="1">+'Proposed Rates'!$G$79</f>
        <v>61.067572567915576</v>
      </c>
      <c r="R58" s="96">
        <f t="shared" si="36"/>
        <v>720101.11255165306</v>
      </c>
      <c r="S58" s="96">
        <f t="shared" ca="1" si="37"/>
        <v>736152.4883859033</v>
      </c>
      <c r="T58" s="96">
        <f t="shared" ca="1" si="32"/>
        <v>16051.375834250241</v>
      </c>
      <c r="U58" s="96" t="str">
        <f t="shared" ca="1" si="8"/>
        <v xml:space="preserve"> </v>
      </c>
      <c r="V58" s="97">
        <f ca="1">((I58*$H$115)*(References!$D$69/References!$F$78))</f>
        <v>1.3315428176059032</v>
      </c>
      <c r="W58" s="116">
        <f t="shared" ca="1" si="38"/>
        <v>0</v>
      </c>
    </row>
    <row r="59" spans="1:23" s="83" customFormat="1" ht="13.5" customHeight="1">
      <c r="A59" s="95" t="s">
        <v>151</v>
      </c>
      <c r="B59" s="95" t="s">
        <v>152</v>
      </c>
      <c r="D59" s="108"/>
      <c r="E59" s="110">
        <v>35</v>
      </c>
      <c r="G59" s="97">
        <f>+References!C10</f>
        <v>12.99</v>
      </c>
      <c r="H59" s="219">
        <f t="shared" si="34"/>
        <v>5455.8</v>
      </c>
      <c r="I59" s="235">
        <f>+References!C41</f>
        <v>613</v>
      </c>
      <c r="J59" s="84">
        <f t="shared" si="29"/>
        <v>3344405.4</v>
      </c>
      <c r="K59" s="84">
        <f t="shared" si="30"/>
        <v>2535875.2274347297</v>
      </c>
      <c r="L59" s="96">
        <f ca="1">+K59*References!$D$69</f>
        <v>7100.4506368172351</v>
      </c>
      <c r="M59" s="96">
        <f ca="1">+L59/References!$F$78</f>
        <v>7264.6313042942857</v>
      </c>
      <c r="N59" s="96">
        <f t="shared" ca="1" si="35"/>
        <v>1.331542817605903</v>
      </c>
      <c r="O59" s="237">
        <f>+'Proposed Rates'!$B$79</f>
        <v>59.736029750309676</v>
      </c>
      <c r="P59" s="96">
        <f t="shared" ca="1" si="31"/>
        <v>61.067572567915576</v>
      </c>
      <c r="Q59" s="96">
        <f ca="1">+'Proposed Rates'!$G$79</f>
        <v>61.067572567915576</v>
      </c>
      <c r="R59" s="96">
        <f t="shared" si="36"/>
        <v>325907.83111173956</v>
      </c>
      <c r="S59" s="96">
        <f t="shared" ca="1" si="37"/>
        <v>333172.46241603384</v>
      </c>
      <c r="T59" s="96">
        <f t="shared" ca="1" si="32"/>
        <v>7264.6313042942784</v>
      </c>
      <c r="U59" s="96" t="str">
        <f t="shared" ca="1" si="8"/>
        <v xml:space="preserve"> </v>
      </c>
      <c r="V59" s="97">
        <f ca="1">((I59*$H$115)*(References!$D$69/References!$F$78))</f>
        <v>1.3315428176059032</v>
      </c>
      <c r="W59" s="116">
        <f t="shared" ca="1" si="38"/>
        <v>0</v>
      </c>
    </row>
    <row r="60" spans="1:23" s="83" customFormat="1" ht="13.5" customHeight="1">
      <c r="A60" s="95" t="s">
        <v>153</v>
      </c>
      <c r="B60" s="95" t="s">
        <v>154</v>
      </c>
      <c r="D60" s="108"/>
      <c r="E60" s="110">
        <v>4</v>
      </c>
      <c r="G60" s="97">
        <f>+References!C9</f>
        <v>17.32</v>
      </c>
      <c r="H60" s="219">
        <f t="shared" si="34"/>
        <v>831.36</v>
      </c>
      <c r="I60" s="235">
        <f>+References!C41</f>
        <v>613</v>
      </c>
      <c r="J60" s="84">
        <f t="shared" si="29"/>
        <v>509623.68</v>
      </c>
      <c r="K60" s="84">
        <f t="shared" si="30"/>
        <v>386419.08227576833</v>
      </c>
      <c r="L60" s="96">
        <f ca="1">+K60*References!$D$69</f>
        <v>1081.9734303721502</v>
      </c>
      <c r="M60" s="96">
        <f ca="1">+L60/References!$F$78</f>
        <v>1106.9914368448437</v>
      </c>
      <c r="N60" s="96">
        <f t="shared" ca="1" si="35"/>
        <v>1.3315428176059032</v>
      </c>
      <c r="O60" s="237">
        <f>+'Proposed Rates'!$B$79</f>
        <v>59.736029750309676</v>
      </c>
      <c r="P60" s="96">
        <f t="shared" ca="1" si="31"/>
        <v>61.067572567915576</v>
      </c>
      <c r="Q60" s="96">
        <f ca="1">+'Proposed Rates'!$G$79</f>
        <v>61.067572567915576</v>
      </c>
      <c r="R60" s="96">
        <f t="shared" si="36"/>
        <v>49662.145693217448</v>
      </c>
      <c r="S60" s="96">
        <f t="shared" ca="1" si="37"/>
        <v>50769.137130062292</v>
      </c>
      <c r="T60" s="96">
        <f t="shared" ca="1" si="32"/>
        <v>1106.9914368448444</v>
      </c>
      <c r="U60" s="96" t="str">
        <f t="shared" ca="1" si="8"/>
        <v xml:space="preserve"> </v>
      </c>
      <c r="V60" s="97">
        <f ca="1">((I60*$H$115)*(References!$D$69/References!$F$78))</f>
        <v>1.3315428176059032</v>
      </c>
      <c r="W60" s="116">
        <f t="shared" ca="1" si="38"/>
        <v>0</v>
      </c>
    </row>
    <row r="61" spans="1:23" s="83" customFormat="1" ht="13.5" customHeight="1">
      <c r="A61" s="95" t="s">
        <v>155</v>
      </c>
      <c r="B61" s="95" t="s">
        <v>156</v>
      </c>
      <c r="D61" s="108"/>
      <c r="E61" s="110">
        <v>3</v>
      </c>
      <c r="G61" s="97">
        <f>+References!C8</f>
        <v>21.65</v>
      </c>
      <c r="H61" s="219">
        <f t="shared" si="34"/>
        <v>779.39999999999986</v>
      </c>
      <c r="I61" s="235">
        <f>+References!C41</f>
        <v>613</v>
      </c>
      <c r="J61" s="84">
        <f t="shared" si="29"/>
        <v>477772.1999999999</v>
      </c>
      <c r="K61" s="84">
        <f t="shared" si="30"/>
        <v>362267.88963353273</v>
      </c>
      <c r="L61" s="96">
        <f ca="1">+K61*References!$D$69</f>
        <v>1014.3500909738906</v>
      </c>
      <c r="M61" s="96">
        <f ca="1">+L61/References!$F$78</f>
        <v>1037.8044720420407</v>
      </c>
      <c r="N61" s="96">
        <f t="shared" ca="1" si="35"/>
        <v>1.3315428176059032</v>
      </c>
      <c r="O61" s="237">
        <f>+'Proposed Rates'!$B$79</f>
        <v>59.736029750309676</v>
      </c>
      <c r="P61" s="96">
        <f t="shared" ca="1" si="31"/>
        <v>61.067572567915576</v>
      </c>
      <c r="Q61" s="96">
        <f ca="1">+'Proposed Rates'!$G$79</f>
        <v>61.067572567915576</v>
      </c>
      <c r="R61" s="96">
        <f t="shared" si="36"/>
        <v>46558.261587391353</v>
      </c>
      <c r="S61" s="96">
        <f t="shared" ca="1" si="37"/>
        <v>47596.066059433397</v>
      </c>
      <c r="T61" s="96">
        <f t="shared" ca="1" si="32"/>
        <v>1037.8044720420439</v>
      </c>
      <c r="U61" s="96" t="str">
        <f t="shared" ca="1" si="8"/>
        <v xml:space="preserve"> </v>
      </c>
      <c r="V61" s="97">
        <f ca="1">((I61*$H$115)*(References!$D$69/References!$F$78))</f>
        <v>1.3315428176059032</v>
      </c>
      <c r="W61" s="116">
        <f t="shared" ca="1" si="38"/>
        <v>0</v>
      </c>
    </row>
    <row r="62" spans="1:23" s="83" customFormat="1" ht="13.5" customHeight="1">
      <c r="A62" s="95" t="s">
        <v>157</v>
      </c>
      <c r="B62" s="95" t="s">
        <v>158</v>
      </c>
      <c r="D62" s="108"/>
      <c r="E62" s="110">
        <v>1</v>
      </c>
      <c r="G62" s="105">
        <f>+References!C12*6</f>
        <v>25.98</v>
      </c>
      <c r="H62" s="219">
        <f t="shared" si="34"/>
        <v>311.76</v>
      </c>
      <c r="I62" s="235">
        <f>+References!C41</f>
        <v>613</v>
      </c>
      <c r="J62" s="84">
        <f t="shared" si="29"/>
        <v>191108.88</v>
      </c>
      <c r="K62" s="84">
        <f t="shared" si="30"/>
        <v>144907.15585341313</v>
      </c>
      <c r="L62" s="96">
        <f ca="1">+K62*References!$D$69</f>
        <v>405.74003638955634</v>
      </c>
      <c r="M62" s="96">
        <f ca="1">+L62/References!$F$78</f>
        <v>415.12178881681638</v>
      </c>
      <c r="N62" s="96">
        <f t="shared" ca="1" si="35"/>
        <v>1.3315428176059032</v>
      </c>
      <c r="O62" s="237">
        <f>+'Proposed Rates'!$B$79</f>
        <v>59.736029750309676</v>
      </c>
      <c r="P62" s="96">
        <f t="shared" ca="1" si="31"/>
        <v>61.067572567915576</v>
      </c>
      <c r="Q62" s="96">
        <f ca="1">+'Proposed Rates'!$G$79</f>
        <v>61.067572567915576</v>
      </c>
      <c r="R62" s="96">
        <f t="shared" si="36"/>
        <v>18623.304634956545</v>
      </c>
      <c r="S62" s="96">
        <f t="shared" ca="1" si="37"/>
        <v>19038.426423773359</v>
      </c>
      <c r="T62" s="96">
        <f t="shared" ca="1" si="32"/>
        <v>415.12178881681393</v>
      </c>
      <c r="U62" s="96" t="str">
        <f t="shared" ca="1" si="8"/>
        <v xml:space="preserve"> </v>
      </c>
      <c r="V62" s="97">
        <f ca="1">((I62*$H$115)*(References!$D$69/References!$F$78))</f>
        <v>1.3315428176059032</v>
      </c>
      <c r="W62" s="116">
        <f t="shared" ca="1" si="38"/>
        <v>0</v>
      </c>
    </row>
    <row r="63" spans="1:23" s="83" customFormat="1" ht="13.5" customHeight="1">
      <c r="A63" s="95" t="s">
        <v>159</v>
      </c>
      <c r="B63" s="95" t="s">
        <v>160</v>
      </c>
      <c r="D63" s="108"/>
      <c r="E63" s="110">
        <v>24</v>
      </c>
      <c r="G63" s="97">
        <f>+References!C13</f>
        <v>2.17</v>
      </c>
      <c r="H63" s="219">
        <f t="shared" si="34"/>
        <v>624.96</v>
      </c>
      <c r="I63" s="235">
        <f>+References!C41</f>
        <v>613</v>
      </c>
      <c r="J63" s="84">
        <f t="shared" si="29"/>
        <v>383100.48000000004</v>
      </c>
      <c r="K63" s="84">
        <f t="shared" si="30"/>
        <v>290483.62882393214</v>
      </c>
      <c r="L63" s="96">
        <f ca="1">+K63*References!$D$69</f>
        <v>813.3541607070091</v>
      </c>
      <c r="M63" s="96">
        <f ca="1">+L63/References!$F$78</f>
        <v>832.16099929098527</v>
      </c>
      <c r="N63" s="96">
        <f t="shared" ca="1" si="35"/>
        <v>1.3315428176059032</v>
      </c>
      <c r="O63" s="237">
        <f>+'Proposed Rates'!B79</f>
        <v>59.736029750309676</v>
      </c>
      <c r="P63" s="96">
        <f t="shared" ca="1" si="31"/>
        <v>61.067572567915576</v>
      </c>
      <c r="Q63" s="96">
        <f ca="1">+'Proposed Rates'!G79</f>
        <v>61.067572567915576</v>
      </c>
      <c r="R63" s="96">
        <f t="shared" si="36"/>
        <v>37332.629152753529</v>
      </c>
      <c r="S63" s="96">
        <f t="shared" ca="1" si="37"/>
        <v>38164.790152044516</v>
      </c>
      <c r="T63" s="96">
        <f t="shared" ca="1" si="32"/>
        <v>832.16099929098709</v>
      </c>
      <c r="U63" s="96" t="str">
        <f t="shared" ca="1" si="8"/>
        <v xml:space="preserve"> </v>
      </c>
      <c r="V63" s="97">
        <f ca="1">((I63*$H$115)*(References!$D$69/References!$F$78))</f>
        <v>1.3315428176059032</v>
      </c>
      <c r="W63" s="116">
        <f t="shared" ca="1" si="38"/>
        <v>0</v>
      </c>
    </row>
    <row r="64" spans="1:23" s="108" customFormat="1" ht="13.5" customHeight="1">
      <c r="A64" s="107" t="s">
        <v>161</v>
      </c>
      <c r="B64" s="107" t="s">
        <v>162</v>
      </c>
      <c r="E64" s="110">
        <v>3</v>
      </c>
      <c r="G64" s="111">
        <f>+References!C12</f>
        <v>4.33</v>
      </c>
      <c r="H64" s="219">
        <f t="shared" si="34"/>
        <v>155.88</v>
      </c>
      <c r="I64" s="235">
        <f>+References!C42</f>
        <v>728</v>
      </c>
      <c r="J64" s="110">
        <f t="shared" si="29"/>
        <v>113480.64</v>
      </c>
      <c r="K64" s="110">
        <f t="shared" si="30"/>
        <v>86046.01097984075</v>
      </c>
      <c r="L64" s="109">
        <f ca="1">+K64*References!$D$69</f>
        <v>240.92883074355385</v>
      </c>
      <c r="M64" s="109">
        <f ca="1">+L64/References!$F$78</f>
        <v>246.49972451765279</v>
      </c>
      <c r="N64" s="96">
        <f t="shared" ca="1" si="35"/>
        <v>1.5813428567978753</v>
      </c>
      <c r="O64" s="237">
        <f>+'Proposed Rates'!$B$80</f>
        <v>73.164191938377556</v>
      </c>
      <c r="P64" s="109">
        <f t="shared" ca="1" si="31"/>
        <v>74.745534795175431</v>
      </c>
      <c r="Q64" s="109">
        <f ca="1">+'Proposed Rates'!$G$80</f>
        <v>74.745534795175431</v>
      </c>
      <c r="R64" s="96">
        <f t="shared" si="36"/>
        <v>11404.834239354293</v>
      </c>
      <c r="S64" s="96">
        <f t="shared" ca="1" si="37"/>
        <v>11651.333963871944</v>
      </c>
      <c r="T64" s="109">
        <f t="shared" ca="1" si="32"/>
        <v>246.49972451765098</v>
      </c>
      <c r="U64" s="96" t="str">
        <f t="shared" ca="1" si="8"/>
        <v xml:space="preserve"> </v>
      </c>
      <c r="V64" s="97">
        <f ca="1">((I64*$H$115)*(References!$D$69/References!$F$78))</f>
        <v>1.5813428567978751</v>
      </c>
      <c r="W64" s="116">
        <f t="shared" ca="1" si="38"/>
        <v>0</v>
      </c>
    </row>
    <row r="65" spans="1:23" s="83" customFormat="1" ht="13.5" customHeight="1">
      <c r="A65" s="95" t="s">
        <v>163</v>
      </c>
      <c r="B65" s="95" t="s">
        <v>164</v>
      </c>
      <c r="D65" s="108"/>
      <c r="E65" s="110">
        <v>1</v>
      </c>
      <c r="G65" s="97">
        <f>+References!C13</f>
        <v>2.17</v>
      </c>
      <c r="H65" s="219">
        <f t="shared" si="34"/>
        <v>26.04</v>
      </c>
      <c r="I65" s="235">
        <f>+References!C42</f>
        <v>728</v>
      </c>
      <c r="J65" s="84">
        <f t="shared" si="29"/>
        <v>18957.12</v>
      </c>
      <c r="K65" s="84">
        <f t="shared" si="30"/>
        <v>14374.121926578477</v>
      </c>
      <c r="L65" s="96">
        <f ca="1">+K65*References!$D$69</f>
        <v>40.247541394419692</v>
      </c>
      <c r="M65" s="96">
        <f ca="1">+L65/References!$F$78</f>
        <v>41.178167991016664</v>
      </c>
      <c r="N65" s="96">
        <f t="shared" ca="1" si="35"/>
        <v>1.5813428567978751</v>
      </c>
      <c r="O65" s="237">
        <f>+'Proposed Rates'!B80</f>
        <v>73.164191938377556</v>
      </c>
      <c r="P65" s="96">
        <f t="shared" ca="1" si="31"/>
        <v>74.745534795175431</v>
      </c>
      <c r="Q65" s="96">
        <f ca="1">+'Proposed Rates'!G80</f>
        <v>74.745534795175431</v>
      </c>
      <c r="R65" s="96">
        <f t="shared" si="36"/>
        <v>1905.1955580753515</v>
      </c>
      <c r="S65" s="96">
        <f t="shared" ca="1" si="37"/>
        <v>1946.3737260663679</v>
      </c>
      <c r="T65" s="96">
        <f t="shared" ca="1" si="32"/>
        <v>41.17816799101638</v>
      </c>
      <c r="U65" s="96" t="str">
        <f t="shared" ca="1" si="8"/>
        <v xml:space="preserve"> </v>
      </c>
      <c r="V65" s="97">
        <f ca="1">((I65*$H$115)*(References!$D$69/References!$F$78))</f>
        <v>1.5813428567978751</v>
      </c>
      <c r="W65" s="116">
        <f t="shared" ca="1" si="38"/>
        <v>0</v>
      </c>
    </row>
    <row r="66" spans="1:23" s="108" customFormat="1" ht="13.5" customHeight="1">
      <c r="A66" s="107" t="s">
        <v>165</v>
      </c>
      <c r="B66" s="107" t="s">
        <v>166</v>
      </c>
      <c r="E66" s="110">
        <v>79</v>
      </c>
      <c r="G66" s="111">
        <f>+References!C12</f>
        <v>4.33</v>
      </c>
      <c r="H66" s="219">
        <f t="shared" si="34"/>
        <v>4104.84</v>
      </c>
      <c r="I66" s="235">
        <f>+References!C43</f>
        <v>840</v>
      </c>
      <c r="J66" s="110">
        <f t="shared" si="29"/>
        <v>3448065.6</v>
      </c>
      <c r="K66" s="110">
        <f t="shared" si="30"/>
        <v>2614474.9490028536</v>
      </c>
      <c r="L66" s="109">
        <f ca="1">+K66*References!$D$69</f>
        <v>7320.5298572079819</v>
      </c>
      <c r="M66" s="109">
        <f ca="1">+L66/References!$F$78</f>
        <v>7489.7993218825268</v>
      </c>
      <c r="N66" s="96">
        <f t="shared" ca="1" si="35"/>
        <v>1.8246263732283174</v>
      </c>
      <c r="O66" s="237">
        <f>+'Proposed Rates'!$B$81</f>
        <v>86.484836851974094</v>
      </c>
      <c r="P66" s="109">
        <f t="shared" ca="1" si="31"/>
        <v>88.309463225202407</v>
      </c>
      <c r="Q66" s="109">
        <f ca="1">+'Proposed Rates'!$G$81</f>
        <v>88.309463225202407</v>
      </c>
      <c r="R66" s="96">
        <f t="shared" si="36"/>
        <v>355006.41770345729</v>
      </c>
      <c r="S66" s="96">
        <f t="shared" ca="1" si="37"/>
        <v>362496.21702533989</v>
      </c>
      <c r="T66" s="109">
        <f t="shared" ca="1" si="32"/>
        <v>7489.7993218826014</v>
      </c>
      <c r="U66" s="96" t="str">
        <f t="shared" ca="1" si="8"/>
        <v xml:space="preserve"> </v>
      </c>
      <c r="V66" s="97">
        <f ca="1">((I66*$H$115)*(References!$D$69/References!$F$78))</f>
        <v>1.8246263732283177</v>
      </c>
      <c r="W66" s="116">
        <f t="shared" ca="1" si="38"/>
        <v>0</v>
      </c>
    </row>
    <row r="67" spans="1:23" s="83" customFormat="1" ht="13.5" customHeight="1">
      <c r="A67" s="95" t="s">
        <v>167</v>
      </c>
      <c r="B67" s="95" t="s">
        <v>168</v>
      </c>
      <c r="D67" s="108"/>
      <c r="E67" s="110">
        <v>27</v>
      </c>
      <c r="G67" s="97">
        <f>+References!C11</f>
        <v>8.66</v>
      </c>
      <c r="H67" s="219">
        <f t="shared" si="34"/>
        <v>2805.84</v>
      </c>
      <c r="I67" s="235">
        <f>+References!C43</f>
        <v>840</v>
      </c>
      <c r="J67" s="84">
        <f t="shared" si="29"/>
        <v>2356905.6</v>
      </c>
      <c r="K67" s="84">
        <f t="shared" si="30"/>
        <v>1787109.4588120773</v>
      </c>
      <c r="L67" s="96">
        <f ca="1">+K67*References!$D$69</f>
        <v>5003.9064846738111</v>
      </c>
      <c r="M67" s="96">
        <f ca="1">+L67/References!$F$78</f>
        <v>5119.6096630589427</v>
      </c>
      <c r="N67" s="96">
        <f t="shared" ca="1" si="35"/>
        <v>1.8246263732283174</v>
      </c>
      <c r="O67" s="237">
        <f>+'Proposed Rates'!$B$81</f>
        <v>86.484836851974094</v>
      </c>
      <c r="P67" s="96">
        <f t="shared" ca="1" si="31"/>
        <v>88.309463225202407</v>
      </c>
      <c r="Q67" s="96">
        <f ca="1">+'Proposed Rates'!$G$81</f>
        <v>88.309463225202407</v>
      </c>
      <c r="R67" s="96">
        <f t="shared" si="36"/>
        <v>242662.614632743</v>
      </c>
      <c r="S67" s="96">
        <f t="shared" ca="1" si="37"/>
        <v>247782.22429580195</v>
      </c>
      <c r="T67" s="96">
        <f t="shared" ca="1" si="32"/>
        <v>5119.6096630589454</v>
      </c>
      <c r="U67" s="96" t="str">
        <f t="shared" ca="1" si="8"/>
        <v xml:space="preserve"> </v>
      </c>
      <c r="V67" s="97">
        <f ca="1">((I67*$H$115)*(References!$D$69/References!$F$78))</f>
        <v>1.8246263732283177</v>
      </c>
      <c r="W67" s="116">
        <f t="shared" ca="1" si="38"/>
        <v>0</v>
      </c>
    </row>
    <row r="68" spans="1:23" s="83" customFormat="1" ht="13.5" customHeight="1">
      <c r="A68" s="95" t="s">
        <v>169</v>
      </c>
      <c r="B68" s="95" t="s">
        <v>170</v>
      </c>
      <c r="D68" s="108"/>
      <c r="E68" s="110">
        <v>10</v>
      </c>
      <c r="G68" s="97">
        <f>+References!C10</f>
        <v>12.99</v>
      </c>
      <c r="H68" s="219">
        <f t="shared" si="34"/>
        <v>1558.8000000000002</v>
      </c>
      <c r="I68" s="235">
        <f>+References!C43</f>
        <v>840</v>
      </c>
      <c r="J68" s="84">
        <f t="shared" si="29"/>
        <v>1309392.0000000002</v>
      </c>
      <c r="K68" s="84">
        <f t="shared" si="30"/>
        <v>992838.58822893188</v>
      </c>
      <c r="L68" s="96">
        <f ca="1">+K68*References!$D$69</f>
        <v>2779.9480470410062</v>
      </c>
      <c r="M68" s="96">
        <f ca="1">+L68/References!$F$78</f>
        <v>2844.2275905883016</v>
      </c>
      <c r="N68" s="96">
        <f t="shared" ca="1" si="35"/>
        <v>1.8246263732283174</v>
      </c>
      <c r="O68" s="237">
        <f>+'Proposed Rates'!$B$81</f>
        <v>86.484836851974094</v>
      </c>
      <c r="P68" s="96">
        <f t="shared" ca="1" si="31"/>
        <v>88.309463225202407</v>
      </c>
      <c r="Q68" s="96">
        <f ca="1">+'Proposed Rates'!$G$81</f>
        <v>88.309463225202407</v>
      </c>
      <c r="R68" s="96">
        <f t="shared" si="36"/>
        <v>134812.56368485722</v>
      </c>
      <c r="S68" s="96">
        <f t="shared" ca="1" si="37"/>
        <v>137656.79127544552</v>
      </c>
      <c r="T68" s="96">
        <f t="shared" ca="1" si="32"/>
        <v>2844.2275905882998</v>
      </c>
      <c r="U68" s="96" t="str">
        <f t="shared" ca="1" si="8"/>
        <v xml:space="preserve"> </v>
      </c>
      <c r="V68" s="97">
        <f ca="1">((I68*$H$115)*(References!$D$69/References!$F$78))</f>
        <v>1.8246263732283177</v>
      </c>
      <c r="W68" s="116">
        <f t="shared" ca="1" si="38"/>
        <v>0</v>
      </c>
    </row>
    <row r="69" spans="1:23" s="108" customFormat="1" ht="13.5" customHeight="1">
      <c r="A69" s="220" t="s">
        <v>384</v>
      </c>
      <c r="B69" s="220" t="s">
        <v>303</v>
      </c>
      <c r="E69" s="110">
        <v>1</v>
      </c>
      <c r="G69" s="111">
        <f>+References!C9</f>
        <v>17.32</v>
      </c>
      <c r="H69" s="219">
        <f t="shared" si="34"/>
        <v>207.84</v>
      </c>
      <c r="I69" s="235">
        <f>+References!C43</f>
        <v>840</v>
      </c>
      <c r="J69" s="110">
        <f t="shared" ref="J69" si="45">+H69*I69</f>
        <v>174585.60000000001</v>
      </c>
      <c r="K69" s="110">
        <f t="shared" ref="K69:K96" si="46">+J69*$H$115</f>
        <v>132378.47843052424</v>
      </c>
      <c r="L69" s="109">
        <f ca="1">+K69*References!$D$69</f>
        <v>370.65973960546745</v>
      </c>
      <c r="M69" s="109">
        <f ca="1">+L69/References!$F$78</f>
        <v>379.2303454117735</v>
      </c>
      <c r="N69" s="96">
        <f t="shared" ca="1" si="35"/>
        <v>1.8246263732283174</v>
      </c>
      <c r="O69" s="237">
        <f>+'Proposed Rates'!$B$81</f>
        <v>86.484836851974094</v>
      </c>
      <c r="P69" s="109">
        <f t="shared" ref="P69" ca="1" si="47">+O69+N69</f>
        <v>88.309463225202407</v>
      </c>
      <c r="Q69" s="109">
        <f ca="1">+'Proposed Rates'!$G$81</f>
        <v>88.309463225202407</v>
      </c>
      <c r="R69" s="96">
        <f t="shared" si="36"/>
        <v>17975.008491314296</v>
      </c>
      <c r="S69" s="96">
        <f t="shared" ca="1" si="37"/>
        <v>18354.238836726068</v>
      </c>
      <c r="T69" s="109">
        <f t="shared" ref="T69" ca="1" si="48">+S69-R69</f>
        <v>379.23034541177185</v>
      </c>
      <c r="U69" s="109" t="str">
        <f t="shared" ca="1" si="8"/>
        <v xml:space="preserve"> </v>
      </c>
      <c r="V69" s="97">
        <f ca="1">((I69*$H$115)*(References!$D$69/References!$F$78))</f>
        <v>1.8246263732283177</v>
      </c>
      <c r="W69" s="116">
        <f t="shared" ca="1" si="38"/>
        <v>0</v>
      </c>
    </row>
    <row r="70" spans="1:23" s="83" customFormat="1" ht="13.5" customHeight="1">
      <c r="A70" s="95" t="s">
        <v>171</v>
      </c>
      <c r="B70" s="95" t="s">
        <v>172</v>
      </c>
      <c r="D70" s="108"/>
      <c r="E70" s="110">
        <v>16</v>
      </c>
      <c r="G70" s="97">
        <f>+References!C13</f>
        <v>2.17</v>
      </c>
      <c r="H70" s="219">
        <f t="shared" si="34"/>
        <v>416.64</v>
      </c>
      <c r="I70" s="235">
        <f>+References!C43</f>
        <v>840</v>
      </c>
      <c r="J70" s="84">
        <f t="shared" si="29"/>
        <v>349977.59999999998</v>
      </c>
      <c r="K70" s="84">
        <f t="shared" si="46"/>
        <v>265368.40479837189</v>
      </c>
      <c r="L70" s="96">
        <f ca="1">+K70*References!$D$69</f>
        <v>743.03153343544045</v>
      </c>
      <c r="M70" s="96">
        <f ca="1">+L70/References!$F$78</f>
        <v>760.2123321418461</v>
      </c>
      <c r="N70" s="96">
        <f t="shared" ca="1" si="35"/>
        <v>1.8246263732283172</v>
      </c>
      <c r="O70" s="237">
        <f>+'Proposed Rates'!B81</f>
        <v>86.484836851974094</v>
      </c>
      <c r="P70" s="96">
        <f t="shared" ca="1" si="31"/>
        <v>88.309463225202407</v>
      </c>
      <c r="Q70" s="96">
        <f ca="1">+'Proposed Rates'!G81</f>
        <v>88.309463225202407</v>
      </c>
      <c r="R70" s="96">
        <f t="shared" si="36"/>
        <v>36033.042426006483</v>
      </c>
      <c r="S70" s="96">
        <f t="shared" ca="1" si="37"/>
        <v>36793.25475814833</v>
      </c>
      <c r="T70" s="96">
        <f t="shared" ca="1" si="32"/>
        <v>760.21233214184758</v>
      </c>
      <c r="U70" s="96" t="str">
        <f t="shared" ca="1" si="8"/>
        <v xml:space="preserve"> </v>
      </c>
      <c r="V70" s="97">
        <f ca="1">((I70*$H$115)*(References!$D$69/References!$F$78))</f>
        <v>1.8246263732283177</v>
      </c>
      <c r="W70" s="116">
        <f t="shared" ca="1" si="38"/>
        <v>0</v>
      </c>
    </row>
    <row r="71" spans="1:23" s="108" customFormat="1" ht="13.5" customHeight="1">
      <c r="A71" s="107" t="s">
        <v>173</v>
      </c>
      <c r="B71" s="107" t="s">
        <v>174</v>
      </c>
      <c r="E71" s="110">
        <v>53</v>
      </c>
      <c r="G71" s="111">
        <f>+References!C12</f>
        <v>4.33</v>
      </c>
      <c r="H71" s="219">
        <f t="shared" si="34"/>
        <v>2753.88</v>
      </c>
      <c r="I71" s="235">
        <f>+References!C44</f>
        <v>980</v>
      </c>
      <c r="J71" s="110">
        <f t="shared" si="29"/>
        <v>2698802.4</v>
      </c>
      <c r="K71" s="110">
        <f t="shared" si="46"/>
        <v>2046350.6457385204</v>
      </c>
      <c r="L71" s="109">
        <f ca="1">+K71*References!$D$69</f>
        <v>5729.7818080678508</v>
      </c>
      <c r="M71" s="109">
        <f ca="1">+L71/References!$F$78</f>
        <v>5862.2690894903317</v>
      </c>
      <c r="N71" s="96">
        <f t="shared" ca="1" si="35"/>
        <v>2.1287307687663701</v>
      </c>
      <c r="O71" s="237">
        <f>+'Proposed Rates'!$B$82</f>
        <v>112.33564299396978</v>
      </c>
      <c r="P71" s="109">
        <f t="shared" ref="P71:P100" ca="1" si="49">+O71+N71</f>
        <v>114.46437376273616</v>
      </c>
      <c r="Q71" s="109">
        <f ca="1">+'Proposed Rates'!$G$82</f>
        <v>114.46437376273616</v>
      </c>
      <c r="R71" s="96">
        <f t="shared" si="36"/>
        <v>309358.88052823348</v>
      </c>
      <c r="S71" s="96">
        <f t="shared" ca="1" si="37"/>
        <v>315221.14961772383</v>
      </c>
      <c r="T71" s="109">
        <f t="shared" ref="T71:T100" ca="1" si="50">+S71-R71</f>
        <v>5862.2690894903499</v>
      </c>
      <c r="U71" s="96" t="str">
        <f t="shared" ca="1" si="8"/>
        <v xml:space="preserve"> </v>
      </c>
      <c r="V71" s="97">
        <f ca="1">((I71*$H$115)*(References!$D$69/References!$F$78))</f>
        <v>2.1287307687663706</v>
      </c>
      <c r="W71" s="116">
        <f t="shared" ca="1" si="38"/>
        <v>0</v>
      </c>
    </row>
    <row r="72" spans="1:23" s="83" customFormat="1" ht="13.5" customHeight="1">
      <c r="A72" s="95" t="s">
        <v>175</v>
      </c>
      <c r="B72" s="95" t="s">
        <v>176</v>
      </c>
      <c r="D72" s="108"/>
      <c r="E72" s="110">
        <v>18</v>
      </c>
      <c r="G72" s="97">
        <f>+References!C11</f>
        <v>8.66</v>
      </c>
      <c r="H72" s="219">
        <f t="shared" si="34"/>
        <v>1870.56</v>
      </c>
      <c r="I72" s="235">
        <f>+References!C44</f>
        <v>980</v>
      </c>
      <c r="J72" s="84">
        <f t="shared" si="29"/>
        <v>1833148.8</v>
      </c>
      <c r="K72" s="84">
        <f t="shared" si="46"/>
        <v>1389974.0235205046</v>
      </c>
      <c r="L72" s="96">
        <f ca="1">+K72*References!$D$69</f>
        <v>3891.9272658574087</v>
      </c>
      <c r="M72" s="96">
        <f ca="1">+L72/References!$F$78</f>
        <v>3981.9186268236222</v>
      </c>
      <c r="N72" s="96">
        <f t="shared" ca="1" si="35"/>
        <v>2.1287307687663706</v>
      </c>
      <c r="O72" s="237">
        <f>+'Proposed Rates'!$B$82</f>
        <v>112.33564299396978</v>
      </c>
      <c r="P72" s="96">
        <f t="shared" ca="1" si="49"/>
        <v>114.46437376273616</v>
      </c>
      <c r="Q72" s="96">
        <f ca="1">+'Proposed Rates'!$G$82</f>
        <v>114.46437376273616</v>
      </c>
      <c r="R72" s="96">
        <f t="shared" si="36"/>
        <v>210130.56035880011</v>
      </c>
      <c r="S72" s="96">
        <f t="shared" ca="1" si="37"/>
        <v>214112.47898562375</v>
      </c>
      <c r="T72" s="96">
        <f t="shared" ca="1" si="50"/>
        <v>3981.9186268236372</v>
      </c>
      <c r="U72" s="96" t="str">
        <f t="shared" ca="1" si="8"/>
        <v xml:space="preserve"> </v>
      </c>
      <c r="V72" s="97">
        <f ca="1">((I72*$H$115)*(References!$D$69/References!$F$78))</f>
        <v>2.1287307687663706</v>
      </c>
      <c r="W72" s="116">
        <f t="shared" ca="1" si="38"/>
        <v>0</v>
      </c>
    </row>
    <row r="73" spans="1:23" s="83" customFormat="1" ht="13.5" customHeight="1">
      <c r="A73" s="95" t="s">
        <v>177</v>
      </c>
      <c r="B73" s="95" t="s">
        <v>178</v>
      </c>
      <c r="D73" s="108"/>
      <c r="E73" s="110">
        <v>9</v>
      </c>
      <c r="G73" s="97">
        <f>+References!C10</f>
        <v>12.99</v>
      </c>
      <c r="H73" s="219">
        <f t="shared" si="34"/>
        <v>1402.92</v>
      </c>
      <c r="I73" s="235">
        <f>+References!C44</f>
        <v>980</v>
      </c>
      <c r="J73" s="84">
        <f t="shared" si="29"/>
        <v>1374861.6</v>
      </c>
      <c r="K73" s="84">
        <f t="shared" si="46"/>
        <v>1042480.5176403784</v>
      </c>
      <c r="L73" s="96">
        <f ca="1">+K73*References!$D$69</f>
        <v>2918.9454493930566</v>
      </c>
      <c r="M73" s="96">
        <f ca="1">+L73/References!$F$78</f>
        <v>2986.438970117717</v>
      </c>
      <c r="N73" s="96">
        <f t="shared" ca="1" si="35"/>
        <v>2.1287307687663706</v>
      </c>
      <c r="O73" s="237">
        <f>+'Proposed Rates'!$B$82</f>
        <v>112.33564299396978</v>
      </c>
      <c r="P73" s="96">
        <f t="shared" ca="1" si="49"/>
        <v>114.46437376273616</v>
      </c>
      <c r="Q73" s="96">
        <f ca="1">+'Proposed Rates'!$G$82</f>
        <v>114.46437376273616</v>
      </c>
      <c r="R73" s="96">
        <f t="shared" si="36"/>
        <v>157597.92026910011</v>
      </c>
      <c r="S73" s="96">
        <f t="shared" ca="1" si="37"/>
        <v>160584.35923921783</v>
      </c>
      <c r="T73" s="96">
        <f t="shared" ca="1" si="50"/>
        <v>2986.4389701177133</v>
      </c>
      <c r="U73" s="96" t="str">
        <f t="shared" ca="1" si="8"/>
        <v xml:space="preserve"> </v>
      </c>
      <c r="V73" s="97">
        <f ca="1">((I73*$H$115)*(References!$D$69/References!$F$78))</f>
        <v>2.1287307687663706</v>
      </c>
      <c r="W73" s="116">
        <f t="shared" ca="1" si="38"/>
        <v>0</v>
      </c>
    </row>
    <row r="74" spans="1:23" s="83" customFormat="1" ht="13.5" customHeight="1">
      <c r="A74" s="95" t="s">
        <v>179</v>
      </c>
      <c r="B74" s="95" t="s">
        <v>180</v>
      </c>
      <c r="D74" s="108"/>
      <c r="E74" s="110">
        <v>1</v>
      </c>
      <c r="G74" s="97">
        <f>+References!C9</f>
        <v>17.32</v>
      </c>
      <c r="H74" s="219">
        <f t="shared" si="34"/>
        <v>207.84</v>
      </c>
      <c r="I74" s="235">
        <f>+References!C44</f>
        <v>980</v>
      </c>
      <c r="J74" s="84">
        <f t="shared" si="29"/>
        <v>203683.20000000001</v>
      </c>
      <c r="K74" s="84">
        <f t="shared" si="46"/>
        <v>154441.55816894496</v>
      </c>
      <c r="L74" s="96">
        <f ca="1">+K74*References!$D$69</f>
        <v>432.43636287304543</v>
      </c>
      <c r="M74" s="96">
        <f ca="1">+L74/References!$F$78</f>
        <v>442.4354029804025</v>
      </c>
      <c r="N74" s="96">
        <f t="shared" ca="1" si="35"/>
        <v>2.1287307687663706</v>
      </c>
      <c r="O74" s="237">
        <f>+'Proposed Rates'!$B$82</f>
        <v>112.33564299396978</v>
      </c>
      <c r="P74" s="96">
        <f t="shared" ca="1" si="49"/>
        <v>114.46437376273616</v>
      </c>
      <c r="Q74" s="96">
        <f ca="1">+'Proposed Rates'!$G$82</f>
        <v>114.46437376273616</v>
      </c>
      <c r="R74" s="96">
        <f t="shared" si="36"/>
        <v>23347.840039866682</v>
      </c>
      <c r="S74" s="96">
        <f t="shared" ca="1" si="37"/>
        <v>23790.275442847083</v>
      </c>
      <c r="T74" s="96">
        <f t="shared" ca="1" si="50"/>
        <v>442.4354029804017</v>
      </c>
      <c r="U74" s="96" t="str">
        <f t="shared" ca="1" si="8"/>
        <v xml:space="preserve"> </v>
      </c>
      <c r="V74" s="97">
        <f ca="1">((I74*$H$115)*(References!$D$69/References!$F$78))</f>
        <v>2.1287307687663706</v>
      </c>
      <c r="W74" s="116">
        <f t="shared" ca="1" si="38"/>
        <v>0</v>
      </c>
    </row>
    <row r="75" spans="1:23" s="108" customFormat="1" ht="13.5" customHeight="1">
      <c r="A75" s="220" t="s">
        <v>398</v>
      </c>
      <c r="B75" s="220" t="s">
        <v>304</v>
      </c>
      <c r="E75" s="110">
        <v>1</v>
      </c>
      <c r="G75" s="111">
        <f>+References!C12*6</f>
        <v>25.98</v>
      </c>
      <c r="H75" s="219">
        <f t="shared" si="34"/>
        <v>311.76</v>
      </c>
      <c r="I75" s="235">
        <f>+References!C44</f>
        <v>980</v>
      </c>
      <c r="J75" s="110">
        <f t="shared" ref="J75" si="51">+H75*I75</f>
        <v>305524.8</v>
      </c>
      <c r="K75" s="110">
        <f t="shared" si="46"/>
        <v>231662.33725341741</v>
      </c>
      <c r="L75" s="109">
        <f ca="1">+K75*References!$D$69</f>
        <v>648.654544309568</v>
      </c>
      <c r="M75" s="109">
        <f ca="1">+L75/References!$F$78</f>
        <v>663.65310447060358</v>
      </c>
      <c r="N75" s="96">
        <f t="shared" ca="1" si="35"/>
        <v>2.1287307687663701</v>
      </c>
      <c r="O75" s="237">
        <f>+'Proposed Rates'!$B$82</f>
        <v>112.33564299396978</v>
      </c>
      <c r="P75" s="109">
        <f t="shared" ref="P75" ca="1" si="52">+O75+N75</f>
        <v>114.46437376273616</v>
      </c>
      <c r="Q75" s="109">
        <f ca="1">+'Proposed Rates'!$G$82</f>
        <v>114.46437376273616</v>
      </c>
      <c r="R75" s="96">
        <f t="shared" si="36"/>
        <v>35021.760059800021</v>
      </c>
      <c r="S75" s="96">
        <f t="shared" ca="1" si="37"/>
        <v>35685.413164270627</v>
      </c>
      <c r="T75" s="109">
        <f t="shared" ref="T75" ca="1" si="53">+S75-R75</f>
        <v>663.65310447060619</v>
      </c>
      <c r="U75" s="109" t="str">
        <f t="shared" ca="1" si="8"/>
        <v xml:space="preserve"> </v>
      </c>
      <c r="V75" s="97">
        <f ca="1">((I75*$H$115)*(References!$D$69/References!$F$78))</f>
        <v>2.1287307687663706</v>
      </c>
      <c r="W75" s="116">
        <f t="shared" ca="1" si="38"/>
        <v>0</v>
      </c>
    </row>
    <row r="76" spans="1:23" s="83" customFormat="1" ht="13.5" customHeight="1">
      <c r="A76" s="95" t="s">
        <v>181</v>
      </c>
      <c r="B76" s="95" t="s">
        <v>182</v>
      </c>
      <c r="D76" s="108"/>
      <c r="E76" s="110">
        <v>2</v>
      </c>
      <c r="G76" s="97">
        <f>+References!C13</f>
        <v>2.17</v>
      </c>
      <c r="H76" s="219">
        <f t="shared" si="34"/>
        <v>52.08</v>
      </c>
      <c r="I76" s="235">
        <f>+References!C44</f>
        <v>980</v>
      </c>
      <c r="J76" s="84">
        <f t="shared" si="29"/>
        <v>51038.400000000001</v>
      </c>
      <c r="K76" s="84">
        <f t="shared" si="46"/>
        <v>38699.559033095902</v>
      </c>
      <c r="L76" s="96">
        <f ca="1">+K76*References!$D$69</f>
        <v>108.35876529266841</v>
      </c>
      <c r="M76" s="96">
        <f ca="1">+L76/References!$F$78</f>
        <v>110.86429843735257</v>
      </c>
      <c r="N76" s="96">
        <f t="shared" ca="1" si="35"/>
        <v>2.1287307687663706</v>
      </c>
      <c r="O76" s="237">
        <f>+'Proposed Rates'!B82</f>
        <v>112.33564299396978</v>
      </c>
      <c r="P76" s="96">
        <f t="shared" ca="1" si="49"/>
        <v>114.46437376273616</v>
      </c>
      <c r="Q76" s="96">
        <f ca="1">+'Proposed Rates'!G82</f>
        <v>114.46437376273616</v>
      </c>
      <c r="R76" s="96">
        <f t="shared" si="36"/>
        <v>5850.4402871259463</v>
      </c>
      <c r="S76" s="96">
        <f t="shared" ca="1" si="37"/>
        <v>5961.304585563299</v>
      </c>
      <c r="T76" s="96">
        <f t="shared" ca="1" si="50"/>
        <v>110.86429843735277</v>
      </c>
      <c r="U76" s="96" t="str">
        <f t="shared" ca="1" si="8"/>
        <v xml:space="preserve"> </v>
      </c>
      <c r="V76" s="97">
        <f ca="1">((I76*$H$115)*(References!$D$69/References!$F$78))</f>
        <v>2.1287307687663706</v>
      </c>
      <c r="W76" s="116">
        <f t="shared" ca="1" si="38"/>
        <v>0</v>
      </c>
    </row>
    <row r="77" spans="1:23" s="108" customFormat="1" ht="13.5" customHeight="1">
      <c r="A77" s="107" t="s">
        <v>183</v>
      </c>
      <c r="B77" s="107" t="s">
        <v>184</v>
      </c>
      <c r="E77" s="110">
        <v>2</v>
      </c>
      <c r="G77" s="111">
        <f>+References!C12</f>
        <v>4.33</v>
      </c>
      <c r="H77" s="219">
        <f t="shared" si="34"/>
        <v>103.92</v>
      </c>
      <c r="I77" s="242">
        <f>References!$C$56</f>
        <v>1296</v>
      </c>
      <c r="J77" s="110">
        <f t="shared" si="29"/>
        <v>134680.32000000001</v>
      </c>
      <c r="K77" s="110">
        <f t="shared" si="46"/>
        <v>102120.54050354726</v>
      </c>
      <c r="L77" s="109">
        <f ca="1">+K77*References!$D$69</f>
        <v>285.93751340993202</v>
      </c>
      <c r="M77" s="109">
        <f ca="1">+L77/References!$F$78</f>
        <v>292.54912360336812</v>
      </c>
      <c r="N77" s="96">
        <f t="shared" ca="1" si="35"/>
        <v>2.8151378329808323</v>
      </c>
      <c r="O77" s="237">
        <f>+'Proposed Rates'!B150</f>
        <v>73.497462571617177</v>
      </c>
      <c r="P77" s="109">
        <f t="shared" ca="1" si="49"/>
        <v>76.312600404598015</v>
      </c>
      <c r="Q77" s="109">
        <f ca="1">+'Proposed Rates'!G150</f>
        <v>76.312600404598015</v>
      </c>
      <c r="R77" s="96">
        <f t="shared" si="36"/>
        <v>7637.8563104424575</v>
      </c>
      <c r="S77" s="96">
        <f t="shared" ca="1" si="37"/>
        <v>7930.405434045826</v>
      </c>
      <c r="T77" s="96">
        <f t="shared" ca="1" si="50"/>
        <v>292.54912360336857</v>
      </c>
      <c r="U77" s="96" t="str">
        <f t="shared" ca="1" si="8"/>
        <v xml:space="preserve"> </v>
      </c>
      <c r="V77" s="97">
        <f ca="1">((I77*$H$115)*(References!$D$69/References!$F$78))</f>
        <v>2.8151378329808328</v>
      </c>
      <c r="W77" s="116">
        <f t="shared" ca="1" si="38"/>
        <v>0</v>
      </c>
    </row>
    <row r="78" spans="1:23" s="83" customFormat="1" ht="13.5" customHeight="1">
      <c r="A78" s="95" t="s">
        <v>185</v>
      </c>
      <c r="B78" s="95" t="s">
        <v>186</v>
      </c>
      <c r="D78" s="108"/>
      <c r="E78" s="110">
        <v>6</v>
      </c>
      <c r="G78" s="97">
        <f>+References!C12</f>
        <v>4.33</v>
      </c>
      <c r="H78" s="219">
        <f t="shared" si="34"/>
        <v>311.76</v>
      </c>
      <c r="I78" s="243">
        <f>+References!C58</f>
        <v>2452</v>
      </c>
      <c r="J78" s="84">
        <f t="shared" si="29"/>
        <v>764435.52</v>
      </c>
      <c r="K78" s="84">
        <f t="shared" si="46"/>
        <v>579628.62341365253</v>
      </c>
      <c r="L78" s="96">
        <f ca="1">+K78*References!$D$69</f>
        <v>1622.9601455582253</v>
      </c>
      <c r="M78" s="96">
        <f ca="1">+L78/References!$F$78</f>
        <v>1660.4871552672655</v>
      </c>
      <c r="N78" s="96">
        <f t="shared" ca="1" si="35"/>
        <v>5.3261712704236128</v>
      </c>
      <c r="O78" s="237">
        <f>+'Proposed Rates'!B152</f>
        <v>130.2941190012387</v>
      </c>
      <c r="P78" s="96">
        <f t="shared" ca="1" si="49"/>
        <v>135.6202902716623</v>
      </c>
      <c r="Q78" s="96">
        <f ca="1">+'Proposed Rates'!G152</f>
        <v>135.6202902716623</v>
      </c>
      <c r="R78" s="96">
        <f t="shared" si="36"/>
        <v>40620.494539826177</v>
      </c>
      <c r="S78" s="96">
        <f t="shared" ca="1" si="37"/>
        <v>42280.98169509344</v>
      </c>
      <c r="T78" s="96">
        <f t="shared" ca="1" si="50"/>
        <v>1660.487155267263</v>
      </c>
      <c r="U78" s="96" t="str">
        <f t="shared" ca="1" si="8"/>
        <v xml:space="preserve"> </v>
      </c>
      <c r="V78" s="97">
        <f ca="1">((I78*$H$115)*(References!$D$69/References!$F$78))</f>
        <v>5.3261712704236128</v>
      </c>
      <c r="W78" s="116">
        <f t="shared" ca="1" si="38"/>
        <v>0</v>
      </c>
    </row>
    <row r="79" spans="1:23" s="83" customFormat="1" ht="13.5" customHeight="1">
      <c r="A79" s="95" t="s">
        <v>187</v>
      </c>
      <c r="B79" s="95" t="s">
        <v>188</v>
      </c>
      <c r="D79" s="108"/>
      <c r="E79" s="110">
        <v>13</v>
      </c>
      <c r="G79" s="97">
        <f>+References!C15</f>
        <v>1</v>
      </c>
      <c r="H79" s="219">
        <f t="shared" si="34"/>
        <v>156</v>
      </c>
      <c r="I79" s="235">
        <f>+References!C37</f>
        <v>175</v>
      </c>
      <c r="J79" s="84">
        <f t="shared" si="29"/>
        <v>27300</v>
      </c>
      <c r="K79" s="84">
        <f t="shared" si="46"/>
        <v>20700.060378137208</v>
      </c>
      <c r="L79" s="96">
        <f ca="1">+K79*References!$D$69</f>
        <v>57.960169058784118</v>
      </c>
      <c r="M79" s="96">
        <f ca="1">+L79/References!$F$78</f>
        <v>59.300357129920314</v>
      </c>
      <c r="N79" s="96">
        <f t="shared" ca="1" si="35"/>
        <v>0.38013049442256613</v>
      </c>
      <c r="O79" s="237">
        <f>+'Proposed Rates'!B85</f>
        <v>21.538507677494607</v>
      </c>
      <c r="P79" s="96">
        <f t="shared" ca="1" si="49"/>
        <v>21.918638171917173</v>
      </c>
      <c r="Q79" s="96">
        <f ca="1">+'Proposed Rates'!G85</f>
        <v>21.918638171917173</v>
      </c>
      <c r="R79" s="96">
        <f t="shared" si="36"/>
        <v>3360.0071976891591</v>
      </c>
      <c r="S79" s="96">
        <f t="shared" ca="1" si="37"/>
        <v>3419.3075548190791</v>
      </c>
      <c r="T79" s="96">
        <f t="shared" ca="1" si="50"/>
        <v>59.30035712992003</v>
      </c>
      <c r="U79" s="96" t="str">
        <f t="shared" ca="1" si="8"/>
        <v xml:space="preserve"> </v>
      </c>
      <c r="V79" s="97">
        <f ca="1">((I79*$H$115)*(References!$D$69/References!$F$78))</f>
        <v>0.38013049442256613</v>
      </c>
      <c r="W79" s="116">
        <f t="shared" ca="1" si="38"/>
        <v>0</v>
      </c>
    </row>
    <row r="80" spans="1:23" s="83" customFormat="1" ht="13.5" customHeight="1">
      <c r="A80" s="95" t="s">
        <v>189</v>
      </c>
      <c r="B80" s="95" t="s">
        <v>190</v>
      </c>
      <c r="D80" s="108"/>
      <c r="E80" s="110">
        <v>48</v>
      </c>
      <c r="G80" s="97">
        <f>+References!C15</f>
        <v>1</v>
      </c>
      <c r="H80" s="219">
        <f t="shared" si="34"/>
        <v>576</v>
      </c>
      <c r="I80" s="235">
        <f>+References!C38</f>
        <v>250</v>
      </c>
      <c r="J80" s="84">
        <f t="shared" si="29"/>
        <v>144000</v>
      </c>
      <c r="K80" s="84">
        <f t="shared" si="46"/>
        <v>109187.13166489957</v>
      </c>
      <c r="L80" s="96">
        <f ca="1">+K80*References!$D$69</f>
        <v>305.72396866171846</v>
      </c>
      <c r="M80" s="96">
        <f ca="1">+L80/References!$F$78</f>
        <v>312.79309255342588</v>
      </c>
      <c r="N80" s="96">
        <f t="shared" ca="1" si="35"/>
        <v>0.54304356346080884</v>
      </c>
      <c r="O80" s="237">
        <f>+'Proposed Rates'!B86</f>
        <v>28.716439539278007</v>
      </c>
      <c r="P80" s="96">
        <f t="shared" ca="1" si="49"/>
        <v>29.259483102738816</v>
      </c>
      <c r="Q80" s="96">
        <f ca="1">+'Proposed Rates'!G86</f>
        <v>29.259483102738816</v>
      </c>
      <c r="R80" s="96">
        <f t="shared" si="36"/>
        <v>16540.66917462413</v>
      </c>
      <c r="S80" s="96">
        <f t="shared" ca="1" si="37"/>
        <v>16853.462267177558</v>
      </c>
      <c r="T80" s="96">
        <f t="shared" ca="1" si="50"/>
        <v>312.79309255342741</v>
      </c>
      <c r="U80" s="96" t="str">
        <f t="shared" ca="1" si="8"/>
        <v xml:space="preserve"> </v>
      </c>
      <c r="V80" s="97">
        <f ca="1">((I80*$H$115)*(References!$D$69/References!$F$78))</f>
        <v>0.54304356346080873</v>
      </c>
      <c r="W80" s="116">
        <f t="shared" ca="1" si="38"/>
        <v>0</v>
      </c>
    </row>
    <row r="81" spans="1:24" s="83" customFormat="1" ht="13.5" customHeight="1">
      <c r="A81" s="95" t="s">
        <v>191</v>
      </c>
      <c r="B81" s="95" t="s">
        <v>192</v>
      </c>
      <c r="D81" s="108"/>
      <c r="E81" s="110">
        <v>29</v>
      </c>
      <c r="G81" s="97">
        <f>+References!C15</f>
        <v>1</v>
      </c>
      <c r="H81" s="219">
        <f t="shared" si="34"/>
        <v>348</v>
      </c>
      <c r="I81" s="235">
        <f>+References!C39</f>
        <v>324</v>
      </c>
      <c r="J81" s="84">
        <f t="shared" si="29"/>
        <v>112752</v>
      </c>
      <c r="K81" s="84">
        <f t="shared" si="46"/>
        <v>85493.524093616361</v>
      </c>
      <c r="L81" s="96">
        <f ca="1">+K81*References!$D$69</f>
        <v>239.38186746212554</v>
      </c>
      <c r="M81" s="96">
        <f ca="1">+L81/References!$F$78</f>
        <v>244.91699146933243</v>
      </c>
      <c r="N81" s="96">
        <f t="shared" ca="1" si="35"/>
        <v>0.70378445824520808</v>
      </c>
      <c r="O81" s="237">
        <f>+'Proposed Rates'!B87</f>
        <v>34.131865642904295</v>
      </c>
      <c r="P81" s="96">
        <f t="shared" ca="1" si="49"/>
        <v>34.835650101149504</v>
      </c>
      <c r="Q81" s="96">
        <f ca="1">+'Proposed Rates'!G87</f>
        <v>34.835650101149504</v>
      </c>
      <c r="R81" s="96">
        <f t="shared" si="36"/>
        <v>11877.889243730695</v>
      </c>
      <c r="S81" s="96">
        <f t="shared" ca="1" si="37"/>
        <v>12122.806235200027</v>
      </c>
      <c r="T81" s="96">
        <f t="shared" ca="1" si="50"/>
        <v>244.91699146933206</v>
      </c>
      <c r="U81" s="96" t="str">
        <f t="shared" ref="U81:U105" ca="1" si="54">IF(P81=Q81," ","Difference between Calculated Rate and Proposed Tariff")</f>
        <v xml:space="preserve"> </v>
      </c>
      <c r="V81" s="97">
        <f ca="1">((I81*$H$115)*(References!$D$69/References!$F$78))</f>
        <v>0.70378445824520819</v>
      </c>
      <c r="W81" s="116">
        <f t="shared" ca="1" si="38"/>
        <v>0</v>
      </c>
    </row>
    <row r="82" spans="1:24" s="83" customFormat="1" ht="13.5" customHeight="1">
      <c r="A82" s="95" t="s">
        <v>193</v>
      </c>
      <c r="B82" s="95" t="s">
        <v>194</v>
      </c>
      <c r="D82" s="108"/>
      <c r="E82" s="110">
        <v>3</v>
      </c>
      <c r="G82" s="97">
        <f>+References!C15</f>
        <v>1</v>
      </c>
      <c r="H82" s="219">
        <f t="shared" si="34"/>
        <v>36</v>
      </c>
      <c r="I82" s="235">
        <f>+References!C40</f>
        <v>473</v>
      </c>
      <c r="J82" s="84">
        <f t="shared" si="29"/>
        <v>17028</v>
      </c>
      <c r="K82" s="84">
        <f t="shared" si="46"/>
        <v>12911.378319374373</v>
      </c>
      <c r="L82" s="96">
        <f ca="1">+K82*References!$D$69</f>
        <v>36.151859294248204</v>
      </c>
      <c r="M82" s="96">
        <f ca="1">+L82/References!$F$78</f>
        <v>36.987783194442606</v>
      </c>
      <c r="N82" s="96">
        <f t="shared" ca="1" si="35"/>
        <v>1.0274384220678501</v>
      </c>
      <c r="O82" s="237">
        <f>+'Proposed Rates'!B88</f>
        <v>47.275223608313993</v>
      </c>
      <c r="P82" s="96">
        <f t="shared" ca="1" si="49"/>
        <v>48.302662030381846</v>
      </c>
      <c r="Q82" s="96">
        <f ca="1">+'Proposed Rates'!G88</f>
        <v>48.302662030381846</v>
      </c>
      <c r="R82" s="96">
        <f t="shared" si="36"/>
        <v>1701.9080498993039</v>
      </c>
      <c r="S82" s="96">
        <f t="shared" ca="1" si="37"/>
        <v>1738.8958330937467</v>
      </c>
      <c r="T82" s="96">
        <f t="shared" ca="1" si="50"/>
        <v>36.987783194442727</v>
      </c>
      <c r="U82" s="96" t="str">
        <f t="shared" ca="1" si="54"/>
        <v xml:space="preserve"> </v>
      </c>
      <c r="V82" s="97">
        <f ca="1">((I82*$H$115)*(References!$D$69/References!$F$78))</f>
        <v>1.0274384220678503</v>
      </c>
      <c r="W82" s="116">
        <f t="shared" ca="1" si="38"/>
        <v>0</v>
      </c>
    </row>
    <row r="83" spans="1:24" s="83" customFormat="1" ht="13.5" customHeight="1">
      <c r="A83" s="95" t="s">
        <v>195</v>
      </c>
      <c r="B83" s="95" t="s">
        <v>196</v>
      </c>
      <c r="D83" s="108"/>
      <c r="E83" s="110">
        <v>3</v>
      </c>
      <c r="G83" s="97">
        <f>+References!C15</f>
        <v>1</v>
      </c>
      <c r="H83" s="219">
        <f t="shared" si="34"/>
        <v>36</v>
      </c>
      <c r="I83" s="243">
        <f>+References!C58</f>
        <v>2452</v>
      </c>
      <c r="J83" s="84">
        <f t="shared" si="29"/>
        <v>88272</v>
      </c>
      <c r="K83" s="84">
        <f t="shared" si="46"/>
        <v>66931.711710583433</v>
      </c>
      <c r="L83" s="96">
        <f ca="1">+K83*References!$D$69</f>
        <v>187.4087927896334</v>
      </c>
      <c r="M83" s="96">
        <f ca="1">+L83/References!$F$78</f>
        <v>191.74216573525004</v>
      </c>
      <c r="N83" s="96">
        <f t="shared" ca="1" si="35"/>
        <v>5.3261712704236119</v>
      </c>
      <c r="O83" s="237">
        <f>+'Proposed Rates'!B158</f>
        <v>131.42411900123869</v>
      </c>
      <c r="P83" s="96">
        <f t="shared" ca="1" si="49"/>
        <v>136.75029027166229</v>
      </c>
      <c r="Q83" s="96">
        <f ca="1">+'Proposed Rates'!G158</f>
        <v>136.75029027166229</v>
      </c>
      <c r="R83" s="96">
        <f t="shared" si="36"/>
        <v>4731.2682840445932</v>
      </c>
      <c r="S83" s="96">
        <f t="shared" ca="1" si="37"/>
        <v>4923.0104497798429</v>
      </c>
      <c r="T83" s="96">
        <f t="shared" ca="1" si="50"/>
        <v>191.74216573524973</v>
      </c>
      <c r="U83" s="96" t="str">
        <f t="shared" ca="1" si="54"/>
        <v xml:space="preserve"> </v>
      </c>
      <c r="V83" s="97">
        <f ca="1">((I83*$H$115)*(References!$D$69/References!$F$78))</f>
        <v>5.3261712704236128</v>
      </c>
      <c r="W83" s="116">
        <f t="shared" ca="1" si="38"/>
        <v>0</v>
      </c>
    </row>
    <row r="84" spans="1:24" s="83" customFormat="1" ht="13.5" customHeight="1">
      <c r="A84" s="95" t="s">
        <v>197</v>
      </c>
      <c r="B84" s="95" t="s">
        <v>198</v>
      </c>
      <c r="D84" s="108"/>
      <c r="E84" s="110">
        <v>3</v>
      </c>
      <c r="G84" s="97">
        <f>+References!C15</f>
        <v>1</v>
      </c>
      <c r="H84" s="219">
        <f t="shared" si="34"/>
        <v>36</v>
      </c>
      <c r="I84" s="235">
        <f>+References!C41</f>
        <v>613</v>
      </c>
      <c r="J84" s="84">
        <f t="shared" si="29"/>
        <v>22068</v>
      </c>
      <c r="K84" s="84">
        <f t="shared" si="46"/>
        <v>16732.927927645858</v>
      </c>
      <c r="L84" s="96">
        <f ca="1">+K84*References!$D$69</f>
        <v>46.852198197408349</v>
      </c>
      <c r="M84" s="96">
        <f ca="1">+L84/References!$F$78</f>
        <v>47.93554143381251</v>
      </c>
      <c r="N84" s="96">
        <f t="shared" ca="1" si="35"/>
        <v>1.331542817605903</v>
      </c>
      <c r="O84" s="237">
        <f>+'Proposed Rates'!B89</f>
        <v>60.856029750309673</v>
      </c>
      <c r="P84" s="96">
        <f t="shared" ca="1" si="49"/>
        <v>62.187572567915574</v>
      </c>
      <c r="Q84" s="96">
        <f ca="1">+'Proposed Rates'!G89</f>
        <v>62.187572567915574</v>
      </c>
      <c r="R84" s="96">
        <f t="shared" si="36"/>
        <v>2190.8170710111481</v>
      </c>
      <c r="S84" s="96">
        <f t="shared" ca="1" si="37"/>
        <v>2238.7526124449605</v>
      </c>
      <c r="T84" s="96">
        <f t="shared" ca="1" si="50"/>
        <v>47.935541433812432</v>
      </c>
      <c r="U84" s="96" t="str">
        <f t="shared" ca="1" si="54"/>
        <v xml:space="preserve"> </v>
      </c>
      <c r="V84" s="97">
        <f ca="1">((I84*$H$115)*(References!$D$69/References!$F$78))</f>
        <v>1.3315428176059032</v>
      </c>
      <c r="W84" s="116">
        <f t="shared" ca="1" si="38"/>
        <v>0</v>
      </c>
    </row>
    <row r="85" spans="1:24" s="83" customFormat="1" ht="13.5" customHeight="1">
      <c r="A85" s="95" t="s">
        <v>199</v>
      </c>
      <c r="B85" s="95" t="s">
        <v>200</v>
      </c>
      <c r="D85" s="108"/>
      <c r="E85" s="110">
        <v>1</v>
      </c>
      <c r="G85" s="97">
        <f>+References!C15</f>
        <v>1</v>
      </c>
      <c r="H85" s="219">
        <f t="shared" si="34"/>
        <v>12</v>
      </c>
      <c r="I85" s="235">
        <f>+References!C43</f>
        <v>840</v>
      </c>
      <c r="J85" s="84">
        <f t="shared" si="29"/>
        <v>10080</v>
      </c>
      <c r="K85" s="84">
        <f t="shared" si="46"/>
        <v>7643.0992165429698</v>
      </c>
      <c r="L85" s="96">
        <f ca="1">+K85*References!$D$69</f>
        <v>21.400677806320292</v>
      </c>
      <c r="M85" s="96">
        <f ca="1">+L85/References!$F$78</f>
        <v>21.895516478739811</v>
      </c>
      <c r="N85" s="96">
        <f t="shared" ca="1" si="35"/>
        <v>1.8246263732283177</v>
      </c>
      <c r="O85" s="237">
        <f>+'Proposed Rates'!B91</f>
        <v>87.614836851974104</v>
      </c>
      <c r="P85" s="96">
        <f t="shared" ca="1" si="49"/>
        <v>89.439463225202417</v>
      </c>
      <c r="Q85" s="96">
        <f ca="1">+'Proposed Rates'!G91</f>
        <v>89.439463225202417</v>
      </c>
      <c r="R85" s="96">
        <f t="shared" si="36"/>
        <v>1051.3780422236891</v>
      </c>
      <c r="S85" s="96">
        <f t="shared" ca="1" si="37"/>
        <v>1073.273558702429</v>
      </c>
      <c r="T85" s="96">
        <f t="shared" ca="1" si="50"/>
        <v>21.895516478739864</v>
      </c>
      <c r="U85" s="96" t="str">
        <f t="shared" ca="1" si="54"/>
        <v xml:space="preserve"> </v>
      </c>
      <c r="V85" s="97">
        <f ca="1">((I85*$H$115)*(References!$D$69/References!$F$78))</f>
        <v>1.8246263732283177</v>
      </c>
      <c r="W85" s="116">
        <f t="shared" ca="1" si="38"/>
        <v>0</v>
      </c>
    </row>
    <row r="86" spans="1:24" s="83" customFormat="1" ht="13.5" customHeight="1">
      <c r="A86" s="95" t="s">
        <v>201</v>
      </c>
      <c r="B86" s="95" t="s">
        <v>202</v>
      </c>
      <c r="D86" s="108"/>
      <c r="E86" s="110">
        <v>20</v>
      </c>
      <c r="G86" s="97">
        <f>+References!C15</f>
        <v>1</v>
      </c>
      <c r="H86" s="219">
        <f t="shared" si="34"/>
        <v>240</v>
      </c>
      <c r="I86" s="235">
        <f>+References!C44</f>
        <v>980</v>
      </c>
      <c r="J86" s="84">
        <f t="shared" si="29"/>
        <v>235200</v>
      </c>
      <c r="K86" s="84">
        <f t="shared" si="46"/>
        <v>178338.98171933595</v>
      </c>
      <c r="L86" s="96">
        <f ca="1">+K86*References!$D$69</f>
        <v>499.34914881414011</v>
      </c>
      <c r="M86" s="96">
        <f ca="1">+L86/References!$F$78</f>
        <v>510.89538450392888</v>
      </c>
      <c r="N86" s="96">
        <f t="shared" ca="1" si="35"/>
        <v>2.1287307687663701</v>
      </c>
      <c r="O86" s="237">
        <f>+'Proposed Rates'!B92</f>
        <v>113.47564299396979</v>
      </c>
      <c r="P86" s="96">
        <f t="shared" ca="1" si="49"/>
        <v>115.60437376273616</v>
      </c>
      <c r="Q86" s="96">
        <f ca="1">+'Proposed Rates'!G92</f>
        <v>115.60437376273616</v>
      </c>
      <c r="R86" s="96">
        <f t="shared" si="36"/>
        <v>27234.154318552748</v>
      </c>
      <c r="S86" s="96">
        <f t="shared" ca="1" si="37"/>
        <v>27745.04970305668</v>
      </c>
      <c r="T86" s="96">
        <f t="shared" ca="1" si="50"/>
        <v>510.89538450393229</v>
      </c>
      <c r="U86" s="96" t="str">
        <f t="shared" ca="1" si="54"/>
        <v xml:space="preserve"> </v>
      </c>
      <c r="V86" s="97">
        <f ca="1">((I86*$H$115)*(References!$D$69/References!$F$78))</f>
        <v>2.1287307687663706</v>
      </c>
      <c r="W86" s="116">
        <f t="shared" ca="1" si="38"/>
        <v>0</v>
      </c>
    </row>
    <row r="87" spans="1:24" s="83" customFormat="1" ht="13.5" customHeight="1">
      <c r="A87" s="95" t="s">
        <v>203</v>
      </c>
      <c r="B87" s="95" t="s">
        <v>204</v>
      </c>
      <c r="D87" s="108"/>
      <c r="E87" s="110">
        <v>23</v>
      </c>
      <c r="G87" s="97">
        <f>+References!C15</f>
        <v>1</v>
      </c>
      <c r="H87" s="219">
        <f t="shared" si="34"/>
        <v>276</v>
      </c>
      <c r="I87" s="235">
        <f>+References!C37</f>
        <v>175</v>
      </c>
      <c r="J87" s="84">
        <f t="shared" si="29"/>
        <v>48300</v>
      </c>
      <c r="K87" s="84">
        <f t="shared" si="46"/>
        <v>36623.183745935065</v>
      </c>
      <c r="L87" s="96">
        <f ca="1">+K87*References!$D$69</f>
        <v>102.54491448861806</v>
      </c>
      <c r="M87" s="96">
        <f ca="1">+L87/References!$F$78</f>
        <v>104.91601646062826</v>
      </c>
      <c r="N87" s="96">
        <f t="shared" ca="1" si="35"/>
        <v>0.38013049442256613</v>
      </c>
      <c r="O87" s="237">
        <f>+'Proposed Rates'!B96</f>
        <v>20.418507677494606</v>
      </c>
      <c r="P87" s="96">
        <f t="shared" ca="1" si="49"/>
        <v>20.798638171917172</v>
      </c>
      <c r="Q87" s="96">
        <f ca="1">+'Proposed Rates'!G96</f>
        <v>20.798638171917172</v>
      </c>
      <c r="R87" s="96">
        <f t="shared" si="36"/>
        <v>5635.5081189885113</v>
      </c>
      <c r="S87" s="96">
        <f t="shared" ca="1" si="37"/>
        <v>5740.4241354491396</v>
      </c>
      <c r="T87" s="96">
        <f t="shared" ca="1" si="50"/>
        <v>104.91601646062827</v>
      </c>
      <c r="U87" s="96" t="str">
        <f t="shared" ca="1" si="54"/>
        <v xml:space="preserve"> </v>
      </c>
      <c r="V87" s="97">
        <f ca="1">((I87*$H$115)*(References!$D$69/References!$F$78))</f>
        <v>0.38013049442256613</v>
      </c>
      <c r="W87" s="116">
        <f t="shared" ca="1" si="38"/>
        <v>0</v>
      </c>
    </row>
    <row r="88" spans="1:24" s="83" customFormat="1" ht="13.5" customHeight="1">
      <c r="A88" s="95" t="s">
        <v>205</v>
      </c>
      <c r="B88" s="95" t="s">
        <v>206</v>
      </c>
      <c r="D88" s="108"/>
      <c r="E88" s="110">
        <v>12</v>
      </c>
      <c r="G88" s="97">
        <f>+References!C15</f>
        <v>1</v>
      </c>
      <c r="H88" s="219">
        <f t="shared" si="34"/>
        <v>144</v>
      </c>
      <c r="I88" s="235">
        <f>+References!C38</f>
        <v>250</v>
      </c>
      <c r="J88" s="84">
        <f t="shared" si="29"/>
        <v>36000</v>
      </c>
      <c r="K88" s="84">
        <f t="shared" si="46"/>
        <v>27296.782916224893</v>
      </c>
      <c r="L88" s="96">
        <f ca="1">+K88*References!$D$69</f>
        <v>76.430992165429615</v>
      </c>
      <c r="M88" s="96">
        <f ca="1">+L88/References!$F$78</f>
        <v>78.19827313835647</v>
      </c>
      <c r="N88" s="96">
        <f t="shared" ca="1" si="35"/>
        <v>0.54304356346080884</v>
      </c>
      <c r="O88" s="237">
        <f>+'Proposed Rates'!B97</f>
        <v>27.576439539278006</v>
      </c>
      <c r="P88" s="96">
        <f t="shared" ca="1" si="49"/>
        <v>28.119483102738815</v>
      </c>
      <c r="Q88" s="96">
        <f ca="1">+'Proposed Rates'!G97</f>
        <v>28.119483102738815</v>
      </c>
      <c r="R88" s="96">
        <f t="shared" si="36"/>
        <v>3971.0072936560332</v>
      </c>
      <c r="S88" s="96">
        <f t="shared" ca="1" si="37"/>
        <v>4049.2055667943896</v>
      </c>
      <c r="T88" s="96">
        <f t="shared" ca="1" si="50"/>
        <v>78.198273138356399</v>
      </c>
      <c r="U88" s="96" t="str">
        <f t="shared" ca="1" si="54"/>
        <v xml:space="preserve"> </v>
      </c>
      <c r="V88" s="97">
        <f ca="1">((I88*$H$115)*(References!$D$69/References!$F$78))</f>
        <v>0.54304356346080873</v>
      </c>
      <c r="W88" s="116">
        <f t="shared" ca="1" si="38"/>
        <v>0</v>
      </c>
    </row>
    <row r="89" spans="1:24" s="83" customFormat="1" ht="13.5" customHeight="1">
      <c r="A89" s="95" t="s">
        <v>207</v>
      </c>
      <c r="B89" s="95" t="s">
        <v>208</v>
      </c>
      <c r="D89" s="108"/>
      <c r="E89" s="110">
        <v>124</v>
      </c>
      <c r="G89" s="97">
        <f>+References!C15</f>
        <v>1</v>
      </c>
      <c r="H89" s="219">
        <f t="shared" si="34"/>
        <v>1488</v>
      </c>
      <c r="I89" s="235">
        <f>+References!C39</f>
        <v>324</v>
      </c>
      <c r="J89" s="84">
        <f t="shared" si="29"/>
        <v>482112</v>
      </c>
      <c r="K89" s="84">
        <f t="shared" si="46"/>
        <v>365558.51681408373</v>
      </c>
      <c r="L89" s="96">
        <f ca="1">+K89*References!$D$69</f>
        <v>1023.5638470794333</v>
      </c>
      <c r="M89" s="96">
        <f ca="1">+L89/References!$F$78</f>
        <v>1047.2312738688697</v>
      </c>
      <c r="N89" s="96">
        <f t="shared" ca="1" si="35"/>
        <v>0.70378445824520819</v>
      </c>
      <c r="O89" s="237">
        <f>+'Proposed Rates'!B98</f>
        <v>33.001865642904292</v>
      </c>
      <c r="P89" s="96">
        <f t="shared" ca="1" si="49"/>
        <v>33.705650101149502</v>
      </c>
      <c r="Q89" s="96">
        <f ca="1">+'Proposed Rates'!G98</f>
        <v>33.705650101149502</v>
      </c>
      <c r="R89" s="96">
        <f t="shared" si="36"/>
        <v>49106.776076641589</v>
      </c>
      <c r="S89" s="96">
        <f t="shared" ca="1" si="37"/>
        <v>50154.007350510452</v>
      </c>
      <c r="T89" s="96">
        <f t="shared" ca="1" si="50"/>
        <v>1047.2312738688634</v>
      </c>
      <c r="U89" s="96" t="str">
        <f t="shared" ca="1" si="54"/>
        <v xml:space="preserve"> </v>
      </c>
      <c r="V89" s="97">
        <f ca="1">((I89*$H$115)*(References!$D$69/References!$F$78))</f>
        <v>0.70378445824520819</v>
      </c>
      <c r="W89" s="116">
        <f t="shared" ca="1" si="38"/>
        <v>0</v>
      </c>
    </row>
    <row r="90" spans="1:24" s="83" customFormat="1" ht="13.5" customHeight="1">
      <c r="A90" s="95" t="s">
        <v>209</v>
      </c>
      <c r="B90" s="95" t="s">
        <v>210</v>
      </c>
      <c r="D90" s="108"/>
      <c r="E90" s="110">
        <v>2</v>
      </c>
      <c r="G90" s="97">
        <f>+References!C15</f>
        <v>1</v>
      </c>
      <c r="H90" s="219">
        <f t="shared" si="34"/>
        <v>24</v>
      </c>
      <c r="I90" s="235">
        <f>+References!C40</f>
        <v>473</v>
      </c>
      <c r="J90" s="84">
        <f t="shared" si="29"/>
        <v>11352</v>
      </c>
      <c r="K90" s="84">
        <f t="shared" si="46"/>
        <v>8607.585546249582</v>
      </c>
      <c r="L90" s="96">
        <f ca="1">+K90*References!$D$69</f>
        <v>24.101239529498802</v>
      </c>
      <c r="M90" s="96">
        <f ca="1">+L90/References!$F$78</f>
        <v>24.658522129628402</v>
      </c>
      <c r="N90" s="96">
        <f t="shared" ca="1" si="35"/>
        <v>1.0274384220678501</v>
      </c>
      <c r="O90" s="237">
        <f>+'Proposed Rates'!B99</f>
        <v>46.155223608313989</v>
      </c>
      <c r="P90" s="96">
        <f t="shared" ca="1" si="49"/>
        <v>47.182662030381842</v>
      </c>
      <c r="Q90" s="96">
        <f ca="1">+'Proposed Rates'!G99</f>
        <v>47.182662030381842</v>
      </c>
      <c r="R90" s="96">
        <f t="shared" si="36"/>
        <v>1107.7253665995358</v>
      </c>
      <c r="S90" s="96">
        <f t="shared" ca="1" si="37"/>
        <v>1132.3838887291643</v>
      </c>
      <c r="T90" s="96">
        <f t="shared" ca="1" si="50"/>
        <v>24.658522129628409</v>
      </c>
      <c r="U90" s="96" t="str">
        <f t="shared" ca="1" si="54"/>
        <v xml:space="preserve"> </v>
      </c>
      <c r="V90" s="97">
        <f ca="1">((I90*$H$115)*(References!$D$69/References!$F$78))</f>
        <v>1.0274384220678503</v>
      </c>
      <c r="W90" s="116">
        <f t="shared" ca="1" si="38"/>
        <v>0</v>
      </c>
    </row>
    <row r="91" spans="1:24" s="83" customFormat="1" ht="13.5" customHeight="1">
      <c r="A91" s="95" t="s">
        <v>211</v>
      </c>
      <c r="B91" s="95" t="s">
        <v>212</v>
      </c>
      <c r="D91" s="108"/>
      <c r="E91" s="110">
        <v>2</v>
      </c>
      <c r="G91" s="97">
        <f>+References!C15</f>
        <v>1</v>
      </c>
      <c r="H91" s="219">
        <f t="shared" si="34"/>
        <v>24</v>
      </c>
      <c r="I91" s="235">
        <f>+References!C41</f>
        <v>613</v>
      </c>
      <c r="J91" s="84">
        <f t="shared" si="29"/>
        <v>14712</v>
      </c>
      <c r="K91" s="84">
        <f t="shared" si="46"/>
        <v>11155.285285097239</v>
      </c>
      <c r="L91" s="96">
        <f ca="1">+K91*References!$D$69</f>
        <v>31.234798798272237</v>
      </c>
      <c r="M91" s="96">
        <f ca="1">+L91/References!$F$78</f>
        <v>31.957027622541677</v>
      </c>
      <c r="N91" s="96">
        <f ca="1">IFERROR(+M91/H91,0)</f>
        <v>1.3315428176059032</v>
      </c>
      <c r="O91" s="237">
        <f>+'Proposed Rates'!B100</f>
        <v>59.736029750309676</v>
      </c>
      <c r="P91" s="96">
        <f t="shared" ca="1" si="49"/>
        <v>61.067572567915576</v>
      </c>
      <c r="Q91" s="96">
        <f ca="1">+'Proposed Rates'!G100</f>
        <v>61.067572567915576</v>
      </c>
      <c r="R91" s="96">
        <f>+E91*O91*G91*12</f>
        <v>1433.6647140074322</v>
      </c>
      <c r="S91" s="96">
        <f t="shared" ca="1" si="37"/>
        <v>1465.6217416299737</v>
      </c>
      <c r="T91" s="96">
        <f t="shared" ca="1" si="50"/>
        <v>31.957027622541545</v>
      </c>
      <c r="U91" s="96" t="str">
        <f t="shared" ca="1" si="54"/>
        <v xml:space="preserve"> </v>
      </c>
      <c r="V91" s="97">
        <f ca="1">((I91*$H$115)*(References!$D$69/References!$F$78))</f>
        <v>1.3315428176059032</v>
      </c>
      <c r="W91" s="116">
        <f t="shared" ca="1" si="38"/>
        <v>0</v>
      </c>
    </row>
    <row r="92" spans="1:24" s="83" customFormat="1" ht="13.5" customHeight="1">
      <c r="A92" s="95" t="s">
        <v>213</v>
      </c>
      <c r="B92" s="95" t="s">
        <v>214</v>
      </c>
      <c r="D92" s="108"/>
      <c r="E92" s="110">
        <v>861</v>
      </c>
      <c r="G92" s="97">
        <f>+References!C12</f>
        <v>4.33</v>
      </c>
      <c r="H92" s="219">
        <f t="shared" ref="H92:H101" si="55">+E92*G92*12</f>
        <v>44737.56</v>
      </c>
      <c r="I92" s="235">
        <f>+References!C35</f>
        <v>29</v>
      </c>
      <c r="J92" s="84">
        <f t="shared" si="29"/>
        <v>1297389.24</v>
      </c>
      <c r="K92" s="84">
        <f t="shared" si="46"/>
        <v>983737.56783683319</v>
      </c>
      <c r="L92" s="96">
        <f ca="1">+K92*References!$D$69</f>
        <v>2754.4651899431301</v>
      </c>
      <c r="M92" s="96">
        <f ca="1">+L92/References!$F$78</f>
        <v>2818.1555043412422</v>
      </c>
      <c r="N92" s="96">
        <f ca="1">IFERROR(+M92/H92,0)*G92</f>
        <v>0.27275992105509511</v>
      </c>
      <c r="O92" s="237">
        <f>+'Proposed Rates'!B140</f>
        <v>14.514648051788557</v>
      </c>
      <c r="P92" s="96">
        <f t="shared" ca="1" si="49"/>
        <v>14.787407972843653</v>
      </c>
      <c r="Q92" s="96">
        <f ca="1">+'Proposed Rates'!G140</f>
        <v>14.787407972843653</v>
      </c>
      <c r="R92" s="96">
        <f>+E92*O92*12</f>
        <v>149965.34367107938</v>
      </c>
      <c r="S92" s="96">
        <f ca="1">+E92*P92*12</f>
        <v>152783.49917542061</v>
      </c>
      <c r="T92" s="96">
        <f t="shared" ca="1" si="50"/>
        <v>2818.1555043412372</v>
      </c>
      <c r="U92" s="96" t="str">
        <f t="shared" ca="1" si="54"/>
        <v xml:space="preserve"> </v>
      </c>
      <c r="V92" s="97">
        <f ca="1">((I92*$H$115)*(References!$D$69/References!$F$78))*'Regulated DF Calc'!G92</f>
        <v>0.27275992105509506</v>
      </c>
      <c r="W92" s="116">
        <f t="shared" ca="1" si="38"/>
        <v>0</v>
      </c>
      <c r="X92" s="83" t="s">
        <v>432</v>
      </c>
    </row>
    <row r="93" spans="1:24" s="83" customFormat="1" ht="13.5" customHeight="1">
      <c r="A93" s="95" t="s">
        <v>215</v>
      </c>
      <c r="B93" s="95" t="s">
        <v>87</v>
      </c>
      <c r="D93" s="108"/>
      <c r="E93" s="110">
        <v>63</v>
      </c>
      <c r="G93" s="97">
        <f>+References!D12</f>
        <v>8.66</v>
      </c>
      <c r="H93" s="219">
        <f t="shared" si="55"/>
        <v>6546.9600000000009</v>
      </c>
      <c r="I93" s="235">
        <f>+References!C35</f>
        <v>29</v>
      </c>
      <c r="J93" s="84">
        <f t="shared" si="29"/>
        <v>189861.84000000003</v>
      </c>
      <c r="K93" s="84">
        <f t="shared" si="46"/>
        <v>143961.59529319513</v>
      </c>
      <c r="L93" s="96">
        <f ca="1">+K93*References!$D$69</f>
        <v>403.0924668209459</v>
      </c>
      <c r="M93" s="96">
        <f ca="1">+L93/References!$F$78</f>
        <v>412.41300063530377</v>
      </c>
      <c r="N93" s="96">
        <f ca="1">IFERROR(+M93/H93,0)</f>
        <v>6.2993053361453819E-2</v>
      </c>
      <c r="O93" s="237">
        <f>+'Proposed Rates'!B125</f>
        <v>3.3526669865562484</v>
      </c>
      <c r="P93" s="96">
        <f t="shared" ca="1" si="49"/>
        <v>3.4156600399177024</v>
      </c>
      <c r="Q93" s="96">
        <f ca="1">+'Proposed Rates'!G125</f>
        <v>3.4156600399177024</v>
      </c>
      <c r="R93" s="96">
        <f>+E93*O93*G93*12</f>
        <v>21949.776654304296</v>
      </c>
      <c r="S93" s="96">
        <f t="shared" ca="1" si="37"/>
        <v>22362.189654939601</v>
      </c>
      <c r="T93" s="96">
        <f t="shared" ca="1" si="50"/>
        <v>412.41300063530434</v>
      </c>
      <c r="U93" s="96" t="str">
        <f t="shared" ca="1" si="54"/>
        <v xml:space="preserve"> </v>
      </c>
      <c r="V93" s="97">
        <f ca="1">((I93*$H$115)*(References!$D$69/References!$F$78))</f>
        <v>6.2993053361453819E-2</v>
      </c>
      <c r="W93" s="116">
        <f t="shared" ca="1" si="38"/>
        <v>0</v>
      </c>
    </row>
    <row r="94" spans="1:24" s="83" customFormat="1" ht="13.5" customHeight="1">
      <c r="A94" s="95" t="s">
        <v>216</v>
      </c>
      <c r="B94" s="95" t="s">
        <v>89</v>
      </c>
      <c r="D94" s="108"/>
      <c r="E94" s="110">
        <v>19</v>
      </c>
      <c r="G94" s="97">
        <f>+References!E12</f>
        <v>12.99</v>
      </c>
      <c r="H94" s="219">
        <f t="shared" si="55"/>
        <v>2961.7200000000003</v>
      </c>
      <c r="I94" s="235">
        <f>+References!C35</f>
        <v>29</v>
      </c>
      <c r="J94" s="84">
        <f t="shared" si="29"/>
        <v>85889.88</v>
      </c>
      <c r="K94" s="84">
        <f t="shared" si="46"/>
        <v>65125.483585016838</v>
      </c>
      <c r="L94" s="96">
        <f ca="1">+K94*References!$D$69</f>
        <v>182.35135403804694</v>
      </c>
      <c r="M94" s="96">
        <f ca="1">+L94/References!$F$78</f>
        <v>186.56778600168499</v>
      </c>
      <c r="N94" s="96">
        <f t="shared" ca="1" si="35"/>
        <v>6.2993053361453805E-2</v>
      </c>
      <c r="O94" s="237">
        <f>+'Proposed Rates'!B125</f>
        <v>3.3526669865562484</v>
      </c>
      <c r="P94" s="96">
        <f t="shared" ca="1" si="49"/>
        <v>3.4156600399177024</v>
      </c>
      <c r="Q94" s="96">
        <f ca="1">+'Proposed Rates'!G125</f>
        <v>3.4156600399177024</v>
      </c>
      <c r="R94" s="96">
        <f t="shared" si="36"/>
        <v>9929.6608674233721</v>
      </c>
      <c r="S94" s="96">
        <f t="shared" ca="1" si="37"/>
        <v>10116.228653425058</v>
      </c>
      <c r="T94" s="96">
        <f t="shared" ca="1" si="50"/>
        <v>186.56778600168582</v>
      </c>
      <c r="U94" s="96" t="str">
        <f t="shared" ca="1" si="54"/>
        <v xml:space="preserve"> </v>
      </c>
      <c r="V94" s="97">
        <f ca="1">((I94*$H$115)*(References!$D$69/References!$F$78))</f>
        <v>6.2993053361453819E-2</v>
      </c>
      <c r="W94" s="116">
        <f t="shared" ca="1" si="38"/>
        <v>0</v>
      </c>
    </row>
    <row r="95" spans="1:24" s="83" customFormat="1" ht="13.5" customHeight="1">
      <c r="A95" s="95" t="s">
        <v>217</v>
      </c>
      <c r="B95" s="95" t="s">
        <v>91</v>
      </c>
      <c r="D95" s="108"/>
      <c r="E95" s="110">
        <v>7</v>
      </c>
      <c r="G95" s="97">
        <f>+References!F12</f>
        <v>17.32</v>
      </c>
      <c r="H95" s="219">
        <f t="shared" si="55"/>
        <v>1454.88</v>
      </c>
      <c r="I95" s="235">
        <f>+References!C35</f>
        <v>29</v>
      </c>
      <c r="J95" s="84">
        <f t="shared" si="29"/>
        <v>42191.520000000004</v>
      </c>
      <c r="K95" s="84">
        <f t="shared" si="46"/>
        <v>31991.465620710027</v>
      </c>
      <c r="L95" s="96">
        <f ca="1">+K95*References!$D$69</f>
        <v>89.576103737987978</v>
      </c>
      <c r="M95" s="96">
        <f ca="1">+L95/References!$F$78</f>
        <v>91.647333474511939</v>
      </c>
      <c r="N95" s="96">
        <f t="shared" ca="1" si="35"/>
        <v>6.2993053361453819E-2</v>
      </c>
      <c r="O95" s="237">
        <f>+'Proposed Rates'!B125</f>
        <v>3.3526669865562484</v>
      </c>
      <c r="P95" s="96">
        <f t="shared" ca="1" si="49"/>
        <v>3.4156600399177024</v>
      </c>
      <c r="Q95" s="96">
        <f ca="1">+'Proposed Rates'!G125</f>
        <v>3.4156600399177024</v>
      </c>
      <c r="R95" s="96">
        <f t="shared" si="36"/>
        <v>4877.7281454009544</v>
      </c>
      <c r="S95" s="96">
        <f t="shared" ca="1" si="37"/>
        <v>4969.3754788754668</v>
      </c>
      <c r="T95" s="96">
        <f t="shared" ca="1" si="50"/>
        <v>91.647333474512379</v>
      </c>
      <c r="U95" s="96" t="str">
        <f t="shared" ca="1" si="54"/>
        <v xml:space="preserve"> </v>
      </c>
      <c r="V95" s="97">
        <f ca="1">((I95*$H$115)*(References!$D$69/References!$F$78))</f>
        <v>6.2993053361453819E-2</v>
      </c>
      <c r="W95" s="116">
        <f t="shared" ca="1" si="38"/>
        <v>0</v>
      </c>
    </row>
    <row r="96" spans="1:24" s="83" customFormat="1" ht="13.5" customHeight="1">
      <c r="A96" s="95" t="s">
        <v>218</v>
      </c>
      <c r="B96" s="95" t="s">
        <v>93</v>
      </c>
      <c r="D96" s="108"/>
      <c r="E96" s="110">
        <v>2</v>
      </c>
      <c r="G96" s="97">
        <f>+References!G12</f>
        <v>21.65</v>
      </c>
      <c r="H96" s="219">
        <f t="shared" si="55"/>
        <v>519.59999999999991</v>
      </c>
      <c r="I96" s="235">
        <f>+References!C35</f>
        <v>29</v>
      </c>
      <c r="J96" s="84">
        <f t="shared" si="29"/>
        <v>15068.399999999998</v>
      </c>
      <c r="K96" s="84">
        <f t="shared" si="46"/>
        <v>11425.523435967863</v>
      </c>
      <c r="L96" s="96">
        <f ca="1">+K96*References!$D$69</f>
        <v>31.991465620709981</v>
      </c>
      <c r="M96" s="96">
        <f ca="1">+L96/References!$F$78</f>
        <v>32.7311905266114</v>
      </c>
      <c r="N96" s="96">
        <f t="shared" ca="1" si="35"/>
        <v>6.2993053361453819E-2</v>
      </c>
      <c r="O96" s="237">
        <f>+'Proposed Rates'!B125</f>
        <v>3.3526669865562484</v>
      </c>
      <c r="P96" s="96">
        <f t="shared" ca="1" si="49"/>
        <v>3.4156600399177024</v>
      </c>
      <c r="Q96" s="96">
        <f ca="1">+'Proposed Rates'!G125</f>
        <v>3.4156600399177024</v>
      </c>
      <c r="R96" s="96">
        <f t="shared" si="36"/>
        <v>1742.0457662146266</v>
      </c>
      <c r="S96" s="96">
        <f t="shared" ca="1" si="37"/>
        <v>1774.7769567412379</v>
      </c>
      <c r="T96" s="96">
        <f t="shared" ca="1" si="50"/>
        <v>32.731190526611272</v>
      </c>
      <c r="U96" s="96" t="str">
        <f t="shared" ca="1" si="54"/>
        <v xml:space="preserve"> </v>
      </c>
      <c r="V96" s="97">
        <f ca="1">((I96*$H$115)*(References!$D$69/References!$F$78))</f>
        <v>6.2993053361453819E-2</v>
      </c>
      <c r="W96" s="116">
        <f t="shared" ca="1" si="38"/>
        <v>0</v>
      </c>
    </row>
    <row r="97" spans="1:23" s="108" customFormat="1" ht="13.5" customHeight="1">
      <c r="A97" s="220" t="s">
        <v>397</v>
      </c>
      <c r="B97" s="220" t="s">
        <v>97</v>
      </c>
      <c r="E97" s="110">
        <v>2</v>
      </c>
      <c r="G97" s="111">
        <f>+References!I12</f>
        <v>30.31</v>
      </c>
      <c r="H97" s="219">
        <f t="shared" si="55"/>
        <v>727.43999999999994</v>
      </c>
      <c r="I97" s="235">
        <f>+References!C35</f>
        <v>29</v>
      </c>
      <c r="J97" s="110">
        <f t="shared" ref="J97" si="56">+H97*I97</f>
        <v>21095.759999999998</v>
      </c>
      <c r="K97" s="110">
        <f t="shared" ref="K97" si="57">+J97*$H$115</f>
        <v>15995.73281035501</v>
      </c>
      <c r="L97" s="109">
        <f ca="1">+K97*References!$D$69</f>
        <v>44.788051868993982</v>
      </c>
      <c r="M97" s="109">
        <f ca="1">+L97/References!$F$78</f>
        <v>45.823666737255962</v>
      </c>
      <c r="N97" s="96">
        <f t="shared" ca="1" si="35"/>
        <v>6.2993053361453819E-2</v>
      </c>
      <c r="O97" s="237">
        <f>+'Proposed Rates'!B125</f>
        <v>3.3526669865562484</v>
      </c>
      <c r="P97" s="109">
        <f t="shared" ref="P97" ca="1" si="58">+O97+N97</f>
        <v>3.4156600399177024</v>
      </c>
      <c r="Q97" s="109">
        <f ca="1">+'Proposed Rates'!G125</f>
        <v>3.4156600399177024</v>
      </c>
      <c r="R97" s="96">
        <f t="shared" si="36"/>
        <v>2438.8640727004772</v>
      </c>
      <c r="S97" s="96">
        <f t="shared" ca="1" si="37"/>
        <v>2484.6877394377334</v>
      </c>
      <c r="T97" s="109">
        <f t="shared" ref="T97" ca="1" si="59">+S97-R97</f>
        <v>45.82366673725619</v>
      </c>
      <c r="U97" s="109" t="str">
        <f t="shared" ca="1" si="54"/>
        <v xml:space="preserve"> </v>
      </c>
      <c r="V97" s="97">
        <f ca="1">((I97*$H$115)*(References!$D$69/References!$F$78))</f>
        <v>6.2993053361453819E-2</v>
      </c>
      <c r="W97" s="116">
        <f t="shared" ca="1" si="38"/>
        <v>0</v>
      </c>
    </row>
    <row r="98" spans="1:23" s="83" customFormat="1" ht="13.5" customHeight="1">
      <c r="A98" s="95" t="s">
        <v>219</v>
      </c>
      <c r="B98" s="95" t="s">
        <v>95</v>
      </c>
      <c r="D98" s="108"/>
      <c r="E98" s="110">
        <v>2</v>
      </c>
      <c r="G98" s="97">
        <f>+References!H12</f>
        <v>25.98</v>
      </c>
      <c r="H98" s="219">
        <f t="shared" si="55"/>
        <v>623.52</v>
      </c>
      <c r="I98" s="235">
        <f>+References!C35</f>
        <v>29</v>
      </c>
      <c r="J98" s="84">
        <f t="shared" si="29"/>
        <v>18082.079999999998</v>
      </c>
      <c r="K98" s="84">
        <f>+J98*$H$115</f>
        <v>13710.628123161438</v>
      </c>
      <c r="L98" s="96">
        <f ca="1">+K98*References!$D$69</f>
        <v>38.389758744851981</v>
      </c>
      <c r="M98" s="96">
        <f ca="1">+L98/References!$F$78</f>
        <v>39.277428631933681</v>
      </c>
      <c r="N98" s="96">
        <f t="shared" ca="1" si="35"/>
        <v>6.2993053361453819E-2</v>
      </c>
      <c r="O98" s="237">
        <f>+'Proposed Rates'!B125</f>
        <v>3.3526669865562484</v>
      </c>
      <c r="P98" s="96">
        <f t="shared" ca="1" si="49"/>
        <v>3.4156600399177024</v>
      </c>
      <c r="Q98" s="96">
        <f ca="1">+'Proposed Rates'!G125</f>
        <v>3.4156600399177024</v>
      </c>
      <c r="R98" s="96">
        <f t="shared" si="36"/>
        <v>2090.454919457552</v>
      </c>
      <c r="S98" s="96">
        <f t="shared" ca="1" si="37"/>
        <v>2129.7323480894856</v>
      </c>
      <c r="T98" s="96">
        <f t="shared" ca="1" si="50"/>
        <v>39.277428631933617</v>
      </c>
      <c r="U98" s="96" t="str">
        <f t="shared" ca="1" si="54"/>
        <v xml:space="preserve"> </v>
      </c>
      <c r="V98" s="97">
        <f ca="1">((I98*$H$115)*(References!$D$69/References!$F$78))</f>
        <v>6.2993053361453819E-2</v>
      </c>
      <c r="W98" s="116">
        <f t="shared" ca="1" si="38"/>
        <v>0</v>
      </c>
    </row>
    <row r="99" spans="1:23" s="83" customFormat="1" ht="13.5" customHeight="1">
      <c r="A99" s="95" t="s">
        <v>220</v>
      </c>
      <c r="B99" s="95" t="s">
        <v>99</v>
      </c>
      <c r="D99" s="108"/>
      <c r="E99" s="110">
        <v>2</v>
      </c>
      <c r="G99" s="112">
        <f>+References!C12*8</f>
        <v>34.64</v>
      </c>
      <c r="H99" s="219">
        <f t="shared" si="55"/>
        <v>831.36</v>
      </c>
      <c r="I99" s="235">
        <f>+References!C35</f>
        <v>29</v>
      </c>
      <c r="J99" s="84">
        <f t="shared" si="29"/>
        <v>24109.439999999999</v>
      </c>
      <c r="K99" s="84">
        <f>+J99*$H$115</f>
        <v>18280.837497548582</v>
      </c>
      <c r="L99" s="96">
        <f ca="1">+K99*References!$D$69</f>
        <v>51.186344993135975</v>
      </c>
      <c r="M99" s="96">
        <f ca="1">+L99/References!$F$78</f>
        <v>52.369904842578244</v>
      </c>
      <c r="N99" s="96">
        <f t="shared" ca="1" si="35"/>
        <v>6.2993053361453819E-2</v>
      </c>
      <c r="O99" s="237">
        <f>+'Proposed Rates'!B125</f>
        <v>3.3526669865562484</v>
      </c>
      <c r="P99" s="96">
        <f t="shared" ca="1" si="49"/>
        <v>3.4156600399177024</v>
      </c>
      <c r="Q99" s="96">
        <f ca="1">+'Proposed Rates'!G125</f>
        <v>3.4156600399177024</v>
      </c>
      <c r="R99" s="96">
        <f t="shared" si="36"/>
        <v>2787.2732259434028</v>
      </c>
      <c r="S99" s="96">
        <f t="shared" ca="1" si="37"/>
        <v>2839.6431307859812</v>
      </c>
      <c r="T99" s="96">
        <f t="shared" ca="1" si="50"/>
        <v>52.369904842578308</v>
      </c>
      <c r="U99" s="96" t="str">
        <f t="shared" ca="1" si="54"/>
        <v xml:space="preserve"> </v>
      </c>
      <c r="V99" s="97">
        <f ca="1">((I99*$H$115)*(References!$D$69/References!$F$78))</f>
        <v>6.2993053361453819E-2</v>
      </c>
      <c r="W99" s="116">
        <f t="shared" ca="1" si="38"/>
        <v>0</v>
      </c>
    </row>
    <row r="100" spans="1:23" s="83" customFormat="1" ht="13.5" customHeight="1">
      <c r="A100" s="95" t="s">
        <v>221</v>
      </c>
      <c r="B100" s="95" t="s">
        <v>100</v>
      </c>
      <c r="D100" s="108"/>
      <c r="E100" s="110">
        <v>1</v>
      </c>
      <c r="G100" s="112">
        <f>+References!C12*9</f>
        <v>38.97</v>
      </c>
      <c r="H100" s="219">
        <f t="shared" si="55"/>
        <v>467.64</v>
      </c>
      <c r="I100" s="235">
        <f>+References!C35</f>
        <v>29</v>
      </c>
      <c r="J100" s="84">
        <f t="shared" si="29"/>
        <v>13561.56</v>
      </c>
      <c r="K100" s="84">
        <f>+J100*$H$115</f>
        <v>10282.971092371079</v>
      </c>
      <c r="L100" s="96">
        <f ca="1">+K100*References!$D$69</f>
        <v>28.792319058638991</v>
      </c>
      <c r="M100" s="96">
        <f ca="1">+L100/References!$F$78</f>
        <v>29.458071473950266</v>
      </c>
      <c r="N100" s="96">
        <f t="shared" ca="1" si="35"/>
        <v>6.2993053361453819E-2</v>
      </c>
      <c r="O100" s="237">
        <f>+'Proposed Rates'!B125</f>
        <v>3.3526669865562484</v>
      </c>
      <c r="P100" s="96">
        <f t="shared" ca="1" si="49"/>
        <v>3.4156600399177024</v>
      </c>
      <c r="Q100" s="96">
        <f ca="1">+'Proposed Rates'!G125</f>
        <v>3.4156600399177024</v>
      </c>
      <c r="R100" s="96">
        <f t="shared" si="36"/>
        <v>1567.841189593164</v>
      </c>
      <c r="S100" s="96">
        <f t="shared" ca="1" si="37"/>
        <v>1597.2992610671142</v>
      </c>
      <c r="T100" s="96">
        <f t="shared" ca="1" si="50"/>
        <v>29.458071473950213</v>
      </c>
      <c r="U100" s="96" t="str">
        <f t="shared" ca="1" si="54"/>
        <v xml:space="preserve"> </v>
      </c>
      <c r="V100" s="97">
        <f ca="1">((I100*$H$115)*(References!$D$69/References!$F$78))</f>
        <v>6.2993053361453819E-2</v>
      </c>
      <c r="W100" s="116">
        <f t="shared" ref="W100:W105" ca="1" si="60">N100-V100</f>
        <v>0</v>
      </c>
    </row>
    <row r="101" spans="1:23" s="108" customFormat="1" ht="13.5" customHeight="1">
      <c r="A101" s="220" t="s">
        <v>299</v>
      </c>
      <c r="B101" s="220" t="s">
        <v>300</v>
      </c>
      <c r="E101" s="110">
        <v>83</v>
      </c>
      <c r="G101" s="112">
        <f>+References!C13</f>
        <v>2.17</v>
      </c>
      <c r="H101" s="219">
        <f t="shared" si="55"/>
        <v>2161.3199999999997</v>
      </c>
      <c r="I101" s="235">
        <f>+References!C35</f>
        <v>29</v>
      </c>
      <c r="J101" s="110">
        <f t="shared" ref="J101" si="61">+H101*I101</f>
        <v>62678.279999999992</v>
      </c>
      <c r="K101" s="110">
        <f t="shared" ref="K101" si="62">+J101*$H$115</f>
        <v>47525.427853398891</v>
      </c>
      <c r="L101" s="109">
        <f ca="1">+K101*References!$D$69</f>
        <v>133.07119798951675</v>
      </c>
      <c r="M101" s="109">
        <f ca="1">+L101/References!$F$78</f>
        <v>136.14814609117735</v>
      </c>
      <c r="N101" s="96">
        <f t="shared" ca="1" si="35"/>
        <v>6.2993053361453819E-2</v>
      </c>
      <c r="O101" s="237">
        <f>+'Proposed Rates'!B125</f>
        <v>3.3526669865562484</v>
      </c>
      <c r="P101" s="109">
        <f t="shared" ref="P101" ca="1" si="63">+O101+N101</f>
        <v>3.4156600399177024</v>
      </c>
      <c r="Q101" s="109">
        <f ca="1">+'Proposed Rates'!G125</f>
        <v>3.4156600399177024</v>
      </c>
      <c r="R101" s="96">
        <f t="shared" si="36"/>
        <v>7246.1862113837497</v>
      </c>
      <c r="S101" s="96">
        <f t="shared" ca="1" si="37"/>
        <v>7382.3343574749288</v>
      </c>
      <c r="T101" s="109">
        <f t="shared" ref="T101" ca="1" si="64">+S101-R101</f>
        <v>136.14814609117911</v>
      </c>
      <c r="U101" s="109" t="str">
        <f t="shared" ca="1" si="54"/>
        <v xml:space="preserve"> </v>
      </c>
      <c r="V101" s="97">
        <f ca="1">((I101*$H$115)*(References!$D$69/References!$F$78))</f>
        <v>6.2993053361453819E-2</v>
      </c>
      <c r="W101" s="116">
        <f t="shared" ca="1" si="60"/>
        <v>0</v>
      </c>
    </row>
    <row r="102" spans="1:23" s="83" customFormat="1" ht="13.5" customHeight="1">
      <c r="A102" s="95" t="s">
        <v>222</v>
      </c>
      <c r="B102" s="95" t="s">
        <v>223</v>
      </c>
      <c r="D102" s="108"/>
      <c r="E102" s="110">
        <v>256</v>
      </c>
      <c r="G102" s="97">
        <f>+References!C15</f>
        <v>1</v>
      </c>
      <c r="H102" s="219">
        <f t="shared" ref="H102:H104" si="65">+E102*G102*12</f>
        <v>3072</v>
      </c>
      <c r="I102" s="235">
        <f>+References!C35</f>
        <v>29</v>
      </c>
      <c r="J102" s="84">
        <f t="shared" ref="J102:J104" si="66">+H102*I102</f>
        <v>89088</v>
      </c>
      <c r="K102" s="84">
        <f>+J102*$H$115</f>
        <v>67550.43879001787</v>
      </c>
      <c r="L102" s="96">
        <f ca="1">+K102*References!$D$69</f>
        <v>189.14122861204982</v>
      </c>
      <c r="M102" s="96">
        <f ca="1">+L102/References!$F$78</f>
        <v>193.51465992638614</v>
      </c>
      <c r="N102" s="96">
        <f t="shared" ref="N102:N104" ca="1" si="67">IFERROR(+M102/H102,0)</f>
        <v>6.2993053361453819E-2</v>
      </c>
      <c r="O102" s="237">
        <f>+'Proposed Rates'!B138</f>
        <v>4.572666986556249</v>
      </c>
      <c r="P102" s="96">
        <f t="shared" ref="P102:P104" ca="1" si="68">+O102+N102</f>
        <v>4.6356600399177026</v>
      </c>
      <c r="Q102" s="96">
        <f ca="1">+'Proposed Rates'!G138</f>
        <v>4.6356600399177026</v>
      </c>
      <c r="R102" s="96">
        <f t="shared" ref="R102:R104" si="69">+E102*O102*G102*12</f>
        <v>14047.232982700796</v>
      </c>
      <c r="S102" s="96">
        <f t="shared" ref="S102:S104" ca="1" si="70">+E102*P102*G102*12</f>
        <v>14240.747642627182</v>
      </c>
      <c r="T102" s="96">
        <f t="shared" ref="T102:T104" ca="1" si="71">+S102-R102</f>
        <v>193.51465992638623</v>
      </c>
      <c r="U102" s="96" t="str">
        <f t="shared" ca="1" si="54"/>
        <v xml:space="preserve"> </v>
      </c>
      <c r="V102" s="97">
        <f ca="1">((I102*$H$115)*(References!$D$69/References!$F$78))</f>
        <v>6.2993053361453819E-2</v>
      </c>
      <c r="W102" s="116">
        <f t="shared" ca="1" si="60"/>
        <v>0</v>
      </c>
    </row>
    <row r="103" spans="1:23" s="83" customFormat="1" ht="13.5" customHeight="1">
      <c r="A103" s="95" t="s">
        <v>224</v>
      </c>
      <c r="B103" s="95" t="s">
        <v>225</v>
      </c>
      <c r="D103" s="108"/>
      <c r="E103" s="110">
        <v>272</v>
      </c>
      <c r="G103" s="97">
        <f>+References!C15</f>
        <v>1</v>
      </c>
      <c r="H103" s="219">
        <f t="shared" si="65"/>
        <v>3264</v>
      </c>
      <c r="I103" s="235">
        <f>+References!C36</f>
        <v>125</v>
      </c>
      <c r="J103" s="84">
        <f t="shared" si="66"/>
        <v>408000</v>
      </c>
      <c r="K103" s="84">
        <f>+J103*$H$115</f>
        <v>309363.53971721546</v>
      </c>
      <c r="L103" s="96">
        <f ca="1">+K103*References!$D$69</f>
        <v>866.21791120820239</v>
      </c>
      <c r="M103" s="96">
        <f ca="1">+L103/References!$F$78</f>
        <v>886.24709556804009</v>
      </c>
      <c r="N103" s="96">
        <f t="shared" ca="1" si="67"/>
        <v>0.27152178173040442</v>
      </c>
      <c r="O103" s="237">
        <f>+'Proposed Rates'!B63</f>
        <v>25.973219769639002</v>
      </c>
      <c r="P103" s="96">
        <f t="shared" ca="1" si="68"/>
        <v>26.244741551369405</v>
      </c>
      <c r="Q103" s="96">
        <f ca="1">+'Proposed Rates'!G63</f>
        <v>26.244741551369405</v>
      </c>
      <c r="R103" s="96">
        <f t="shared" si="69"/>
        <v>84776.589328101705</v>
      </c>
      <c r="S103" s="96">
        <f t="shared" ca="1" si="70"/>
        <v>85662.836423669738</v>
      </c>
      <c r="T103" s="96">
        <f t="shared" ca="1" si="71"/>
        <v>886.24709556803282</v>
      </c>
      <c r="U103" s="96" t="str">
        <f t="shared" ca="1" si="54"/>
        <v xml:space="preserve"> </v>
      </c>
      <c r="V103" s="97">
        <f ca="1">((I103*$H$115)*(References!$D$69/References!$F$78))</f>
        <v>0.27152178173040437</v>
      </c>
      <c r="W103" s="116">
        <f t="shared" ca="1" si="60"/>
        <v>0</v>
      </c>
    </row>
    <row r="104" spans="1:23" s="83" customFormat="1" ht="13.5" customHeight="1">
      <c r="A104" s="107" t="s">
        <v>226</v>
      </c>
      <c r="B104" s="107" t="s">
        <v>227</v>
      </c>
      <c r="C104" s="108"/>
      <c r="D104" s="108"/>
      <c r="E104" s="110">
        <f>INDEX([33]Regulated!$D:$D,MATCH(A104,[33]Regulated!$A:$A,0))</f>
        <v>1.8257487563918229</v>
      </c>
      <c r="F104" s="108"/>
      <c r="G104" s="111">
        <f>+References!C15</f>
        <v>1</v>
      </c>
      <c r="H104" s="219">
        <f t="shared" si="65"/>
        <v>21.908985076701875</v>
      </c>
      <c r="I104" s="235">
        <v>125</v>
      </c>
      <c r="J104" s="110">
        <f t="shared" si="66"/>
        <v>2738.6231345877345</v>
      </c>
      <c r="K104" s="110">
        <f>+J104*$H$115</f>
        <v>2076.544477616465</v>
      </c>
      <c r="L104" s="109">
        <f ca="1">+K104*References!$D$69</f>
        <v>5.8143245373260957</v>
      </c>
      <c r="M104" s="109">
        <f ca="1">+L104/References!$F$78</f>
        <v>5.9487666639309342</v>
      </c>
      <c r="N104" s="109">
        <f t="shared" ca="1" si="67"/>
        <v>0.27152178173040442</v>
      </c>
      <c r="O104" s="237">
        <f>+'Proposed Rates'!B64</f>
        <v>20.803219769639</v>
      </c>
      <c r="P104" s="109">
        <f t="shared" ca="1" si="68"/>
        <v>21.074741551369403</v>
      </c>
      <c r="Q104" s="109">
        <f ca="1">+'Proposed Rates'!G64</f>
        <v>21.074741551369403</v>
      </c>
      <c r="R104" s="96">
        <f t="shared" si="69"/>
        <v>455.7774314803703</v>
      </c>
      <c r="S104" s="96">
        <f t="shared" ca="1" si="70"/>
        <v>461.72619814430112</v>
      </c>
      <c r="T104" s="109">
        <f t="shared" ca="1" si="71"/>
        <v>5.9487666639308259</v>
      </c>
      <c r="U104" s="96" t="str">
        <f t="shared" ca="1" si="54"/>
        <v xml:space="preserve"> </v>
      </c>
      <c r="V104" s="97">
        <f ca="1">((I104*$H$115)*(References!$D$69/References!$F$78))</f>
        <v>0.27152178173040437</v>
      </c>
      <c r="W104" s="116">
        <f t="shared" ca="1" si="60"/>
        <v>0</v>
      </c>
    </row>
    <row r="105" spans="1:23" s="83" customFormat="1" ht="13.5" customHeight="1">
      <c r="A105" s="99"/>
      <c r="B105" s="99"/>
      <c r="U105" s="96" t="str">
        <f t="shared" si="54"/>
        <v xml:space="preserve"> </v>
      </c>
      <c r="V105" s="97">
        <f ca="1">((I105*$H$115)*(References!$D$69/References!$F$78))</f>
        <v>0</v>
      </c>
      <c r="W105" s="116">
        <f t="shared" ca="1" si="60"/>
        <v>0</v>
      </c>
    </row>
    <row r="106" spans="1:23" s="83" customFormat="1" ht="13.5" customHeight="1">
      <c r="A106" s="82"/>
      <c r="B106" s="100" t="s">
        <v>228</v>
      </c>
      <c r="D106" s="102"/>
      <c r="E106" s="113">
        <f>+SUM(E37:E105)</f>
        <v>5214.8257487563915</v>
      </c>
      <c r="F106" s="113"/>
      <c r="G106" s="113"/>
      <c r="H106" s="113">
        <f>+SUM(H37:H105)</f>
        <v>233765.22898507671</v>
      </c>
      <c r="I106" s="113"/>
      <c r="J106" s="113">
        <f>+SUM(J37:J105)</f>
        <v>70822833.103134587</v>
      </c>
      <c r="K106" s="113">
        <f>+SUM(K37:K105)</f>
        <v>53700986.131341435</v>
      </c>
      <c r="L106" s="101">
        <f ca="1">+SUM(L37:L105)</f>
        <v>150362.76116775576</v>
      </c>
      <c r="M106" s="101">
        <f ca="1">+SUM(M37:M105)</f>
        <v>153839.53465086536</v>
      </c>
      <c r="N106" s="101">
        <f ca="1">SUM(N9:N104)</f>
        <v>87.831634441220032</v>
      </c>
      <c r="O106" s="101"/>
      <c r="P106" s="101"/>
      <c r="Q106" s="101"/>
      <c r="R106" s="101">
        <f>+SUM(R37:R105)</f>
        <v>7348211.8400621871</v>
      </c>
      <c r="S106" s="101">
        <f ca="1">+SUM(S37:S105)</f>
        <v>7502051.3747130502</v>
      </c>
      <c r="T106" s="101">
        <f ca="1">+SUM(T37:T105)</f>
        <v>153839.53465086551</v>
      </c>
      <c r="U106" s="142"/>
      <c r="V106" s="142"/>
    </row>
    <row r="107" spans="1:23" s="83" customFormat="1" ht="13.5" customHeight="1">
      <c r="A107" s="82"/>
      <c r="B107" s="100"/>
      <c r="E107" s="98"/>
      <c r="F107" s="98"/>
      <c r="G107" s="98"/>
      <c r="H107" s="98"/>
      <c r="I107" s="98"/>
      <c r="J107" s="98"/>
      <c r="K107" s="98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</row>
    <row r="108" spans="1:23" s="83" customFormat="1" ht="13.5" customHeight="1" thickBot="1">
      <c r="A108" s="82"/>
      <c r="B108" s="100" t="s">
        <v>229</v>
      </c>
      <c r="D108" s="115"/>
      <c r="E108" s="115">
        <f>+E106+E32</f>
        <v>104526.99826337628</v>
      </c>
      <c r="F108" s="115"/>
      <c r="G108" s="115"/>
      <c r="H108" s="115">
        <f>+H106+H32</f>
        <v>4116418.992844726</v>
      </c>
      <c r="I108" s="115"/>
      <c r="J108" s="115">
        <f>+J106+J32</f>
        <v>219067755.55641395</v>
      </c>
      <c r="K108" s="115">
        <f>+K106+K32</f>
        <v>166106804.64911252</v>
      </c>
      <c r="L108" s="114">
        <f ca="1">+L106+L32</f>
        <v>465099.05301751447</v>
      </c>
      <c r="M108" s="114">
        <f ca="1">+M106+M32</f>
        <v>475853.33846686571</v>
      </c>
      <c r="N108" s="114"/>
      <c r="O108" s="114"/>
      <c r="P108" s="114"/>
      <c r="Q108" s="114"/>
      <c r="R108" s="114">
        <f>+R106+R32</f>
        <v>23708424.312062927</v>
      </c>
      <c r="S108" s="114">
        <f ca="1">+S106+S32</f>
        <v>24184277.650529787</v>
      </c>
      <c r="T108" s="114">
        <f ca="1">+T106+T32</f>
        <v>475853.33846686466</v>
      </c>
      <c r="U108" s="142"/>
      <c r="V108" s="142"/>
    </row>
    <row r="109" spans="1:23" s="83" customFormat="1" ht="13.5" customHeight="1" thickTop="1">
      <c r="A109" s="82"/>
      <c r="B109" s="82"/>
      <c r="T109" s="143">
        <f ca="1">T108-References!C76</f>
        <v>-1.0477378964424133E-9</v>
      </c>
      <c r="U109" s="116"/>
      <c r="V109" s="116"/>
    </row>
    <row r="110" spans="1:23" s="83" customFormat="1" ht="13.5" customHeight="1" thickBot="1">
      <c r="A110" s="82"/>
      <c r="B110" s="82"/>
    </row>
    <row r="111" spans="1:23" s="83" customFormat="1" ht="13.5" customHeight="1">
      <c r="A111" s="82"/>
      <c r="B111" s="82"/>
      <c r="F111" s="273" t="s">
        <v>230</v>
      </c>
      <c r="G111" s="273"/>
      <c r="L111" s="117"/>
      <c r="N111" s="201"/>
      <c r="O111" s="202" t="s">
        <v>305</v>
      </c>
      <c r="P111" s="203">
        <f ca="1">T32</f>
        <v>322013.80381599918</v>
      </c>
      <c r="Q111" s="204">
        <f ca="1">P111/R32</f>
        <v>1.9682739717904112E-2</v>
      </c>
    </row>
    <row r="112" spans="1:23" s="83" customFormat="1" ht="13.5" customHeight="1">
      <c r="A112" s="82"/>
      <c r="H112" s="119" t="s">
        <v>64</v>
      </c>
      <c r="J112" s="86"/>
      <c r="N112" s="205"/>
      <c r="O112" s="118" t="s">
        <v>306</v>
      </c>
      <c r="P112" s="214">
        <f ca="1">T106</f>
        <v>153839.53465086551</v>
      </c>
      <c r="Q112" s="207">
        <f ca="1">P112/R106</f>
        <v>2.0935642303089017E-2</v>
      </c>
    </row>
    <row r="113" spans="1:23" s="83" customFormat="1" ht="13.5" customHeight="1">
      <c r="A113" s="82"/>
      <c r="F113" s="83" t="s">
        <v>234</v>
      </c>
      <c r="H113" s="200">
        <f>Disposal!D33*Disposal!D41</f>
        <v>83053.402324556257</v>
      </c>
      <c r="J113" s="120"/>
      <c r="N113" s="205"/>
      <c r="O113" s="118" t="s">
        <v>345</v>
      </c>
      <c r="P113" s="206">
        <f ca="1">+P111+P112</f>
        <v>475853.33846686466</v>
      </c>
      <c r="Q113" s="208"/>
    </row>
    <row r="114" spans="1:23" s="83" customFormat="1" ht="13.5" customHeight="1">
      <c r="A114" s="82"/>
      <c r="F114" s="83" t="s">
        <v>236</v>
      </c>
      <c r="H114" s="121">
        <f>+H113*References!H22</f>
        <v>166106804.64911252</v>
      </c>
      <c r="J114" s="121"/>
      <c r="N114" s="205"/>
      <c r="P114" s="122">
        <f ca="1">P113-References!C76</f>
        <v>-1.0477378964424133E-9</v>
      </c>
      <c r="Q114" s="208"/>
    </row>
    <row r="115" spans="1:23" s="83" customFormat="1" ht="13.5" customHeight="1">
      <c r="A115" s="82"/>
      <c r="F115" s="124" t="s">
        <v>346</v>
      </c>
      <c r="H115" s="125">
        <f>+'Regulated DF Calc'!H114/(J108)</f>
        <v>0.75824396989513587</v>
      </c>
      <c r="J115" s="120"/>
      <c r="L115" s="123"/>
      <c r="N115" s="205"/>
      <c r="O115" s="209" t="s">
        <v>347</v>
      </c>
      <c r="P115" s="120">
        <f>'[16]Clark Co. Regulated - Price Out'!$AF$283</f>
        <v>30392.812145581309</v>
      </c>
      <c r="Q115" s="208"/>
    </row>
    <row r="116" spans="1:23" s="83" customFormat="1" ht="13.5" customHeight="1">
      <c r="A116" s="82"/>
      <c r="J116" s="126"/>
      <c r="L116" s="127"/>
      <c r="N116" s="205"/>
      <c r="O116" s="118" t="s">
        <v>307</v>
      </c>
      <c r="P116" s="206">
        <f ca="1">+P115*References!E69</f>
        <v>151052.27636353907</v>
      </c>
      <c r="Q116" s="210">
        <f ca="1">+References!E70</f>
        <v>5.2614863434257871E-2</v>
      </c>
    </row>
    <row r="117" spans="1:23" s="83" customFormat="1" ht="13.5" customHeight="1" thickBot="1">
      <c r="A117" s="82"/>
      <c r="F117" s="128" t="s">
        <v>231</v>
      </c>
      <c r="H117" s="129" t="s">
        <v>308</v>
      </c>
      <c r="I117" s="129" t="s">
        <v>232</v>
      </c>
      <c r="L117" s="127"/>
      <c r="N117" s="211"/>
      <c r="O117" s="212"/>
      <c r="P117" s="212"/>
      <c r="Q117" s="213"/>
    </row>
    <row r="118" spans="1:23" s="83" customFormat="1" ht="13.5" customHeight="1">
      <c r="A118" s="82"/>
      <c r="F118" s="120" t="s">
        <v>233</v>
      </c>
      <c r="H118" s="127">
        <f>+J32</f>
        <v>148244922.45327938</v>
      </c>
      <c r="I118" s="127">
        <f>+K32</f>
        <v>112405818.5177711</v>
      </c>
      <c r="J118" s="130"/>
      <c r="K118" s="140">
        <f>+I118/$I$120</f>
        <v>0.67670809004615728</v>
      </c>
      <c r="Q118" s="118"/>
    </row>
    <row r="119" spans="1:23" s="83" customFormat="1" ht="13.5" customHeight="1">
      <c r="A119" s="82"/>
      <c r="F119" s="120" t="s">
        <v>235</v>
      </c>
      <c r="H119" s="127">
        <f>+J106</f>
        <v>70822833.103134587</v>
      </c>
      <c r="I119" s="127">
        <f>+K106</f>
        <v>53700986.131341435</v>
      </c>
      <c r="J119" s="130"/>
      <c r="K119" s="140">
        <f>+I119/$I$120</f>
        <v>0.32329190995384277</v>
      </c>
    </row>
    <row r="120" spans="1:23" s="83" customFormat="1" ht="13.5" customHeight="1">
      <c r="A120" s="82"/>
      <c r="F120" s="120"/>
      <c r="H120" s="139">
        <f>+H118+H119</f>
        <v>219067755.55641395</v>
      </c>
      <c r="I120" s="139">
        <f>+I118+I119</f>
        <v>166106804.64911252</v>
      </c>
      <c r="K120" s="141">
        <f>+K118+K119</f>
        <v>1</v>
      </c>
    </row>
    <row r="121" spans="1:23" s="83" customFormat="1" ht="13.5" customHeight="1">
      <c r="A121" s="82"/>
      <c r="F121" s="120"/>
      <c r="H121" s="123"/>
      <c r="I121" s="123"/>
      <c r="K121" s="245"/>
    </row>
    <row r="122" spans="1:23" s="83" customFormat="1" ht="13.5" customHeight="1">
      <c r="A122" s="82"/>
      <c r="B122" s="83" t="s">
        <v>422</v>
      </c>
      <c r="F122" s="120"/>
      <c r="H122" s="123"/>
      <c r="I122" s="123"/>
      <c r="K122" s="245"/>
    </row>
    <row r="123" spans="1:23" s="83" customFormat="1" ht="13.5" customHeight="1">
      <c r="A123" s="248" t="s">
        <v>430</v>
      </c>
      <c r="B123" s="249" t="s">
        <v>421</v>
      </c>
      <c r="C123" s="239"/>
      <c r="D123" s="239"/>
      <c r="E123" s="246">
        <v>1</v>
      </c>
      <c r="F123" s="239"/>
      <c r="G123" s="240">
        <v>1</v>
      </c>
      <c r="H123" s="241">
        <v>1</v>
      </c>
      <c r="I123" s="240">
        <v>50</v>
      </c>
      <c r="J123" s="240">
        <f>+H123*I123</f>
        <v>50</v>
      </c>
      <c r="K123" s="240">
        <f>+J123*$H$115</f>
        <v>37.912198494756794</v>
      </c>
      <c r="L123" s="151">
        <f ca="1">+K123*References!$D$69</f>
        <v>0.10615415578531891</v>
      </c>
      <c r="M123" s="151">
        <f ca="1">+L123/References!$F$78</f>
        <v>0.10860871269216175</v>
      </c>
      <c r="N123" s="151">
        <f ca="1">IFERROR(+M123/H123,0)</f>
        <v>0.10860871269216175</v>
      </c>
      <c r="O123" s="151">
        <v>3.07</v>
      </c>
      <c r="P123" s="151">
        <f ca="1">+O123+N123</f>
        <v>3.1786087126921614</v>
      </c>
      <c r="Q123" s="151"/>
      <c r="R123" s="151">
        <f>+E123*O123*G123</f>
        <v>3.07</v>
      </c>
      <c r="S123" s="151">
        <f ca="1">+E123*P123*G123</f>
        <v>3.1786087126921614</v>
      </c>
      <c r="T123" s="151">
        <f ca="1">+S123-R123</f>
        <v>0.10860871269216155</v>
      </c>
      <c r="U123" s="151"/>
    </row>
    <row r="124" spans="1:23" s="83" customFormat="1" ht="13.5" customHeight="1">
      <c r="A124" s="248" t="s">
        <v>431</v>
      </c>
      <c r="B124" s="249" t="s">
        <v>420</v>
      </c>
      <c r="C124" s="239"/>
      <c r="D124" s="239"/>
      <c r="E124" s="246">
        <v>1</v>
      </c>
      <c r="F124" s="239"/>
      <c r="G124" s="240">
        <v>1</v>
      </c>
      <c r="H124" s="241">
        <v>1</v>
      </c>
      <c r="I124" s="240">
        <f>References!C42</f>
        <v>728</v>
      </c>
      <c r="J124" s="240">
        <f>+H124*I124</f>
        <v>728</v>
      </c>
      <c r="K124" s="240">
        <f>+J124*$H$115</f>
        <v>552.00161008365887</v>
      </c>
      <c r="L124" s="151">
        <f ca="1">+K124*References!$D$69</f>
        <v>1.5456045082342431</v>
      </c>
      <c r="M124" s="151">
        <f ca="1">+L124/References!$F$78</f>
        <v>1.5813428567978751</v>
      </c>
      <c r="N124" s="151">
        <f ca="1">IFERROR(+M124/H124,0)</f>
        <v>1.5813428567978751</v>
      </c>
      <c r="O124" s="151">
        <v>71.7</v>
      </c>
      <c r="P124" s="151">
        <f ca="1">+O124+N124</f>
        <v>73.281342856797878</v>
      </c>
      <c r="Q124" s="151"/>
      <c r="R124" s="151">
        <f>+E124*O124*G124</f>
        <v>71.7</v>
      </c>
      <c r="S124" s="151">
        <f ca="1">+E124*P124*G124</f>
        <v>73.281342856797878</v>
      </c>
      <c r="T124" s="151">
        <f ca="1">+S124-R124</f>
        <v>1.5813428567978747</v>
      </c>
      <c r="U124" s="151"/>
    </row>
    <row r="125" spans="1:23" s="108" customFormat="1" ht="13.5" customHeight="1">
      <c r="A125" s="238" t="s">
        <v>429</v>
      </c>
      <c r="B125" s="238" t="s">
        <v>418</v>
      </c>
      <c r="C125" s="239"/>
      <c r="D125" s="239"/>
      <c r="E125" s="246">
        <v>1</v>
      </c>
      <c r="F125" s="239"/>
      <c r="G125" s="240">
        <v>1</v>
      </c>
      <c r="H125" s="241">
        <v>1</v>
      </c>
      <c r="I125" s="240">
        <f>References!C57</f>
        <v>1892</v>
      </c>
      <c r="J125" s="240">
        <f t="shared" ref="J125" si="72">+H125*I125</f>
        <v>1892</v>
      </c>
      <c r="K125" s="240">
        <f>+J125*$H$115</f>
        <v>1434.5975910415971</v>
      </c>
      <c r="L125" s="151">
        <f ca="1">+K125*References!$D$69</f>
        <v>4.016873254916467</v>
      </c>
      <c r="M125" s="151">
        <f ca="1">+L125/References!$F$78</f>
        <v>4.1097536882714003</v>
      </c>
      <c r="N125" s="151">
        <f t="shared" ref="N125" ca="1" si="73">IFERROR(+M125/H125,0)</f>
        <v>4.1097536882714003</v>
      </c>
      <c r="O125" s="151">
        <v>98.99</v>
      </c>
      <c r="P125" s="151">
        <f t="shared" ref="P125" ca="1" si="74">+O125+N125</f>
        <v>103.09975368827139</v>
      </c>
      <c r="Q125" s="151"/>
      <c r="R125" s="151">
        <f t="shared" ref="R125" si="75">+E125*O125*G125</f>
        <v>98.99</v>
      </c>
      <c r="S125" s="151">
        <f t="shared" ref="S125" ca="1" si="76">+E125*P125*G125</f>
        <v>103.09975368827139</v>
      </c>
      <c r="T125" s="151">
        <f t="shared" ref="T125" ca="1" si="77">+S125-R125</f>
        <v>4.1097536882713968</v>
      </c>
      <c r="U125" s="151"/>
      <c r="V125" s="97"/>
      <c r="W125" s="116"/>
    </row>
    <row r="126" spans="1:23" s="83" customFormat="1" ht="13.5" customHeight="1">
      <c r="A126" s="238" t="s">
        <v>429</v>
      </c>
      <c r="B126" s="238" t="s">
        <v>419</v>
      </c>
      <c r="C126" s="239"/>
      <c r="D126" s="239"/>
      <c r="E126" s="246">
        <v>1</v>
      </c>
      <c r="F126" s="239"/>
      <c r="G126" s="240">
        <v>1</v>
      </c>
      <c r="H126" s="241">
        <v>1</v>
      </c>
      <c r="I126" s="240">
        <f>References!C59</f>
        <v>3360</v>
      </c>
      <c r="J126" s="240">
        <f t="shared" ref="J126:J132" si="78">+H126*I126</f>
        <v>3360</v>
      </c>
      <c r="K126" s="240">
        <f t="shared" ref="K126:K132" si="79">+J126*$H$115</f>
        <v>2547.6997388476566</v>
      </c>
      <c r="L126" s="151">
        <f ca="1">+K126*References!$D$69</f>
        <v>7.1335592687734311</v>
      </c>
      <c r="M126" s="151">
        <f ca="1">+L126/References!$F$78</f>
        <v>7.2985054929132707</v>
      </c>
      <c r="N126" s="151">
        <f t="shared" ref="N126:N132" ca="1" si="80">IFERROR(+M126/H126,0)</f>
        <v>7.2985054929132707</v>
      </c>
      <c r="O126" s="151">
        <v>171.91</v>
      </c>
      <c r="P126" s="151">
        <f t="shared" ref="P126:P132" ca="1" si="81">+O126+N126</f>
        <v>179.20850549291328</v>
      </c>
      <c r="Q126" s="151"/>
      <c r="R126" s="151">
        <f t="shared" ref="R126:R132" si="82">+E126*O126*G126</f>
        <v>171.91</v>
      </c>
      <c r="S126" s="151">
        <f t="shared" ref="S126:S132" ca="1" si="83">+E126*P126*G126</f>
        <v>179.20850549291328</v>
      </c>
      <c r="T126" s="151">
        <f t="shared" ref="T126:T132" ca="1" si="84">+S126-R126</f>
        <v>7.2985054929132787</v>
      </c>
      <c r="U126" s="151"/>
      <c r="V126" s="97"/>
      <c r="W126" s="116"/>
    </row>
    <row r="127" spans="1:23" s="83" customFormat="1" ht="13.5" customHeight="1">
      <c r="A127" s="238" t="s">
        <v>429</v>
      </c>
      <c r="B127" s="239" t="s">
        <v>423</v>
      </c>
      <c r="C127" s="239"/>
      <c r="D127" s="239"/>
      <c r="E127" s="246">
        <v>1</v>
      </c>
      <c r="F127" s="239"/>
      <c r="G127" s="240">
        <v>1</v>
      </c>
      <c r="H127" s="241">
        <v>1</v>
      </c>
      <c r="I127" s="240">
        <f>References!C59</f>
        <v>3360</v>
      </c>
      <c r="J127" s="240">
        <f t="shared" si="78"/>
        <v>3360</v>
      </c>
      <c r="K127" s="240">
        <f t="shared" si="79"/>
        <v>2547.6997388476566</v>
      </c>
      <c r="L127" s="151">
        <f ca="1">+K127*References!$D$69</f>
        <v>7.1335592687734311</v>
      </c>
      <c r="M127" s="151">
        <f ca="1">+L127/References!$F$78</f>
        <v>7.2985054929132707</v>
      </c>
      <c r="N127" s="151">
        <f t="shared" ca="1" si="80"/>
        <v>7.2985054929132707</v>
      </c>
      <c r="O127" s="151">
        <v>98.27</v>
      </c>
      <c r="P127" s="151">
        <f t="shared" ca="1" si="81"/>
        <v>105.56850549291326</v>
      </c>
      <c r="Q127" s="151"/>
      <c r="R127" s="151">
        <f t="shared" si="82"/>
        <v>98.27</v>
      </c>
      <c r="S127" s="151">
        <f t="shared" ca="1" si="83"/>
        <v>105.56850549291326</v>
      </c>
      <c r="T127" s="151">
        <f t="shared" ca="1" si="84"/>
        <v>7.2985054929132644</v>
      </c>
      <c r="U127" s="151"/>
    </row>
    <row r="128" spans="1:23" s="83" customFormat="1" ht="13.5" customHeight="1">
      <c r="A128" s="238" t="s">
        <v>429</v>
      </c>
      <c r="B128" s="239" t="s">
        <v>424</v>
      </c>
      <c r="C128" s="239"/>
      <c r="D128" s="239"/>
      <c r="E128" s="246">
        <v>1</v>
      </c>
      <c r="F128" s="239"/>
      <c r="G128" s="240">
        <v>1</v>
      </c>
      <c r="H128" s="241">
        <v>1</v>
      </c>
      <c r="I128" s="240">
        <f>References!C61</f>
        <v>3065</v>
      </c>
      <c r="J128" s="240">
        <f t="shared" si="78"/>
        <v>3065</v>
      </c>
      <c r="K128" s="240">
        <f t="shared" si="79"/>
        <v>2324.0177677285915</v>
      </c>
      <c r="L128" s="151">
        <f ca="1">+K128*References!$D$69</f>
        <v>6.5072497496400494</v>
      </c>
      <c r="M128" s="151">
        <f ca="1">+L128/References!$F$78</f>
        <v>6.6577140880295165</v>
      </c>
      <c r="N128" s="151">
        <f t="shared" ca="1" si="80"/>
        <v>6.6577140880295165</v>
      </c>
      <c r="O128" s="151">
        <v>173.05</v>
      </c>
      <c r="P128" s="151">
        <f t="shared" ca="1" si="81"/>
        <v>179.70771408802952</v>
      </c>
      <c r="Q128" s="151"/>
      <c r="R128" s="151">
        <f t="shared" si="82"/>
        <v>173.05</v>
      </c>
      <c r="S128" s="151">
        <f t="shared" ca="1" si="83"/>
        <v>179.70771408802952</v>
      </c>
      <c r="T128" s="151">
        <f t="shared" ca="1" si="84"/>
        <v>6.6577140880295076</v>
      </c>
      <c r="U128" s="151"/>
    </row>
    <row r="129" spans="1:21" s="83" customFormat="1" ht="13.5" customHeight="1">
      <c r="A129" s="238" t="s">
        <v>429</v>
      </c>
      <c r="B129" s="249" t="s">
        <v>425</v>
      </c>
      <c r="C129" s="239"/>
      <c r="D129" s="239"/>
      <c r="E129" s="246">
        <v>1</v>
      </c>
      <c r="F129" s="239"/>
      <c r="G129" s="240">
        <v>1</v>
      </c>
      <c r="H129" s="241">
        <v>1</v>
      </c>
      <c r="I129" s="240">
        <f>References!C56</f>
        <v>1296</v>
      </c>
      <c r="J129" s="240">
        <f t="shared" si="78"/>
        <v>1296</v>
      </c>
      <c r="K129" s="240">
        <f t="shared" si="79"/>
        <v>982.68418498409608</v>
      </c>
      <c r="L129" s="151">
        <f ca="1">+K129*References!$D$69</f>
        <v>2.7515157179554661</v>
      </c>
      <c r="M129" s="151">
        <f ca="1">+L129/References!$F$78</f>
        <v>2.8151378329808328</v>
      </c>
      <c r="N129" s="151">
        <f t="shared" ca="1" si="80"/>
        <v>2.8151378329808328</v>
      </c>
      <c r="O129" s="151">
        <v>70.599999999999994</v>
      </c>
      <c r="P129" s="151">
        <f t="shared" ca="1" si="81"/>
        <v>73.415137832980832</v>
      </c>
      <c r="Q129" s="151"/>
      <c r="R129" s="151">
        <f t="shared" si="82"/>
        <v>70.599999999999994</v>
      </c>
      <c r="S129" s="151">
        <f t="shared" ca="1" si="83"/>
        <v>73.415137832980832</v>
      </c>
      <c r="T129" s="151">
        <f t="shared" ca="1" si="84"/>
        <v>2.8151378329808381</v>
      </c>
      <c r="U129" s="151"/>
    </row>
    <row r="130" spans="1:21" s="83" customFormat="1" ht="13.5" customHeight="1">
      <c r="A130" s="238" t="s">
        <v>429</v>
      </c>
      <c r="B130" s="249" t="s">
        <v>426</v>
      </c>
      <c r="C130" s="239"/>
      <c r="D130" s="239"/>
      <c r="E130" s="246">
        <v>1</v>
      </c>
      <c r="F130" s="239"/>
      <c r="G130" s="240">
        <v>1</v>
      </c>
      <c r="H130" s="241">
        <v>1</v>
      </c>
      <c r="I130" s="240">
        <f>References!C57</f>
        <v>1892</v>
      </c>
      <c r="J130" s="240">
        <f t="shared" si="78"/>
        <v>1892</v>
      </c>
      <c r="K130" s="240">
        <f t="shared" si="79"/>
        <v>1434.5975910415971</v>
      </c>
      <c r="L130" s="151">
        <f ca="1">+K130*References!$D$69</f>
        <v>4.016873254916467</v>
      </c>
      <c r="M130" s="151">
        <f ca="1">+L130/References!$F$78</f>
        <v>4.1097536882714003</v>
      </c>
      <c r="N130" s="151">
        <f t="shared" ca="1" si="80"/>
        <v>4.1097536882714003</v>
      </c>
      <c r="O130" s="151">
        <v>98.99</v>
      </c>
      <c r="P130" s="151">
        <f t="shared" ca="1" si="81"/>
        <v>103.09975368827139</v>
      </c>
      <c r="Q130" s="151"/>
      <c r="R130" s="151">
        <f t="shared" si="82"/>
        <v>98.99</v>
      </c>
      <c r="S130" s="151">
        <f t="shared" ca="1" si="83"/>
        <v>103.09975368827139</v>
      </c>
      <c r="T130" s="151">
        <f t="shared" ca="1" si="84"/>
        <v>4.1097536882713968</v>
      </c>
      <c r="U130" s="151"/>
    </row>
    <row r="131" spans="1:21" s="83" customFormat="1" ht="13.5" customHeight="1">
      <c r="A131" s="238" t="s">
        <v>429</v>
      </c>
      <c r="B131" s="249" t="s">
        <v>427</v>
      </c>
      <c r="C131" s="239"/>
      <c r="D131" s="239"/>
      <c r="E131" s="246">
        <v>1</v>
      </c>
      <c r="F131" s="239"/>
      <c r="G131" s="240">
        <v>1</v>
      </c>
      <c r="H131" s="241">
        <v>1</v>
      </c>
      <c r="I131" s="240">
        <f>References!C58</f>
        <v>2452</v>
      </c>
      <c r="J131" s="240">
        <f t="shared" si="78"/>
        <v>2452</v>
      </c>
      <c r="K131" s="240">
        <f t="shared" si="79"/>
        <v>1859.2142141828731</v>
      </c>
      <c r="L131" s="151">
        <f ca="1">+K131*References!$D$69</f>
        <v>5.2057997997120387</v>
      </c>
      <c r="M131" s="151">
        <f ca="1">+L131/References!$F$78</f>
        <v>5.3261712704236119</v>
      </c>
      <c r="N131" s="151">
        <f t="shared" ca="1" si="80"/>
        <v>5.3261712704236119</v>
      </c>
      <c r="O131" s="151">
        <v>124.76</v>
      </c>
      <c r="P131" s="151">
        <f t="shared" ca="1" si="81"/>
        <v>130.08617127042362</v>
      </c>
      <c r="Q131" s="151"/>
      <c r="R131" s="151">
        <f t="shared" si="82"/>
        <v>124.76</v>
      </c>
      <c r="S131" s="151">
        <f t="shared" ca="1" si="83"/>
        <v>130.08617127042362</v>
      </c>
      <c r="T131" s="151">
        <f t="shared" ca="1" si="84"/>
        <v>5.3261712704236146</v>
      </c>
      <c r="U131" s="151"/>
    </row>
    <row r="132" spans="1:21" s="83" customFormat="1" ht="13.5" customHeight="1">
      <c r="A132" s="238" t="s">
        <v>429</v>
      </c>
      <c r="B132" s="249" t="s">
        <v>428</v>
      </c>
      <c r="C132" s="239"/>
      <c r="D132" s="239"/>
      <c r="E132" s="246">
        <v>1</v>
      </c>
      <c r="F132" s="239"/>
      <c r="G132" s="240">
        <v>1</v>
      </c>
      <c r="H132" s="241">
        <v>1</v>
      </c>
      <c r="I132" s="240">
        <f>References!C59</f>
        <v>3360</v>
      </c>
      <c r="J132" s="240">
        <f t="shared" si="78"/>
        <v>3360</v>
      </c>
      <c r="K132" s="240">
        <f t="shared" si="79"/>
        <v>2547.6997388476566</v>
      </c>
      <c r="L132" s="151">
        <f ca="1">+K132*References!$D$69</f>
        <v>7.1335592687734311</v>
      </c>
      <c r="M132" s="151">
        <f ca="1">+L132/References!$F$78</f>
        <v>7.2985054929132707</v>
      </c>
      <c r="N132" s="151">
        <f t="shared" ca="1" si="80"/>
        <v>7.2985054929132707</v>
      </c>
      <c r="O132" s="151">
        <v>172.02</v>
      </c>
      <c r="P132" s="151">
        <f t="shared" ca="1" si="81"/>
        <v>179.31850549291329</v>
      </c>
      <c r="Q132" s="151"/>
      <c r="R132" s="151">
        <f t="shared" si="82"/>
        <v>172.02</v>
      </c>
      <c r="S132" s="151">
        <f t="shared" ca="1" si="83"/>
        <v>179.31850549291329</v>
      </c>
      <c r="T132" s="151">
        <f t="shared" ca="1" si="84"/>
        <v>7.2985054929132787</v>
      </c>
      <c r="U132" s="151"/>
    </row>
    <row r="133" spans="1:21" ht="13.5" customHeight="1">
      <c r="A133" s="85"/>
      <c r="B133" s="85"/>
      <c r="E133" s="247"/>
    </row>
    <row r="134" spans="1:21" ht="13.5" customHeight="1">
      <c r="A134" s="85"/>
      <c r="B134" s="85"/>
      <c r="E134" s="247"/>
    </row>
    <row r="135" spans="1:21" ht="13.5" customHeight="1">
      <c r="B135" s="131"/>
      <c r="E135" s="247"/>
      <c r="J135" s="127"/>
    </row>
    <row r="136" spans="1:21" ht="13.5" customHeight="1">
      <c r="B136" s="83"/>
      <c r="E136" s="247"/>
      <c r="J136" s="123"/>
    </row>
    <row r="137" spans="1:21" ht="13.5" customHeight="1">
      <c r="E137" s="247"/>
      <c r="G137" s="83"/>
      <c r="H137" s="132"/>
      <c r="I137" s="123"/>
      <c r="J137" s="83"/>
    </row>
    <row r="138" spans="1:21" ht="13.5" customHeight="1">
      <c r="E138" s="247"/>
    </row>
    <row r="139" spans="1:21" ht="13.5" customHeight="1">
      <c r="E139" s="247"/>
    </row>
    <row r="140" spans="1:21" ht="13.5" customHeight="1">
      <c r="E140" s="247"/>
    </row>
    <row r="141" spans="1:21" ht="13.5" customHeight="1">
      <c r="E141" s="247"/>
    </row>
  </sheetData>
  <mergeCells count="3">
    <mergeCell ref="A4:B4"/>
    <mergeCell ref="F111:G111"/>
    <mergeCell ref="D1:K2"/>
  </mergeCells>
  <phoneticPr fontId="90" type="noConversion"/>
  <pageMargins left="0.2" right="0.2" top="0.25" bottom="0.25" header="0.3" footer="0.3"/>
  <pageSetup scale="60" pageOrder="overThenDown" orientation="portrait" r:id="rId1"/>
  <headerFooter>
    <oddFooter xml:space="preserve">&amp;L&amp;F - &amp;A
&amp;R&amp;P of &amp;N
</oddFooter>
  </headerFooter>
  <colBreaks count="1" manualBreakCount="1">
    <brk id="11" max="134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V321"/>
  <sheetViews>
    <sheetView showGridLines="0" zoomScale="130" zoomScaleNormal="130" zoomScaleSheetLayoutView="80" workbookViewId="0">
      <pane xSplit="1" ySplit="7" topLeftCell="B53" activePane="bottomRight" state="frozen"/>
      <selection activeCell="K25" sqref="K25"/>
      <selection pane="topRight" activeCell="K25" sqref="K25"/>
      <selection pane="bottomLeft" activeCell="K25" sqref="K25"/>
      <selection pane="bottomRight" activeCell="K25" sqref="K25"/>
    </sheetView>
  </sheetViews>
  <sheetFormatPr defaultColWidth="11.42578125" defaultRowHeight="12.75" outlineLevelCol="1"/>
  <cols>
    <col min="1" max="1" width="29.85546875" style="67" customWidth="1"/>
    <col min="2" max="2" width="7.5703125" style="65" customWidth="1" outlineLevel="1"/>
    <col min="3" max="3" width="1.5703125" style="67" customWidth="1" outlineLevel="1"/>
    <col min="4" max="4" width="2.140625" style="67" customWidth="1" outlineLevel="1"/>
    <col min="5" max="5" width="7.42578125" style="68" customWidth="1" outlineLevel="1"/>
    <col min="6" max="6" width="1.5703125" style="69" customWidth="1"/>
    <col min="7" max="7" width="10.42578125" style="69" bestFit="1" customWidth="1"/>
    <col min="8" max="8" width="1.5703125" style="69" customWidth="1"/>
    <col min="9" max="9" width="8.7109375" style="67" customWidth="1"/>
    <col min="10" max="10" width="12" style="65" bestFit="1" customWidth="1"/>
    <col min="11" max="11" width="12.140625" style="67" customWidth="1"/>
    <col min="12" max="12" width="4.5703125" style="67" customWidth="1"/>
    <col min="13" max="13" width="8.140625" style="67" customWidth="1"/>
    <col min="14" max="18" width="4.5703125" style="67" customWidth="1"/>
    <col min="19" max="254" width="11.42578125" style="67"/>
    <col min="255" max="255" width="24.28515625" style="67" customWidth="1"/>
    <col min="256" max="256" width="11.42578125" style="67" customWidth="1"/>
    <col min="257" max="257" width="1.5703125" style="67" customWidth="1"/>
    <col min="258" max="258" width="10.7109375" style="67" customWidth="1"/>
    <col min="259" max="259" width="1.5703125" style="67" customWidth="1"/>
    <col min="260" max="260" width="11.42578125" style="67" customWidth="1"/>
    <col min="261" max="261" width="11.7109375" style="67" customWidth="1"/>
    <col min="262" max="262" width="10.28515625" style="67" customWidth="1"/>
    <col min="263" max="263" width="10.7109375" style="67" customWidth="1"/>
    <col min="264" max="264" width="10.5703125" style="67" customWidth="1"/>
    <col min="265" max="265" width="8.7109375" style="67" customWidth="1"/>
    <col min="266" max="274" width="4.5703125" style="67" customWidth="1"/>
    <col min="275" max="510" width="11.42578125" style="67"/>
    <col min="511" max="511" width="24.28515625" style="67" customWidth="1"/>
    <col min="512" max="512" width="11.42578125" style="67" customWidth="1"/>
    <col min="513" max="513" width="1.5703125" style="67" customWidth="1"/>
    <col min="514" max="514" width="10.7109375" style="67" customWidth="1"/>
    <col min="515" max="515" width="1.5703125" style="67" customWidth="1"/>
    <col min="516" max="516" width="11.42578125" style="67" customWidth="1"/>
    <col min="517" max="517" width="11.7109375" style="67" customWidth="1"/>
    <col min="518" max="518" width="10.28515625" style="67" customWidth="1"/>
    <col min="519" max="519" width="10.7109375" style="67" customWidth="1"/>
    <col min="520" max="520" width="10.5703125" style="67" customWidth="1"/>
    <col min="521" max="521" width="8.7109375" style="67" customWidth="1"/>
    <col min="522" max="530" width="4.5703125" style="67" customWidth="1"/>
    <col min="531" max="766" width="11.42578125" style="67"/>
    <col min="767" max="767" width="24.28515625" style="67" customWidth="1"/>
    <col min="768" max="768" width="11.42578125" style="67" customWidth="1"/>
    <col min="769" max="769" width="1.5703125" style="67" customWidth="1"/>
    <col min="770" max="770" width="10.7109375" style="67" customWidth="1"/>
    <col min="771" max="771" width="1.5703125" style="67" customWidth="1"/>
    <col min="772" max="772" width="11.42578125" style="67" customWidth="1"/>
    <col min="773" max="773" width="11.7109375" style="67" customWidth="1"/>
    <col min="774" max="774" width="10.28515625" style="67" customWidth="1"/>
    <col min="775" max="775" width="10.7109375" style="67" customWidth="1"/>
    <col min="776" max="776" width="10.5703125" style="67" customWidth="1"/>
    <col min="777" max="777" width="8.7109375" style="67" customWidth="1"/>
    <col min="778" max="786" width="4.5703125" style="67" customWidth="1"/>
    <col min="787" max="1022" width="11.42578125" style="67"/>
    <col min="1023" max="1023" width="24.28515625" style="67" customWidth="1"/>
    <col min="1024" max="1024" width="11.42578125" style="67" customWidth="1"/>
    <col min="1025" max="1025" width="1.5703125" style="67" customWidth="1"/>
    <col min="1026" max="1026" width="10.7109375" style="67" customWidth="1"/>
    <col min="1027" max="1027" width="1.5703125" style="67" customWidth="1"/>
    <col min="1028" max="1028" width="11.42578125" style="67" customWidth="1"/>
    <col min="1029" max="1029" width="11.7109375" style="67" customWidth="1"/>
    <col min="1030" max="1030" width="10.28515625" style="67" customWidth="1"/>
    <col min="1031" max="1031" width="10.7109375" style="67" customWidth="1"/>
    <col min="1032" max="1032" width="10.5703125" style="67" customWidth="1"/>
    <col min="1033" max="1033" width="8.7109375" style="67" customWidth="1"/>
    <col min="1034" max="1042" width="4.5703125" style="67" customWidth="1"/>
    <col min="1043" max="1278" width="11.42578125" style="67"/>
    <col min="1279" max="1279" width="24.28515625" style="67" customWidth="1"/>
    <col min="1280" max="1280" width="11.42578125" style="67" customWidth="1"/>
    <col min="1281" max="1281" width="1.5703125" style="67" customWidth="1"/>
    <col min="1282" max="1282" width="10.7109375" style="67" customWidth="1"/>
    <col min="1283" max="1283" width="1.5703125" style="67" customWidth="1"/>
    <col min="1284" max="1284" width="11.42578125" style="67" customWidth="1"/>
    <col min="1285" max="1285" width="11.7109375" style="67" customWidth="1"/>
    <col min="1286" max="1286" width="10.28515625" style="67" customWidth="1"/>
    <col min="1287" max="1287" width="10.7109375" style="67" customWidth="1"/>
    <col min="1288" max="1288" width="10.5703125" style="67" customWidth="1"/>
    <col min="1289" max="1289" width="8.7109375" style="67" customWidth="1"/>
    <col min="1290" max="1298" width="4.5703125" style="67" customWidth="1"/>
    <col min="1299" max="1534" width="11.42578125" style="67"/>
    <col min="1535" max="1535" width="24.28515625" style="67" customWidth="1"/>
    <col min="1536" max="1536" width="11.42578125" style="67" customWidth="1"/>
    <col min="1537" max="1537" width="1.5703125" style="67" customWidth="1"/>
    <col min="1538" max="1538" width="10.7109375" style="67" customWidth="1"/>
    <col min="1539" max="1539" width="1.5703125" style="67" customWidth="1"/>
    <col min="1540" max="1540" width="11.42578125" style="67" customWidth="1"/>
    <col min="1541" max="1541" width="11.7109375" style="67" customWidth="1"/>
    <col min="1542" max="1542" width="10.28515625" style="67" customWidth="1"/>
    <col min="1543" max="1543" width="10.7109375" style="67" customWidth="1"/>
    <col min="1544" max="1544" width="10.5703125" style="67" customWidth="1"/>
    <col min="1545" max="1545" width="8.7109375" style="67" customWidth="1"/>
    <col min="1546" max="1554" width="4.5703125" style="67" customWidth="1"/>
    <col min="1555" max="1790" width="11.42578125" style="67"/>
    <col min="1791" max="1791" width="24.28515625" style="67" customWidth="1"/>
    <col min="1792" max="1792" width="11.42578125" style="67" customWidth="1"/>
    <col min="1793" max="1793" width="1.5703125" style="67" customWidth="1"/>
    <col min="1794" max="1794" width="10.7109375" style="67" customWidth="1"/>
    <col min="1795" max="1795" width="1.5703125" style="67" customWidth="1"/>
    <col min="1796" max="1796" width="11.42578125" style="67" customWidth="1"/>
    <col min="1797" max="1797" width="11.7109375" style="67" customWidth="1"/>
    <col min="1798" max="1798" width="10.28515625" style="67" customWidth="1"/>
    <col min="1799" max="1799" width="10.7109375" style="67" customWidth="1"/>
    <col min="1800" max="1800" width="10.5703125" style="67" customWidth="1"/>
    <col min="1801" max="1801" width="8.7109375" style="67" customWidth="1"/>
    <col min="1802" max="1810" width="4.5703125" style="67" customWidth="1"/>
    <col min="1811" max="2046" width="11.42578125" style="67"/>
    <col min="2047" max="2047" width="24.28515625" style="67" customWidth="1"/>
    <col min="2048" max="2048" width="11.42578125" style="67" customWidth="1"/>
    <col min="2049" max="2049" width="1.5703125" style="67" customWidth="1"/>
    <col min="2050" max="2050" width="10.7109375" style="67" customWidth="1"/>
    <col min="2051" max="2051" width="1.5703125" style="67" customWidth="1"/>
    <col min="2052" max="2052" width="11.42578125" style="67" customWidth="1"/>
    <col min="2053" max="2053" width="11.7109375" style="67" customWidth="1"/>
    <col min="2054" max="2054" width="10.28515625" style="67" customWidth="1"/>
    <col min="2055" max="2055" width="10.7109375" style="67" customWidth="1"/>
    <col min="2056" max="2056" width="10.5703125" style="67" customWidth="1"/>
    <col min="2057" max="2057" width="8.7109375" style="67" customWidth="1"/>
    <col min="2058" max="2066" width="4.5703125" style="67" customWidth="1"/>
    <col min="2067" max="2302" width="11.42578125" style="67"/>
    <col min="2303" max="2303" width="24.28515625" style="67" customWidth="1"/>
    <col min="2304" max="2304" width="11.42578125" style="67" customWidth="1"/>
    <col min="2305" max="2305" width="1.5703125" style="67" customWidth="1"/>
    <col min="2306" max="2306" width="10.7109375" style="67" customWidth="1"/>
    <col min="2307" max="2307" width="1.5703125" style="67" customWidth="1"/>
    <col min="2308" max="2308" width="11.42578125" style="67" customWidth="1"/>
    <col min="2309" max="2309" width="11.7109375" style="67" customWidth="1"/>
    <col min="2310" max="2310" width="10.28515625" style="67" customWidth="1"/>
    <col min="2311" max="2311" width="10.7109375" style="67" customWidth="1"/>
    <col min="2312" max="2312" width="10.5703125" style="67" customWidth="1"/>
    <col min="2313" max="2313" width="8.7109375" style="67" customWidth="1"/>
    <col min="2314" max="2322" width="4.5703125" style="67" customWidth="1"/>
    <col min="2323" max="2558" width="11.42578125" style="67"/>
    <col min="2559" max="2559" width="24.28515625" style="67" customWidth="1"/>
    <col min="2560" max="2560" width="11.42578125" style="67" customWidth="1"/>
    <col min="2561" max="2561" width="1.5703125" style="67" customWidth="1"/>
    <col min="2562" max="2562" width="10.7109375" style="67" customWidth="1"/>
    <col min="2563" max="2563" width="1.5703125" style="67" customWidth="1"/>
    <col min="2564" max="2564" width="11.42578125" style="67" customWidth="1"/>
    <col min="2565" max="2565" width="11.7109375" style="67" customWidth="1"/>
    <col min="2566" max="2566" width="10.28515625" style="67" customWidth="1"/>
    <col min="2567" max="2567" width="10.7109375" style="67" customWidth="1"/>
    <col min="2568" max="2568" width="10.5703125" style="67" customWidth="1"/>
    <col min="2569" max="2569" width="8.7109375" style="67" customWidth="1"/>
    <col min="2570" max="2578" width="4.5703125" style="67" customWidth="1"/>
    <col min="2579" max="2814" width="11.42578125" style="67"/>
    <col min="2815" max="2815" width="24.28515625" style="67" customWidth="1"/>
    <col min="2816" max="2816" width="11.42578125" style="67" customWidth="1"/>
    <col min="2817" max="2817" width="1.5703125" style="67" customWidth="1"/>
    <col min="2818" max="2818" width="10.7109375" style="67" customWidth="1"/>
    <col min="2819" max="2819" width="1.5703125" style="67" customWidth="1"/>
    <col min="2820" max="2820" width="11.42578125" style="67" customWidth="1"/>
    <col min="2821" max="2821" width="11.7109375" style="67" customWidth="1"/>
    <col min="2822" max="2822" width="10.28515625" style="67" customWidth="1"/>
    <col min="2823" max="2823" width="10.7109375" style="67" customWidth="1"/>
    <col min="2824" max="2824" width="10.5703125" style="67" customWidth="1"/>
    <col min="2825" max="2825" width="8.7109375" style="67" customWidth="1"/>
    <col min="2826" max="2834" width="4.5703125" style="67" customWidth="1"/>
    <col min="2835" max="3070" width="11.42578125" style="67"/>
    <col min="3071" max="3071" width="24.28515625" style="67" customWidth="1"/>
    <col min="3072" max="3072" width="11.42578125" style="67" customWidth="1"/>
    <col min="3073" max="3073" width="1.5703125" style="67" customWidth="1"/>
    <col min="3074" max="3074" width="10.7109375" style="67" customWidth="1"/>
    <col min="3075" max="3075" width="1.5703125" style="67" customWidth="1"/>
    <col min="3076" max="3076" width="11.42578125" style="67" customWidth="1"/>
    <col min="3077" max="3077" width="11.7109375" style="67" customWidth="1"/>
    <col min="3078" max="3078" width="10.28515625" style="67" customWidth="1"/>
    <col min="3079" max="3079" width="10.7109375" style="67" customWidth="1"/>
    <col min="3080" max="3080" width="10.5703125" style="67" customWidth="1"/>
    <col min="3081" max="3081" width="8.7109375" style="67" customWidth="1"/>
    <col min="3082" max="3090" width="4.5703125" style="67" customWidth="1"/>
    <col min="3091" max="3326" width="11.42578125" style="67"/>
    <col min="3327" max="3327" width="24.28515625" style="67" customWidth="1"/>
    <col min="3328" max="3328" width="11.42578125" style="67" customWidth="1"/>
    <col min="3329" max="3329" width="1.5703125" style="67" customWidth="1"/>
    <col min="3330" max="3330" width="10.7109375" style="67" customWidth="1"/>
    <col min="3331" max="3331" width="1.5703125" style="67" customWidth="1"/>
    <col min="3332" max="3332" width="11.42578125" style="67" customWidth="1"/>
    <col min="3333" max="3333" width="11.7109375" style="67" customWidth="1"/>
    <col min="3334" max="3334" width="10.28515625" style="67" customWidth="1"/>
    <col min="3335" max="3335" width="10.7109375" style="67" customWidth="1"/>
    <col min="3336" max="3336" width="10.5703125" style="67" customWidth="1"/>
    <col min="3337" max="3337" width="8.7109375" style="67" customWidth="1"/>
    <col min="3338" max="3346" width="4.5703125" style="67" customWidth="1"/>
    <col min="3347" max="3582" width="11.42578125" style="67"/>
    <col min="3583" max="3583" width="24.28515625" style="67" customWidth="1"/>
    <col min="3584" max="3584" width="11.42578125" style="67" customWidth="1"/>
    <col min="3585" max="3585" width="1.5703125" style="67" customWidth="1"/>
    <col min="3586" max="3586" width="10.7109375" style="67" customWidth="1"/>
    <col min="3587" max="3587" width="1.5703125" style="67" customWidth="1"/>
    <col min="3588" max="3588" width="11.42578125" style="67" customWidth="1"/>
    <col min="3589" max="3589" width="11.7109375" style="67" customWidth="1"/>
    <col min="3590" max="3590" width="10.28515625" style="67" customWidth="1"/>
    <col min="3591" max="3591" width="10.7109375" style="67" customWidth="1"/>
    <col min="3592" max="3592" width="10.5703125" style="67" customWidth="1"/>
    <col min="3593" max="3593" width="8.7109375" style="67" customWidth="1"/>
    <col min="3594" max="3602" width="4.5703125" style="67" customWidth="1"/>
    <col min="3603" max="3838" width="11.42578125" style="67"/>
    <col min="3839" max="3839" width="24.28515625" style="67" customWidth="1"/>
    <col min="3840" max="3840" width="11.42578125" style="67" customWidth="1"/>
    <col min="3841" max="3841" width="1.5703125" style="67" customWidth="1"/>
    <col min="3842" max="3842" width="10.7109375" style="67" customWidth="1"/>
    <col min="3843" max="3843" width="1.5703125" style="67" customWidth="1"/>
    <col min="3844" max="3844" width="11.42578125" style="67" customWidth="1"/>
    <col min="3845" max="3845" width="11.7109375" style="67" customWidth="1"/>
    <col min="3846" max="3846" width="10.28515625" style="67" customWidth="1"/>
    <col min="3847" max="3847" width="10.7109375" style="67" customWidth="1"/>
    <col min="3848" max="3848" width="10.5703125" style="67" customWidth="1"/>
    <col min="3849" max="3849" width="8.7109375" style="67" customWidth="1"/>
    <col min="3850" max="3858" width="4.5703125" style="67" customWidth="1"/>
    <col min="3859" max="4094" width="11.42578125" style="67"/>
    <col min="4095" max="4095" width="24.28515625" style="67" customWidth="1"/>
    <col min="4096" max="4096" width="11.42578125" style="67" customWidth="1"/>
    <col min="4097" max="4097" width="1.5703125" style="67" customWidth="1"/>
    <col min="4098" max="4098" width="10.7109375" style="67" customWidth="1"/>
    <col min="4099" max="4099" width="1.5703125" style="67" customWidth="1"/>
    <col min="4100" max="4100" width="11.42578125" style="67" customWidth="1"/>
    <col min="4101" max="4101" width="11.7109375" style="67" customWidth="1"/>
    <col min="4102" max="4102" width="10.28515625" style="67" customWidth="1"/>
    <col min="4103" max="4103" width="10.7109375" style="67" customWidth="1"/>
    <col min="4104" max="4104" width="10.5703125" style="67" customWidth="1"/>
    <col min="4105" max="4105" width="8.7109375" style="67" customWidth="1"/>
    <col min="4106" max="4114" width="4.5703125" style="67" customWidth="1"/>
    <col min="4115" max="4350" width="11.42578125" style="67"/>
    <col min="4351" max="4351" width="24.28515625" style="67" customWidth="1"/>
    <col min="4352" max="4352" width="11.42578125" style="67" customWidth="1"/>
    <col min="4353" max="4353" width="1.5703125" style="67" customWidth="1"/>
    <col min="4354" max="4354" width="10.7109375" style="67" customWidth="1"/>
    <col min="4355" max="4355" width="1.5703125" style="67" customWidth="1"/>
    <col min="4356" max="4356" width="11.42578125" style="67" customWidth="1"/>
    <col min="4357" max="4357" width="11.7109375" style="67" customWidth="1"/>
    <col min="4358" max="4358" width="10.28515625" style="67" customWidth="1"/>
    <col min="4359" max="4359" width="10.7109375" style="67" customWidth="1"/>
    <col min="4360" max="4360" width="10.5703125" style="67" customWidth="1"/>
    <col min="4361" max="4361" width="8.7109375" style="67" customWidth="1"/>
    <col min="4362" max="4370" width="4.5703125" style="67" customWidth="1"/>
    <col min="4371" max="4606" width="11.42578125" style="67"/>
    <col min="4607" max="4607" width="24.28515625" style="67" customWidth="1"/>
    <col min="4608" max="4608" width="11.42578125" style="67" customWidth="1"/>
    <col min="4609" max="4609" width="1.5703125" style="67" customWidth="1"/>
    <col min="4610" max="4610" width="10.7109375" style="67" customWidth="1"/>
    <col min="4611" max="4611" width="1.5703125" style="67" customWidth="1"/>
    <col min="4612" max="4612" width="11.42578125" style="67" customWidth="1"/>
    <col min="4613" max="4613" width="11.7109375" style="67" customWidth="1"/>
    <col min="4614" max="4614" width="10.28515625" style="67" customWidth="1"/>
    <col min="4615" max="4615" width="10.7109375" style="67" customWidth="1"/>
    <col min="4616" max="4616" width="10.5703125" style="67" customWidth="1"/>
    <col min="4617" max="4617" width="8.7109375" style="67" customWidth="1"/>
    <col min="4618" max="4626" width="4.5703125" style="67" customWidth="1"/>
    <col min="4627" max="4862" width="11.42578125" style="67"/>
    <col min="4863" max="4863" width="24.28515625" style="67" customWidth="1"/>
    <col min="4864" max="4864" width="11.42578125" style="67" customWidth="1"/>
    <col min="4865" max="4865" width="1.5703125" style="67" customWidth="1"/>
    <col min="4866" max="4866" width="10.7109375" style="67" customWidth="1"/>
    <col min="4867" max="4867" width="1.5703125" style="67" customWidth="1"/>
    <col min="4868" max="4868" width="11.42578125" style="67" customWidth="1"/>
    <col min="4869" max="4869" width="11.7109375" style="67" customWidth="1"/>
    <col min="4870" max="4870" width="10.28515625" style="67" customWidth="1"/>
    <col min="4871" max="4871" width="10.7109375" style="67" customWidth="1"/>
    <col min="4872" max="4872" width="10.5703125" style="67" customWidth="1"/>
    <col min="4873" max="4873" width="8.7109375" style="67" customWidth="1"/>
    <col min="4874" max="4882" width="4.5703125" style="67" customWidth="1"/>
    <col min="4883" max="5118" width="11.42578125" style="67"/>
    <col min="5119" max="5119" width="24.28515625" style="67" customWidth="1"/>
    <col min="5120" max="5120" width="11.42578125" style="67" customWidth="1"/>
    <col min="5121" max="5121" width="1.5703125" style="67" customWidth="1"/>
    <col min="5122" max="5122" width="10.7109375" style="67" customWidth="1"/>
    <col min="5123" max="5123" width="1.5703125" style="67" customWidth="1"/>
    <col min="5124" max="5124" width="11.42578125" style="67" customWidth="1"/>
    <col min="5125" max="5125" width="11.7109375" style="67" customWidth="1"/>
    <col min="5126" max="5126" width="10.28515625" style="67" customWidth="1"/>
    <col min="5127" max="5127" width="10.7109375" style="67" customWidth="1"/>
    <col min="5128" max="5128" width="10.5703125" style="67" customWidth="1"/>
    <col min="5129" max="5129" width="8.7109375" style="67" customWidth="1"/>
    <col min="5130" max="5138" width="4.5703125" style="67" customWidth="1"/>
    <col min="5139" max="5374" width="11.42578125" style="67"/>
    <col min="5375" max="5375" width="24.28515625" style="67" customWidth="1"/>
    <col min="5376" max="5376" width="11.42578125" style="67" customWidth="1"/>
    <col min="5377" max="5377" width="1.5703125" style="67" customWidth="1"/>
    <col min="5378" max="5378" width="10.7109375" style="67" customWidth="1"/>
    <col min="5379" max="5379" width="1.5703125" style="67" customWidth="1"/>
    <col min="5380" max="5380" width="11.42578125" style="67" customWidth="1"/>
    <col min="5381" max="5381" width="11.7109375" style="67" customWidth="1"/>
    <col min="5382" max="5382" width="10.28515625" style="67" customWidth="1"/>
    <col min="5383" max="5383" width="10.7109375" style="67" customWidth="1"/>
    <col min="5384" max="5384" width="10.5703125" style="67" customWidth="1"/>
    <col min="5385" max="5385" width="8.7109375" style="67" customWidth="1"/>
    <col min="5386" max="5394" width="4.5703125" style="67" customWidth="1"/>
    <col min="5395" max="5630" width="11.42578125" style="67"/>
    <col min="5631" max="5631" width="24.28515625" style="67" customWidth="1"/>
    <col min="5632" max="5632" width="11.42578125" style="67" customWidth="1"/>
    <col min="5633" max="5633" width="1.5703125" style="67" customWidth="1"/>
    <col min="5634" max="5634" width="10.7109375" style="67" customWidth="1"/>
    <col min="5635" max="5635" width="1.5703125" style="67" customWidth="1"/>
    <col min="5636" max="5636" width="11.42578125" style="67" customWidth="1"/>
    <col min="5637" max="5637" width="11.7109375" style="67" customWidth="1"/>
    <col min="5638" max="5638" width="10.28515625" style="67" customWidth="1"/>
    <col min="5639" max="5639" width="10.7109375" style="67" customWidth="1"/>
    <col min="5640" max="5640" width="10.5703125" style="67" customWidth="1"/>
    <col min="5641" max="5641" width="8.7109375" style="67" customWidth="1"/>
    <col min="5642" max="5650" width="4.5703125" style="67" customWidth="1"/>
    <col min="5651" max="5886" width="11.42578125" style="67"/>
    <col min="5887" max="5887" width="24.28515625" style="67" customWidth="1"/>
    <col min="5888" max="5888" width="11.42578125" style="67" customWidth="1"/>
    <col min="5889" max="5889" width="1.5703125" style="67" customWidth="1"/>
    <col min="5890" max="5890" width="10.7109375" style="67" customWidth="1"/>
    <col min="5891" max="5891" width="1.5703125" style="67" customWidth="1"/>
    <col min="5892" max="5892" width="11.42578125" style="67" customWidth="1"/>
    <col min="5893" max="5893" width="11.7109375" style="67" customWidth="1"/>
    <col min="5894" max="5894" width="10.28515625" style="67" customWidth="1"/>
    <col min="5895" max="5895" width="10.7109375" style="67" customWidth="1"/>
    <col min="5896" max="5896" width="10.5703125" style="67" customWidth="1"/>
    <col min="5897" max="5897" width="8.7109375" style="67" customWidth="1"/>
    <col min="5898" max="5906" width="4.5703125" style="67" customWidth="1"/>
    <col min="5907" max="6142" width="11.42578125" style="67"/>
    <col min="6143" max="6143" width="24.28515625" style="67" customWidth="1"/>
    <col min="6144" max="6144" width="11.42578125" style="67" customWidth="1"/>
    <col min="6145" max="6145" width="1.5703125" style="67" customWidth="1"/>
    <col min="6146" max="6146" width="10.7109375" style="67" customWidth="1"/>
    <col min="6147" max="6147" width="1.5703125" style="67" customWidth="1"/>
    <col min="6148" max="6148" width="11.42578125" style="67" customWidth="1"/>
    <col min="6149" max="6149" width="11.7109375" style="67" customWidth="1"/>
    <col min="6150" max="6150" width="10.28515625" style="67" customWidth="1"/>
    <col min="6151" max="6151" width="10.7109375" style="67" customWidth="1"/>
    <col min="6152" max="6152" width="10.5703125" style="67" customWidth="1"/>
    <col min="6153" max="6153" width="8.7109375" style="67" customWidth="1"/>
    <col min="6154" max="6162" width="4.5703125" style="67" customWidth="1"/>
    <col min="6163" max="6398" width="11.42578125" style="67"/>
    <col min="6399" max="6399" width="24.28515625" style="67" customWidth="1"/>
    <col min="6400" max="6400" width="11.42578125" style="67" customWidth="1"/>
    <col min="6401" max="6401" width="1.5703125" style="67" customWidth="1"/>
    <col min="6402" max="6402" width="10.7109375" style="67" customWidth="1"/>
    <col min="6403" max="6403" width="1.5703125" style="67" customWidth="1"/>
    <col min="6404" max="6404" width="11.42578125" style="67" customWidth="1"/>
    <col min="6405" max="6405" width="11.7109375" style="67" customWidth="1"/>
    <col min="6406" max="6406" width="10.28515625" style="67" customWidth="1"/>
    <col min="6407" max="6407" width="10.7109375" style="67" customWidth="1"/>
    <col min="6408" max="6408" width="10.5703125" style="67" customWidth="1"/>
    <col min="6409" max="6409" width="8.7109375" style="67" customWidth="1"/>
    <col min="6410" max="6418" width="4.5703125" style="67" customWidth="1"/>
    <col min="6419" max="6654" width="11.42578125" style="67"/>
    <col min="6655" max="6655" width="24.28515625" style="67" customWidth="1"/>
    <col min="6656" max="6656" width="11.42578125" style="67" customWidth="1"/>
    <col min="6657" max="6657" width="1.5703125" style="67" customWidth="1"/>
    <col min="6658" max="6658" width="10.7109375" style="67" customWidth="1"/>
    <col min="6659" max="6659" width="1.5703125" style="67" customWidth="1"/>
    <col min="6660" max="6660" width="11.42578125" style="67" customWidth="1"/>
    <col min="6661" max="6661" width="11.7109375" style="67" customWidth="1"/>
    <col min="6662" max="6662" width="10.28515625" style="67" customWidth="1"/>
    <col min="6663" max="6663" width="10.7109375" style="67" customWidth="1"/>
    <col min="6664" max="6664" width="10.5703125" style="67" customWidth="1"/>
    <col min="6665" max="6665" width="8.7109375" style="67" customWidth="1"/>
    <col min="6666" max="6674" width="4.5703125" style="67" customWidth="1"/>
    <col min="6675" max="6910" width="11.42578125" style="67"/>
    <col min="6911" max="6911" width="24.28515625" style="67" customWidth="1"/>
    <col min="6912" max="6912" width="11.42578125" style="67" customWidth="1"/>
    <col min="6913" max="6913" width="1.5703125" style="67" customWidth="1"/>
    <col min="6914" max="6914" width="10.7109375" style="67" customWidth="1"/>
    <col min="6915" max="6915" width="1.5703125" style="67" customWidth="1"/>
    <col min="6916" max="6916" width="11.42578125" style="67" customWidth="1"/>
    <col min="6917" max="6917" width="11.7109375" style="67" customWidth="1"/>
    <col min="6918" max="6918" width="10.28515625" style="67" customWidth="1"/>
    <col min="6919" max="6919" width="10.7109375" style="67" customWidth="1"/>
    <col min="6920" max="6920" width="10.5703125" style="67" customWidth="1"/>
    <col min="6921" max="6921" width="8.7109375" style="67" customWidth="1"/>
    <col min="6922" max="6930" width="4.5703125" style="67" customWidth="1"/>
    <col min="6931" max="7166" width="11.42578125" style="67"/>
    <col min="7167" max="7167" width="24.28515625" style="67" customWidth="1"/>
    <col min="7168" max="7168" width="11.42578125" style="67" customWidth="1"/>
    <col min="7169" max="7169" width="1.5703125" style="67" customWidth="1"/>
    <col min="7170" max="7170" width="10.7109375" style="67" customWidth="1"/>
    <col min="7171" max="7171" width="1.5703125" style="67" customWidth="1"/>
    <col min="7172" max="7172" width="11.42578125" style="67" customWidth="1"/>
    <col min="7173" max="7173" width="11.7109375" style="67" customWidth="1"/>
    <col min="7174" max="7174" width="10.28515625" style="67" customWidth="1"/>
    <col min="7175" max="7175" width="10.7109375" style="67" customWidth="1"/>
    <col min="7176" max="7176" width="10.5703125" style="67" customWidth="1"/>
    <col min="7177" max="7177" width="8.7109375" style="67" customWidth="1"/>
    <col min="7178" max="7186" width="4.5703125" style="67" customWidth="1"/>
    <col min="7187" max="7422" width="11.42578125" style="67"/>
    <col min="7423" max="7423" width="24.28515625" style="67" customWidth="1"/>
    <col min="7424" max="7424" width="11.42578125" style="67" customWidth="1"/>
    <col min="7425" max="7425" width="1.5703125" style="67" customWidth="1"/>
    <col min="7426" max="7426" width="10.7109375" style="67" customWidth="1"/>
    <col min="7427" max="7427" width="1.5703125" style="67" customWidth="1"/>
    <col min="7428" max="7428" width="11.42578125" style="67" customWidth="1"/>
    <col min="7429" max="7429" width="11.7109375" style="67" customWidth="1"/>
    <col min="7430" max="7430" width="10.28515625" style="67" customWidth="1"/>
    <col min="7431" max="7431" width="10.7109375" style="67" customWidth="1"/>
    <col min="7432" max="7432" width="10.5703125" style="67" customWidth="1"/>
    <col min="7433" max="7433" width="8.7109375" style="67" customWidth="1"/>
    <col min="7434" max="7442" width="4.5703125" style="67" customWidth="1"/>
    <col min="7443" max="7678" width="11.42578125" style="67"/>
    <col min="7679" max="7679" width="24.28515625" style="67" customWidth="1"/>
    <col min="7680" max="7680" width="11.42578125" style="67" customWidth="1"/>
    <col min="7681" max="7681" width="1.5703125" style="67" customWidth="1"/>
    <col min="7682" max="7682" width="10.7109375" style="67" customWidth="1"/>
    <col min="7683" max="7683" width="1.5703125" style="67" customWidth="1"/>
    <col min="7684" max="7684" width="11.42578125" style="67" customWidth="1"/>
    <col min="7685" max="7685" width="11.7109375" style="67" customWidth="1"/>
    <col min="7686" max="7686" width="10.28515625" style="67" customWidth="1"/>
    <col min="7687" max="7687" width="10.7109375" style="67" customWidth="1"/>
    <col min="7688" max="7688" width="10.5703125" style="67" customWidth="1"/>
    <col min="7689" max="7689" width="8.7109375" style="67" customWidth="1"/>
    <col min="7690" max="7698" width="4.5703125" style="67" customWidth="1"/>
    <col min="7699" max="7934" width="11.42578125" style="67"/>
    <col min="7935" max="7935" width="24.28515625" style="67" customWidth="1"/>
    <col min="7936" max="7936" width="11.42578125" style="67" customWidth="1"/>
    <col min="7937" max="7937" width="1.5703125" style="67" customWidth="1"/>
    <col min="7938" max="7938" width="10.7109375" style="67" customWidth="1"/>
    <col min="7939" max="7939" width="1.5703125" style="67" customWidth="1"/>
    <col min="7940" max="7940" width="11.42578125" style="67" customWidth="1"/>
    <col min="7941" max="7941" width="11.7109375" style="67" customWidth="1"/>
    <col min="7942" max="7942" width="10.28515625" style="67" customWidth="1"/>
    <col min="7943" max="7943" width="10.7109375" style="67" customWidth="1"/>
    <col min="7944" max="7944" width="10.5703125" style="67" customWidth="1"/>
    <col min="7945" max="7945" width="8.7109375" style="67" customWidth="1"/>
    <col min="7946" max="7954" width="4.5703125" style="67" customWidth="1"/>
    <col min="7955" max="8190" width="11.42578125" style="67"/>
    <col min="8191" max="8191" width="24.28515625" style="67" customWidth="1"/>
    <col min="8192" max="8192" width="11.42578125" style="67" customWidth="1"/>
    <col min="8193" max="8193" width="1.5703125" style="67" customWidth="1"/>
    <col min="8194" max="8194" width="10.7109375" style="67" customWidth="1"/>
    <col min="8195" max="8195" width="1.5703125" style="67" customWidth="1"/>
    <col min="8196" max="8196" width="11.42578125" style="67" customWidth="1"/>
    <col min="8197" max="8197" width="11.7109375" style="67" customWidth="1"/>
    <col min="8198" max="8198" width="10.28515625" style="67" customWidth="1"/>
    <col min="8199" max="8199" width="10.7109375" style="67" customWidth="1"/>
    <col min="8200" max="8200" width="10.5703125" style="67" customWidth="1"/>
    <col min="8201" max="8201" width="8.7109375" style="67" customWidth="1"/>
    <col min="8202" max="8210" width="4.5703125" style="67" customWidth="1"/>
    <col min="8211" max="8446" width="11.42578125" style="67"/>
    <col min="8447" max="8447" width="24.28515625" style="67" customWidth="1"/>
    <col min="8448" max="8448" width="11.42578125" style="67" customWidth="1"/>
    <col min="8449" max="8449" width="1.5703125" style="67" customWidth="1"/>
    <col min="8450" max="8450" width="10.7109375" style="67" customWidth="1"/>
    <col min="8451" max="8451" width="1.5703125" style="67" customWidth="1"/>
    <col min="8452" max="8452" width="11.42578125" style="67" customWidth="1"/>
    <col min="8453" max="8453" width="11.7109375" style="67" customWidth="1"/>
    <col min="8454" max="8454" width="10.28515625" style="67" customWidth="1"/>
    <col min="8455" max="8455" width="10.7109375" style="67" customWidth="1"/>
    <col min="8456" max="8456" width="10.5703125" style="67" customWidth="1"/>
    <col min="8457" max="8457" width="8.7109375" style="67" customWidth="1"/>
    <col min="8458" max="8466" width="4.5703125" style="67" customWidth="1"/>
    <col min="8467" max="8702" width="11.42578125" style="67"/>
    <col min="8703" max="8703" width="24.28515625" style="67" customWidth="1"/>
    <col min="8704" max="8704" width="11.42578125" style="67" customWidth="1"/>
    <col min="8705" max="8705" width="1.5703125" style="67" customWidth="1"/>
    <col min="8706" max="8706" width="10.7109375" style="67" customWidth="1"/>
    <col min="8707" max="8707" width="1.5703125" style="67" customWidth="1"/>
    <col min="8708" max="8708" width="11.42578125" style="67" customWidth="1"/>
    <col min="8709" max="8709" width="11.7109375" style="67" customWidth="1"/>
    <col min="8710" max="8710" width="10.28515625" style="67" customWidth="1"/>
    <col min="8711" max="8711" width="10.7109375" style="67" customWidth="1"/>
    <col min="8712" max="8712" width="10.5703125" style="67" customWidth="1"/>
    <col min="8713" max="8713" width="8.7109375" style="67" customWidth="1"/>
    <col min="8714" max="8722" width="4.5703125" style="67" customWidth="1"/>
    <col min="8723" max="8958" width="11.42578125" style="67"/>
    <col min="8959" max="8959" width="24.28515625" style="67" customWidth="1"/>
    <col min="8960" max="8960" width="11.42578125" style="67" customWidth="1"/>
    <col min="8961" max="8961" width="1.5703125" style="67" customWidth="1"/>
    <col min="8962" max="8962" width="10.7109375" style="67" customWidth="1"/>
    <col min="8963" max="8963" width="1.5703125" style="67" customWidth="1"/>
    <col min="8964" max="8964" width="11.42578125" style="67" customWidth="1"/>
    <col min="8965" max="8965" width="11.7109375" style="67" customWidth="1"/>
    <col min="8966" max="8966" width="10.28515625" style="67" customWidth="1"/>
    <col min="8967" max="8967" width="10.7109375" style="67" customWidth="1"/>
    <col min="8968" max="8968" width="10.5703125" style="67" customWidth="1"/>
    <col min="8969" max="8969" width="8.7109375" style="67" customWidth="1"/>
    <col min="8970" max="8978" width="4.5703125" style="67" customWidth="1"/>
    <col min="8979" max="9214" width="11.42578125" style="67"/>
    <col min="9215" max="9215" width="24.28515625" style="67" customWidth="1"/>
    <col min="9216" max="9216" width="11.42578125" style="67" customWidth="1"/>
    <col min="9217" max="9217" width="1.5703125" style="67" customWidth="1"/>
    <col min="9218" max="9218" width="10.7109375" style="67" customWidth="1"/>
    <col min="9219" max="9219" width="1.5703125" style="67" customWidth="1"/>
    <col min="9220" max="9220" width="11.42578125" style="67" customWidth="1"/>
    <col min="9221" max="9221" width="11.7109375" style="67" customWidth="1"/>
    <col min="9222" max="9222" width="10.28515625" style="67" customWidth="1"/>
    <col min="9223" max="9223" width="10.7109375" style="67" customWidth="1"/>
    <col min="9224" max="9224" width="10.5703125" style="67" customWidth="1"/>
    <col min="9225" max="9225" width="8.7109375" style="67" customWidth="1"/>
    <col min="9226" max="9234" width="4.5703125" style="67" customWidth="1"/>
    <col min="9235" max="9470" width="11.42578125" style="67"/>
    <col min="9471" max="9471" width="24.28515625" style="67" customWidth="1"/>
    <col min="9472" max="9472" width="11.42578125" style="67" customWidth="1"/>
    <col min="9473" max="9473" width="1.5703125" style="67" customWidth="1"/>
    <col min="9474" max="9474" width="10.7109375" style="67" customWidth="1"/>
    <col min="9475" max="9475" width="1.5703125" style="67" customWidth="1"/>
    <col min="9476" max="9476" width="11.42578125" style="67" customWidth="1"/>
    <col min="9477" max="9477" width="11.7109375" style="67" customWidth="1"/>
    <col min="9478" max="9478" width="10.28515625" style="67" customWidth="1"/>
    <col min="9479" max="9479" width="10.7109375" style="67" customWidth="1"/>
    <col min="9480" max="9480" width="10.5703125" style="67" customWidth="1"/>
    <col min="9481" max="9481" width="8.7109375" style="67" customWidth="1"/>
    <col min="9482" max="9490" width="4.5703125" style="67" customWidth="1"/>
    <col min="9491" max="9726" width="11.42578125" style="67"/>
    <col min="9727" max="9727" width="24.28515625" style="67" customWidth="1"/>
    <col min="9728" max="9728" width="11.42578125" style="67" customWidth="1"/>
    <col min="9729" max="9729" width="1.5703125" style="67" customWidth="1"/>
    <col min="9730" max="9730" width="10.7109375" style="67" customWidth="1"/>
    <col min="9731" max="9731" width="1.5703125" style="67" customWidth="1"/>
    <col min="9732" max="9732" width="11.42578125" style="67" customWidth="1"/>
    <col min="9733" max="9733" width="11.7109375" style="67" customWidth="1"/>
    <col min="9734" max="9734" width="10.28515625" style="67" customWidth="1"/>
    <col min="9735" max="9735" width="10.7109375" style="67" customWidth="1"/>
    <col min="9736" max="9736" width="10.5703125" style="67" customWidth="1"/>
    <col min="9737" max="9737" width="8.7109375" style="67" customWidth="1"/>
    <col min="9738" max="9746" width="4.5703125" style="67" customWidth="1"/>
    <col min="9747" max="9982" width="11.42578125" style="67"/>
    <col min="9983" max="9983" width="24.28515625" style="67" customWidth="1"/>
    <col min="9984" max="9984" width="11.42578125" style="67" customWidth="1"/>
    <col min="9985" max="9985" width="1.5703125" style="67" customWidth="1"/>
    <col min="9986" max="9986" width="10.7109375" style="67" customWidth="1"/>
    <col min="9987" max="9987" width="1.5703125" style="67" customWidth="1"/>
    <col min="9988" max="9988" width="11.42578125" style="67" customWidth="1"/>
    <col min="9989" max="9989" width="11.7109375" style="67" customWidth="1"/>
    <col min="9990" max="9990" width="10.28515625" style="67" customWidth="1"/>
    <col min="9991" max="9991" width="10.7109375" style="67" customWidth="1"/>
    <col min="9992" max="9992" width="10.5703125" style="67" customWidth="1"/>
    <col min="9993" max="9993" width="8.7109375" style="67" customWidth="1"/>
    <col min="9994" max="10002" width="4.5703125" style="67" customWidth="1"/>
    <col min="10003" max="10238" width="11.42578125" style="67"/>
    <col min="10239" max="10239" width="24.28515625" style="67" customWidth="1"/>
    <col min="10240" max="10240" width="11.42578125" style="67" customWidth="1"/>
    <col min="10241" max="10241" width="1.5703125" style="67" customWidth="1"/>
    <col min="10242" max="10242" width="10.7109375" style="67" customWidth="1"/>
    <col min="10243" max="10243" width="1.5703125" style="67" customWidth="1"/>
    <col min="10244" max="10244" width="11.42578125" style="67" customWidth="1"/>
    <col min="10245" max="10245" width="11.7109375" style="67" customWidth="1"/>
    <col min="10246" max="10246" width="10.28515625" style="67" customWidth="1"/>
    <col min="10247" max="10247" width="10.7109375" style="67" customWidth="1"/>
    <col min="10248" max="10248" width="10.5703125" style="67" customWidth="1"/>
    <col min="10249" max="10249" width="8.7109375" style="67" customWidth="1"/>
    <col min="10250" max="10258" width="4.5703125" style="67" customWidth="1"/>
    <col min="10259" max="10494" width="11.42578125" style="67"/>
    <col min="10495" max="10495" width="24.28515625" style="67" customWidth="1"/>
    <col min="10496" max="10496" width="11.42578125" style="67" customWidth="1"/>
    <col min="10497" max="10497" width="1.5703125" style="67" customWidth="1"/>
    <col min="10498" max="10498" width="10.7109375" style="67" customWidth="1"/>
    <col min="10499" max="10499" width="1.5703125" style="67" customWidth="1"/>
    <col min="10500" max="10500" width="11.42578125" style="67" customWidth="1"/>
    <col min="10501" max="10501" width="11.7109375" style="67" customWidth="1"/>
    <col min="10502" max="10502" width="10.28515625" style="67" customWidth="1"/>
    <col min="10503" max="10503" width="10.7109375" style="67" customWidth="1"/>
    <col min="10504" max="10504" width="10.5703125" style="67" customWidth="1"/>
    <col min="10505" max="10505" width="8.7109375" style="67" customWidth="1"/>
    <col min="10506" max="10514" width="4.5703125" style="67" customWidth="1"/>
    <col min="10515" max="10750" width="11.42578125" style="67"/>
    <col min="10751" max="10751" width="24.28515625" style="67" customWidth="1"/>
    <col min="10752" max="10752" width="11.42578125" style="67" customWidth="1"/>
    <col min="10753" max="10753" width="1.5703125" style="67" customWidth="1"/>
    <col min="10754" max="10754" width="10.7109375" style="67" customWidth="1"/>
    <col min="10755" max="10755" width="1.5703125" style="67" customWidth="1"/>
    <col min="10756" max="10756" width="11.42578125" style="67" customWidth="1"/>
    <col min="10757" max="10757" width="11.7109375" style="67" customWidth="1"/>
    <col min="10758" max="10758" width="10.28515625" style="67" customWidth="1"/>
    <col min="10759" max="10759" width="10.7109375" style="67" customWidth="1"/>
    <col min="10760" max="10760" width="10.5703125" style="67" customWidth="1"/>
    <col min="10761" max="10761" width="8.7109375" style="67" customWidth="1"/>
    <col min="10762" max="10770" width="4.5703125" style="67" customWidth="1"/>
    <col min="10771" max="11006" width="11.42578125" style="67"/>
    <col min="11007" max="11007" width="24.28515625" style="67" customWidth="1"/>
    <col min="11008" max="11008" width="11.42578125" style="67" customWidth="1"/>
    <col min="11009" max="11009" width="1.5703125" style="67" customWidth="1"/>
    <col min="11010" max="11010" width="10.7109375" style="67" customWidth="1"/>
    <col min="11011" max="11011" width="1.5703125" style="67" customWidth="1"/>
    <col min="11012" max="11012" width="11.42578125" style="67" customWidth="1"/>
    <col min="11013" max="11013" width="11.7109375" style="67" customWidth="1"/>
    <col min="11014" max="11014" width="10.28515625" style="67" customWidth="1"/>
    <col min="11015" max="11015" width="10.7109375" style="67" customWidth="1"/>
    <col min="11016" max="11016" width="10.5703125" style="67" customWidth="1"/>
    <col min="11017" max="11017" width="8.7109375" style="67" customWidth="1"/>
    <col min="11018" max="11026" width="4.5703125" style="67" customWidth="1"/>
    <col min="11027" max="11262" width="11.42578125" style="67"/>
    <col min="11263" max="11263" width="24.28515625" style="67" customWidth="1"/>
    <col min="11264" max="11264" width="11.42578125" style="67" customWidth="1"/>
    <col min="11265" max="11265" width="1.5703125" style="67" customWidth="1"/>
    <col min="11266" max="11266" width="10.7109375" style="67" customWidth="1"/>
    <col min="11267" max="11267" width="1.5703125" style="67" customWidth="1"/>
    <col min="11268" max="11268" width="11.42578125" style="67" customWidth="1"/>
    <col min="11269" max="11269" width="11.7109375" style="67" customWidth="1"/>
    <col min="11270" max="11270" width="10.28515625" style="67" customWidth="1"/>
    <col min="11271" max="11271" width="10.7109375" style="67" customWidth="1"/>
    <col min="11272" max="11272" width="10.5703125" style="67" customWidth="1"/>
    <col min="11273" max="11273" width="8.7109375" style="67" customWidth="1"/>
    <col min="11274" max="11282" width="4.5703125" style="67" customWidth="1"/>
    <col min="11283" max="11518" width="11.42578125" style="67"/>
    <col min="11519" max="11519" width="24.28515625" style="67" customWidth="1"/>
    <col min="11520" max="11520" width="11.42578125" style="67" customWidth="1"/>
    <col min="11521" max="11521" width="1.5703125" style="67" customWidth="1"/>
    <col min="11522" max="11522" width="10.7109375" style="67" customWidth="1"/>
    <col min="11523" max="11523" width="1.5703125" style="67" customWidth="1"/>
    <col min="11524" max="11524" width="11.42578125" style="67" customWidth="1"/>
    <col min="11525" max="11525" width="11.7109375" style="67" customWidth="1"/>
    <col min="11526" max="11526" width="10.28515625" style="67" customWidth="1"/>
    <col min="11527" max="11527" width="10.7109375" style="67" customWidth="1"/>
    <col min="11528" max="11528" width="10.5703125" style="67" customWidth="1"/>
    <col min="11529" max="11529" width="8.7109375" style="67" customWidth="1"/>
    <col min="11530" max="11538" width="4.5703125" style="67" customWidth="1"/>
    <col min="11539" max="11774" width="11.42578125" style="67"/>
    <col min="11775" max="11775" width="24.28515625" style="67" customWidth="1"/>
    <col min="11776" max="11776" width="11.42578125" style="67" customWidth="1"/>
    <col min="11777" max="11777" width="1.5703125" style="67" customWidth="1"/>
    <col min="11778" max="11778" width="10.7109375" style="67" customWidth="1"/>
    <col min="11779" max="11779" width="1.5703125" style="67" customWidth="1"/>
    <col min="11780" max="11780" width="11.42578125" style="67" customWidth="1"/>
    <col min="11781" max="11781" width="11.7109375" style="67" customWidth="1"/>
    <col min="11782" max="11782" width="10.28515625" style="67" customWidth="1"/>
    <col min="11783" max="11783" width="10.7109375" style="67" customWidth="1"/>
    <col min="11784" max="11784" width="10.5703125" style="67" customWidth="1"/>
    <col min="11785" max="11785" width="8.7109375" style="67" customWidth="1"/>
    <col min="11786" max="11794" width="4.5703125" style="67" customWidth="1"/>
    <col min="11795" max="12030" width="11.42578125" style="67"/>
    <col min="12031" max="12031" width="24.28515625" style="67" customWidth="1"/>
    <col min="12032" max="12032" width="11.42578125" style="67" customWidth="1"/>
    <col min="12033" max="12033" width="1.5703125" style="67" customWidth="1"/>
    <col min="12034" max="12034" width="10.7109375" style="67" customWidth="1"/>
    <col min="12035" max="12035" width="1.5703125" style="67" customWidth="1"/>
    <col min="12036" max="12036" width="11.42578125" style="67" customWidth="1"/>
    <col min="12037" max="12037" width="11.7109375" style="67" customWidth="1"/>
    <col min="12038" max="12038" width="10.28515625" style="67" customWidth="1"/>
    <col min="12039" max="12039" width="10.7109375" style="67" customWidth="1"/>
    <col min="12040" max="12040" width="10.5703125" style="67" customWidth="1"/>
    <col min="12041" max="12041" width="8.7109375" style="67" customWidth="1"/>
    <col min="12042" max="12050" width="4.5703125" style="67" customWidth="1"/>
    <col min="12051" max="12286" width="11.42578125" style="67"/>
    <col min="12287" max="12287" width="24.28515625" style="67" customWidth="1"/>
    <col min="12288" max="12288" width="11.42578125" style="67" customWidth="1"/>
    <col min="12289" max="12289" width="1.5703125" style="67" customWidth="1"/>
    <col min="12290" max="12290" width="10.7109375" style="67" customWidth="1"/>
    <col min="12291" max="12291" width="1.5703125" style="67" customWidth="1"/>
    <col min="12292" max="12292" width="11.42578125" style="67" customWidth="1"/>
    <col min="12293" max="12293" width="11.7109375" style="67" customWidth="1"/>
    <col min="12294" max="12294" width="10.28515625" style="67" customWidth="1"/>
    <col min="12295" max="12295" width="10.7109375" style="67" customWidth="1"/>
    <col min="12296" max="12296" width="10.5703125" style="67" customWidth="1"/>
    <col min="12297" max="12297" width="8.7109375" style="67" customWidth="1"/>
    <col min="12298" max="12306" width="4.5703125" style="67" customWidth="1"/>
    <col min="12307" max="12542" width="11.42578125" style="67"/>
    <col min="12543" max="12543" width="24.28515625" style="67" customWidth="1"/>
    <col min="12544" max="12544" width="11.42578125" style="67" customWidth="1"/>
    <col min="12545" max="12545" width="1.5703125" style="67" customWidth="1"/>
    <col min="12546" max="12546" width="10.7109375" style="67" customWidth="1"/>
    <col min="12547" max="12547" width="1.5703125" style="67" customWidth="1"/>
    <col min="12548" max="12548" width="11.42578125" style="67" customWidth="1"/>
    <col min="12549" max="12549" width="11.7109375" style="67" customWidth="1"/>
    <col min="12550" max="12550" width="10.28515625" style="67" customWidth="1"/>
    <col min="12551" max="12551" width="10.7109375" style="67" customWidth="1"/>
    <col min="12552" max="12552" width="10.5703125" style="67" customWidth="1"/>
    <col min="12553" max="12553" width="8.7109375" style="67" customWidth="1"/>
    <col min="12554" max="12562" width="4.5703125" style="67" customWidth="1"/>
    <col min="12563" max="12798" width="11.42578125" style="67"/>
    <col min="12799" max="12799" width="24.28515625" style="67" customWidth="1"/>
    <col min="12800" max="12800" width="11.42578125" style="67" customWidth="1"/>
    <col min="12801" max="12801" width="1.5703125" style="67" customWidth="1"/>
    <col min="12802" max="12802" width="10.7109375" style="67" customWidth="1"/>
    <col min="12803" max="12803" width="1.5703125" style="67" customWidth="1"/>
    <col min="12804" max="12804" width="11.42578125" style="67" customWidth="1"/>
    <col min="12805" max="12805" width="11.7109375" style="67" customWidth="1"/>
    <col min="12806" max="12806" width="10.28515625" style="67" customWidth="1"/>
    <col min="12807" max="12807" width="10.7109375" style="67" customWidth="1"/>
    <col min="12808" max="12808" width="10.5703125" style="67" customWidth="1"/>
    <col min="12809" max="12809" width="8.7109375" style="67" customWidth="1"/>
    <col min="12810" max="12818" width="4.5703125" style="67" customWidth="1"/>
    <col min="12819" max="13054" width="11.42578125" style="67"/>
    <col min="13055" max="13055" width="24.28515625" style="67" customWidth="1"/>
    <col min="13056" max="13056" width="11.42578125" style="67" customWidth="1"/>
    <col min="13057" max="13057" width="1.5703125" style="67" customWidth="1"/>
    <col min="13058" max="13058" width="10.7109375" style="67" customWidth="1"/>
    <col min="13059" max="13059" width="1.5703125" style="67" customWidth="1"/>
    <col min="13060" max="13060" width="11.42578125" style="67" customWidth="1"/>
    <col min="13061" max="13061" width="11.7109375" style="67" customWidth="1"/>
    <col min="13062" max="13062" width="10.28515625" style="67" customWidth="1"/>
    <col min="13063" max="13063" width="10.7109375" style="67" customWidth="1"/>
    <col min="13064" max="13064" width="10.5703125" style="67" customWidth="1"/>
    <col min="13065" max="13065" width="8.7109375" style="67" customWidth="1"/>
    <col min="13066" max="13074" width="4.5703125" style="67" customWidth="1"/>
    <col min="13075" max="13310" width="11.42578125" style="67"/>
    <col min="13311" max="13311" width="24.28515625" style="67" customWidth="1"/>
    <col min="13312" max="13312" width="11.42578125" style="67" customWidth="1"/>
    <col min="13313" max="13313" width="1.5703125" style="67" customWidth="1"/>
    <col min="13314" max="13314" width="10.7109375" style="67" customWidth="1"/>
    <col min="13315" max="13315" width="1.5703125" style="67" customWidth="1"/>
    <col min="13316" max="13316" width="11.42578125" style="67" customWidth="1"/>
    <col min="13317" max="13317" width="11.7109375" style="67" customWidth="1"/>
    <col min="13318" max="13318" width="10.28515625" style="67" customWidth="1"/>
    <col min="13319" max="13319" width="10.7109375" style="67" customWidth="1"/>
    <col min="13320" max="13320" width="10.5703125" style="67" customWidth="1"/>
    <col min="13321" max="13321" width="8.7109375" style="67" customWidth="1"/>
    <col min="13322" max="13330" width="4.5703125" style="67" customWidth="1"/>
    <col min="13331" max="13566" width="11.42578125" style="67"/>
    <col min="13567" max="13567" width="24.28515625" style="67" customWidth="1"/>
    <col min="13568" max="13568" width="11.42578125" style="67" customWidth="1"/>
    <col min="13569" max="13569" width="1.5703125" style="67" customWidth="1"/>
    <col min="13570" max="13570" width="10.7109375" style="67" customWidth="1"/>
    <col min="13571" max="13571" width="1.5703125" style="67" customWidth="1"/>
    <col min="13572" max="13572" width="11.42578125" style="67" customWidth="1"/>
    <col min="13573" max="13573" width="11.7109375" style="67" customWidth="1"/>
    <col min="13574" max="13574" width="10.28515625" style="67" customWidth="1"/>
    <col min="13575" max="13575" width="10.7109375" style="67" customWidth="1"/>
    <col min="13576" max="13576" width="10.5703125" style="67" customWidth="1"/>
    <col min="13577" max="13577" width="8.7109375" style="67" customWidth="1"/>
    <col min="13578" max="13586" width="4.5703125" style="67" customWidth="1"/>
    <col min="13587" max="13822" width="11.42578125" style="67"/>
    <col min="13823" max="13823" width="24.28515625" style="67" customWidth="1"/>
    <col min="13824" max="13824" width="11.42578125" style="67" customWidth="1"/>
    <col min="13825" max="13825" width="1.5703125" style="67" customWidth="1"/>
    <col min="13826" max="13826" width="10.7109375" style="67" customWidth="1"/>
    <col min="13827" max="13827" width="1.5703125" style="67" customWidth="1"/>
    <col min="13828" max="13828" width="11.42578125" style="67" customWidth="1"/>
    <col min="13829" max="13829" width="11.7109375" style="67" customWidth="1"/>
    <col min="13830" max="13830" width="10.28515625" style="67" customWidth="1"/>
    <col min="13831" max="13831" width="10.7109375" style="67" customWidth="1"/>
    <col min="13832" max="13832" width="10.5703125" style="67" customWidth="1"/>
    <col min="13833" max="13833" width="8.7109375" style="67" customWidth="1"/>
    <col min="13834" max="13842" width="4.5703125" style="67" customWidth="1"/>
    <col min="13843" max="14078" width="11.42578125" style="67"/>
    <col min="14079" max="14079" width="24.28515625" style="67" customWidth="1"/>
    <col min="14080" max="14080" width="11.42578125" style="67" customWidth="1"/>
    <col min="14081" max="14081" width="1.5703125" style="67" customWidth="1"/>
    <col min="14082" max="14082" width="10.7109375" style="67" customWidth="1"/>
    <col min="14083" max="14083" width="1.5703125" style="67" customWidth="1"/>
    <col min="14084" max="14084" width="11.42578125" style="67" customWidth="1"/>
    <col min="14085" max="14085" width="11.7109375" style="67" customWidth="1"/>
    <col min="14086" max="14086" width="10.28515625" style="67" customWidth="1"/>
    <col min="14087" max="14087" width="10.7109375" style="67" customWidth="1"/>
    <col min="14088" max="14088" width="10.5703125" style="67" customWidth="1"/>
    <col min="14089" max="14089" width="8.7109375" style="67" customWidth="1"/>
    <col min="14090" max="14098" width="4.5703125" style="67" customWidth="1"/>
    <col min="14099" max="14334" width="11.42578125" style="67"/>
    <col min="14335" max="14335" width="24.28515625" style="67" customWidth="1"/>
    <col min="14336" max="14336" width="11.42578125" style="67" customWidth="1"/>
    <col min="14337" max="14337" width="1.5703125" style="67" customWidth="1"/>
    <col min="14338" max="14338" width="10.7109375" style="67" customWidth="1"/>
    <col min="14339" max="14339" width="1.5703125" style="67" customWidth="1"/>
    <col min="14340" max="14340" width="11.42578125" style="67" customWidth="1"/>
    <col min="14341" max="14341" width="11.7109375" style="67" customWidth="1"/>
    <col min="14342" max="14342" width="10.28515625" style="67" customWidth="1"/>
    <col min="14343" max="14343" width="10.7109375" style="67" customWidth="1"/>
    <col min="14344" max="14344" width="10.5703125" style="67" customWidth="1"/>
    <col min="14345" max="14345" width="8.7109375" style="67" customWidth="1"/>
    <col min="14346" max="14354" width="4.5703125" style="67" customWidth="1"/>
    <col min="14355" max="14590" width="11.42578125" style="67"/>
    <col min="14591" max="14591" width="24.28515625" style="67" customWidth="1"/>
    <col min="14592" max="14592" width="11.42578125" style="67" customWidth="1"/>
    <col min="14593" max="14593" width="1.5703125" style="67" customWidth="1"/>
    <col min="14594" max="14594" width="10.7109375" style="67" customWidth="1"/>
    <col min="14595" max="14595" width="1.5703125" style="67" customWidth="1"/>
    <col min="14596" max="14596" width="11.42578125" style="67" customWidth="1"/>
    <col min="14597" max="14597" width="11.7109375" style="67" customWidth="1"/>
    <col min="14598" max="14598" width="10.28515625" style="67" customWidth="1"/>
    <col min="14599" max="14599" width="10.7109375" style="67" customWidth="1"/>
    <col min="14600" max="14600" width="10.5703125" style="67" customWidth="1"/>
    <col min="14601" max="14601" width="8.7109375" style="67" customWidth="1"/>
    <col min="14602" max="14610" width="4.5703125" style="67" customWidth="1"/>
    <col min="14611" max="14846" width="11.42578125" style="67"/>
    <col min="14847" max="14847" width="24.28515625" style="67" customWidth="1"/>
    <col min="14848" max="14848" width="11.42578125" style="67" customWidth="1"/>
    <col min="14849" max="14849" width="1.5703125" style="67" customWidth="1"/>
    <col min="14850" max="14850" width="10.7109375" style="67" customWidth="1"/>
    <col min="14851" max="14851" width="1.5703125" style="67" customWidth="1"/>
    <col min="14852" max="14852" width="11.42578125" style="67" customWidth="1"/>
    <col min="14853" max="14853" width="11.7109375" style="67" customWidth="1"/>
    <col min="14854" max="14854" width="10.28515625" style="67" customWidth="1"/>
    <col min="14855" max="14855" width="10.7109375" style="67" customWidth="1"/>
    <col min="14856" max="14856" width="10.5703125" style="67" customWidth="1"/>
    <col min="14857" max="14857" width="8.7109375" style="67" customWidth="1"/>
    <col min="14858" max="14866" width="4.5703125" style="67" customWidth="1"/>
    <col min="14867" max="15102" width="11.42578125" style="67"/>
    <col min="15103" max="15103" width="24.28515625" style="67" customWidth="1"/>
    <col min="15104" max="15104" width="11.42578125" style="67" customWidth="1"/>
    <col min="15105" max="15105" width="1.5703125" style="67" customWidth="1"/>
    <col min="15106" max="15106" width="10.7109375" style="67" customWidth="1"/>
    <col min="15107" max="15107" width="1.5703125" style="67" customWidth="1"/>
    <col min="15108" max="15108" width="11.42578125" style="67" customWidth="1"/>
    <col min="15109" max="15109" width="11.7109375" style="67" customWidth="1"/>
    <col min="15110" max="15110" width="10.28515625" style="67" customWidth="1"/>
    <col min="15111" max="15111" width="10.7109375" style="67" customWidth="1"/>
    <col min="15112" max="15112" width="10.5703125" style="67" customWidth="1"/>
    <col min="15113" max="15113" width="8.7109375" style="67" customWidth="1"/>
    <col min="15114" max="15122" width="4.5703125" style="67" customWidth="1"/>
    <col min="15123" max="15358" width="11.42578125" style="67"/>
    <col min="15359" max="15359" width="24.28515625" style="67" customWidth="1"/>
    <col min="15360" max="15360" width="11.42578125" style="67" customWidth="1"/>
    <col min="15361" max="15361" width="1.5703125" style="67" customWidth="1"/>
    <col min="15362" max="15362" width="10.7109375" style="67" customWidth="1"/>
    <col min="15363" max="15363" width="1.5703125" style="67" customWidth="1"/>
    <col min="15364" max="15364" width="11.42578125" style="67" customWidth="1"/>
    <col min="15365" max="15365" width="11.7109375" style="67" customWidth="1"/>
    <col min="15366" max="15366" width="10.28515625" style="67" customWidth="1"/>
    <col min="15367" max="15367" width="10.7109375" style="67" customWidth="1"/>
    <col min="15368" max="15368" width="10.5703125" style="67" customWidth="1"/>
    <col min="15369" max="15369" width="8.7109375" style="67" customWidth="1"/>
    <col min="15370" max="15378" width="4.5703125" style="67" customWidth="1"/>
    <col min="15379" max="15614" width="11.42578125" style="67"/>
    <col min="15615" max="15615" width="24.28515625" style="67" customWidth="1"/>
    <col min="15616" max="15616" width="11.42578125" style="67" customWidth="1"/>
    <col min="15617" max="15617" width="1.5703125" style="67" customWidth="1"/>
    <col min="15618" max="15618" width="10.7109375" style="67" customWidth="1"/>
    <col min="15619" max="15619" width="1.5703125" style="67" customWidth="1"/>
    <col min="15620" max="15620" width="11.42578125" style="67" customWidth="1"/>
    <col min="15621" max="15621" width="11.7109375" style="67" customWidth="1"/>
    <col min="15622" max="15622" width="10.28515625" style="67" customWidth="1"/>
    <col min="15623" max="15623" width="10.7109375" style="67" customWidth="1"/>
    <col min="15624" max="15624" width="10.5703125" style="67" customWidth="1"/>
    <col min="15625" max="15625" width="8.7109375" style="67" customWidth="1"/>
    <col min="15626" max="15634" width="4.5703125" style="67" customWidth="1"/>
    <col min="15635" max="15870" width="11.42578125" style="67"/>
    <col min="15871" max="15871" width="24.28515625" style="67" customWidth="1"/>
    <col min="15872" max="15872" width="11.42578125" style="67" customWidth="1"/>
    <col min="15873" max="15873" width="1.5703125" style="67" customWidth="1"/>
    <col min="15874" max="15874" width="10.7109375" style="67" customWidth="1"/>
    <col min="15875" max="15875" width="1.5703125" style="67" customWidth="1"/>
    <col min="15876" max="15876" width="11.42578125" style="67" customWidth="1"/>
    <col min="15877" max="15877" width="11.7109375" style="67" customWidth="1"/>
    <col min="15878" max="15878" width="10.28515625" style="67" customWidth="1"/>
    <col min="15879" max="15879" width="10.7109375" style="67" customWidth="1"/>
    <col min="15880" max="15880" width="10.5703125" style="67" customWidth="1"/>
    <col min="15881" max="15881" width="8.7109375" style="67" customWidth="1"/>
    <col min="15882" max="15890" width="4.5703125" style="67" customWidth="1"/>
    <col min="15891" max="16126" width="11.42578125" style="67"/>
    <col min="16127" max="16127" width="24.28515625" style="67" customWidth="1"/>
    <col min="16128" max="16128" width="11.42578125" style="67" customWidth="1"/>
    <col min="16129" max="16129" width="1.5703125" style="67" customWidth="1"/>
    <col min="16130" max="16130" width="10.7109375" style="67" customWidth="1"/>
    <col min="16131" max="16131" width="1.5703125" style="67" customWidth="1"/>
    <col min="16132" max="16132" width="11.42578125" style="67" customWidth="1"/>
    <col min="16133" max="16133" width="11.7109375" style="67" customWidth="1"/>
    <col min="16134" max="16134" width="10.28515625" style="67" customWidth="1"/>
    <col min="16135" max="16135" width="10.7109375" style="67" customWidth="1"/>
    <col min="16136" max="16136" width="10.5703125" style="67" customWidth="1"/>
    <col min="16137" max="16137" width="8.7109375" style="67" customWidth="1"/>
    <col min="16138" max="16146" width="4.5703125" style="67" customWidth="1"/>
    <col min="16147" max="16384" width="11.42578125" style="67"/>
  </cols>
  <sheetData>
    <row r="1" spans="1:10" s="39" customFormat="1">
      <c r="A1" s="81" t="s">
        <v>348</v>
      </c>
      <c r="B1" s="38"/>
      <c r="E1" s="40"/>
      <c r="F1" s="41"/>
      <c r="H1" s="41"/>
      <c r="J1" s="38"/>
    </row>
    <row r="2" spans="1:10" s="39" customFormat="1">
      <c r="A2" s="221" t="str">
        <f>'Regulated DF Calc'!A3</f>
        <v>Proposed Effective January 1, 2024</v>
      </c>
      <c r="B2" s="42"/>
      <c r="E2" s="40"/>
      <c r="F2" s="41"/>
      <c r="G2" s="43"/>
      <c r="H2" s="41"/>
      <c r="J2" s="38"/>
    </row>
    <row r="3" spans="1:10" s="39" customFormat="1" ht="12.75" customHeight="1">
      <c r="A3" s="138"/>
      <c r="B3" s="42"/>
      <c r="E3" s="40"/>
      <c r="F3" s="41"/>
      <c r="G3" s="43"/>
      <c r="H3" s="41"/>
      <c r="J3" s="38"/>
    </row>
    <row r="4" spans="1:10" s="8" customFormat="1">
      <c r="A4" s="145"/>
      <c r="B4" s="145"/>
      <c r="C4" s="145"/>
      <c r="D4" s="145"/>
      <c r="E4" s="145"/>
      <c r="F4" s="145"/>
      <c r="G4" s="145"/>
    </row>
    <row r="5" spans="1:10" s="8" customFormat="1" ht="38.25">
      <c r="B5" s="146" t="s">
        <v>370</v>
      </c>
      <c r="C5" s="146"/>
      <c r="G5" s="146" t="s">
        <v>370</v>
      </c>
      <c r="H5" s="146"/>
    </row>
    <row r="6" spans="1:10" s="39" customFormat="1">
      <c r="A6" s="48"/>
      <c r="B6" s="49" t="s">
        <v>240</v>
      </c>
      <c r="C6" s="46"/>
      <c r="D6" s="46"/>
      <c r="E6" s="47" t="s">
        <v>242</v>
      </c>
      <c r="F6" s="47"/>
      <c r="G6" s="45" t="s">
        <v>241</v>
      </c>
      <c r="H6" s="47"/>
    </row>
    <row r="7" spans="1:10" s="39" customFormat="1">
      <c r="A7" s="50"/>
      <c r="B7" s="49" t="s">
        <v>69</v>
      </c>
      <c r="C7" s="46"/>
      <c r="D7" s="46"/>
      <c r="E7" s="47" t="s">
        <v>63</v>
      </c>
      <c r="F7" s="47"/>
      <c r="G7" s="47" t="s">
        <v>69</v>
      </c>
      <c r="H7" s="47"/>
    </row>
    <row r="8" spans="1:10" s="39" customFormat="1">
      <c r="A8" s="52" t="s">
        <v>435</v>
      </c>
      <c r="B8" s="51"/>
      <c r="C8" s="52"/>
      <c r="D8" s="52"/>
      <c r="E8" s="53"/>
      <c r="F8" s="54"/>
      <c r="G8" s="55"/>
      <c r="H8" s="54"/>
    </row>
    <row r="9" spans="1:10" s="39" customFormat="1">
      <c r="A9" s="39" t="s">
        <v>323</v>
      </c>
      <c r="B9" s="222">
        <v>5.5051957773418083</v>
      </c>
      <c r="C9" s="250"/>
      <c r="D9" s="58"/>
      <c r="E9" s="44">
        <f ca="1">+'Regulated DF Calc'!N27</f>
        <v>7.385392463066999E-2</v>
      </c>
      <c r="F9" s="44"/>
      <c r="G9" s="222">
        <f ca="1">+B9+E9</f>
        <v>5.5790497019724787</v>
      </c>
      <c r="H9" s="75"/>
    </row>
    <row r="10" spans="1:10" s="39" customFormat="1">
      <c r="B10" s="38"/>
      <c r="C10" s="251"/>
      <c r="D10" s="58"/>
      <c r="E10" s="44"/>
      <c r="F10" s="44"/>
      <c r="G10" s="38"/>
      <c r="H10" s="44"/>
    </row>
    <row r="11" spans="1:10" s="39" customFormat="1">
      <c r="A11" s="52" t="s">
        <v>436</v>
      </c>
      <c r="B11" s="55"/>
      <c r="C11" s="252"/>
      <c r="D11" s="59"/>
      <c r="E11" s="60"/>
      <c r="F11" s="60"/>
      <c r="G11" s="55"/>
      <c r="H11" s="60"/>
    </row>
    <row r="12" spans="1:10" s="39" customFormat="1">
      <c r="A12" s="39" t="s">
        <v>317</v>
      </c>
      <c r="B12" s="222">
        <v>12.216998656405901</v>
      </c>
      <c r="C12" s="253"/>
      <c r="E12" s="44">
        <f ca="1">+'Regulated DF Calc'!N11</f>
        <v>0.18811029038282417</v>
      </c>
      <c r="F12" s="41"/>
      <c r="G12" s="222">
        <f t="shared" ref="G12:G25" ca="1" si="0">+B12+E12</f>
        <v>12.405108946788724</v>
      </c>
      <c r="H12" s="224"/>
    </row>
    <row r="13" spans="1:10" s="39" customFormat="1">
      <c r="A13" s="39" t="s">
        <v>318</v>
      </c>
      <c r="B13" s="222">
        <v>9.0487499040186616</v>
      </c>
      <c r="C13" s="253"/>
      <c r="E13" s="44">
        <f ca="1">+'Regulated DF Calc'!N10</f>
        <v>9.427236261679639E-2</v>
      </c>
      <c r="F13" s="41"/>
      <c r="G13" s="222">
        <f t="shared" ca="1" si="0"/>
        <v>9.1430222666354588</v>
      </c>
      <c r="H13" s="224"/>
    </row>
    <row r="14" spans="1:10" s="39" customFormat="1">
      <c r="A14" s="39" t="s">
        <v>21</v>
      </c>
      <c r="B14" s="222">
        <v>15.808897715890032</v>
      </c>
      <c r="C14" s="253"/>
      <c r="E14" s="44">
        <f ca="1">+'Regulated DF Calc'!N14</f>
        <v>0.31978749365080111</v>
      </c>
      <c r="F14" s="41"/>
      <c r="G14" s="222">
        <f t="shared" ca="1" si="0"/>
        <v>16.128685209540834</v>
      </c>
      <c r="H14" s="224"/>
    </row>
    <row r="15" spans="1:10" s="39" customFormat="1">
      <c r="A15" s="39" t="s">
        <v>319</v>
      </c>
      <c r="B15" s="222">
        <v>23.043346573835045</v>
      </c>
      <c r="C15" s="253"/>
      <c r="E15" s="44">
        <f ca="1">+'Regulated DF Calc'!N16</f>
        <v>0.4796812404762017</v>
      </c>
      <c r="F15" s="41"/>
      <c r="G15" s="222">
        <f t="shared" ca="1" si="0"/>
        <v>23.523027814311245</v>
      </c>
      <c r="H15" s="224"/>
    </row>
    <row r="16" spans="1:10" s="39" customFormat="1">
      <c r="A16" s="39" t="s">
        <v>320</v>
      </c>
      <c r="B16" s="222">
        <v>34.195444827162717</v>
      </c>
      <c r="C16" s="253"/>
      <c r="E16" s="44">
        <f ca="1">+'Regulated DF Calc'!N17</f>
        <v>0.72422461797387316</v>
      </c>
      <c r="F16" s="41"/>
      <c r="G16" s="222">
        <f t="shared" ca="1" si="0"/>
        <v>34.919669445136591</v>
      </c>
      <c r="H16" s="224"/>
    </row>
    <row r="17" spans="1:8" s="39" customFormat="1">
      <c r="A17" s="39" t="s">
        <v>321</v>
      </c>
      <c r="B17" s="222">
        <v>42.542443483568626</v>
      </c>
      <c r="C17" s="253"/>
      <c r="E17" s="44">
        <f ca="1">+'Regulated DF Calc'!N18</f>
        <v>0.91233490835669739</v>
      </c>
      <c r="F17" s="41"/>
      <c r="G17" s="222">
        <f t="shared" ca="1" si="0"/>
        <v>43.454778391925323</v>
      </c>
      <c r="H17" s="224"/>
    </row>
    <row r="18" spans="1:8" s="39" customFormat="1">
      <c r="A18" s="39" t="s">
        <v>322</v>
      </c>
      <c r="B18" s="222">
        <v>52.95944213997452</v>
      </c>
      <c r="C18" s="253"/>
      <c r="E18" s="44">
        <f ca="1">+'Regulated DF Calc'!N19</f>
        <v>1.1004451987395214</v>
      </c>
      <c r="F18" s="41"/>
      <c r="G18" s="222">
        <f t="shared" ca="1" si="0"/>
        <v>54.059887338714042</v>
      </c>
      <c r="H18" s="224"/>
    </row>
    <row r="19" spans="1:8" s="39" customFormat="1">
      <c r="A19" s="39" t="s">
        <v>316</v>
      </c>
      <c r="B19" s="222">
        <v>63.506440796380424</v>
      </c>
      <c r="C19" s="253"/>
      <c r="E19" s="44">
        <f ca="1">+'Regulated DF Calc'!N20</f>
        <v>1.2885554891223454</v>
      </c>
      <c r="F19" s="41"/>
      <c r="G19" s="222">
        <f t="shared" ca="1" si="0"/>
        <v>64.794996285502776</v>
      </c>
      <c r="H19" s="224"/>
    </row>
    <row r="20" spans="1:8" s="39" customFormat="1">
      <c r="A20" s="39" t="s">
        <v>244</v>
      </c>
      <c r="B20" s="222">
        <v>73.620533240206129</v>
      </c>
      <c r="C20" s="253"/>
      <c r="E20" s="44">
        <f ca="1">+'Regulated DF Calc'!N21</f>
        <v>1.5088213846988145</v>
      </c>
      <c r="F20" s="41"/>
      <c r="G20" s="222">
        <f t="shared" ca="1" si="0"/>
        <v>75.129354624904948</v>
      </c>
      <c r="H20" s="224"/>
    </row>
    <row r="21" spans="1:8" s="39" customFormat="1">
      <c r="A21" s="39" t="s">
        <v>245</v>
      </c>
      <c r="B21" s="222">
        <v>80.880438109192212</v>
      </c>
      <c r="C21" s="253"/>
      <c r="E21" s="44">
        <f ca="1">+'Regulated DF Calc'!N22</f>
        <v>1.6647760698879939</v>
      </c>
      <c r="F21" s="41"/>
      <c r="G21" s="222">
        <f t="shared" ca="1" si="0"/>
        <v>82.545214179080205</v>
      </c>
      <c r="H21" s="224"/>
    </row>
    <row r="22" spans="1:8" s="39" customFormat="1">
      <c r="A22" s="39" t="s">
        <v>246</v>
      </c>
      <c r="B22" s="222">
        <v>94.857436765598123</v>
      </c>
      <c r="C22" s="253"/>
      <c r="E22" s="75">
        <f ca="1">'Regulated DF Calc'!N23</f>
        <v>1.8528863602708181</v>
      </c>
      <c r="F22" s="41"/>
      <c r="G22" s="222">
        <f t="shared" ca="1" si="0"/>
        <v>96.710323125868939</v>
      </c>
      <c r="H22" s="224"/>
    </row>
    <row r="23" spans="1:8" s="39" customFormat="1">
      <c r="A23" s="39" t="s">
        <v>312</v>
      </c>
      <c r="B23" s="222">
        <v>13.29519577734181</v>
      </c>
      <c r="C23" s="253"/>
      <c r="E23" s="75">
        <f ca="1">E24</f>
        <v>7.3853924630670004E-2</v>
      </c>
      <c r="F23" s="41"/>
      <c r="G23" s="222">
        <f t="shared" ca="1" si="0"/>
        <v>13.369049701972481</v>
      </c>
      <c r="H23" s="224"/>
    </row>
    <row r="24" spans="1:8" s="39" customFormat="1">
      <c r="A24" s="39" t="s">
        <v>247</v>
      </c>
      <c r="B24" s="222">
        <v>5.6651957773418085</v>
      </c>
      <c r="C24" s="253"/>
      <c r="E24" s="44">
        <f ca="1">+'Regulated DF Calc'!N13</f>
        <v>7.3853924630670004E-2</v>
      </c>
      <c r="F24" s="41"/>
      <c r="G24" s="222">
        <f t="shared" ca="1" si="0"/>
        <v>5.7390497019724789</v>
      </c>
      <c r="H24" s="224"/>
    </row>
    <row r="25" spans="1:8" s="39" customFormat="1">
      <c r="A25" s="39" t="s">
        <v>248</v>
      </c>
      <c r="B25" s="222">
        <v>10.524874836831724</v>
      </c>
      <c r="C25" s="253"/>
      <c r="E25" s="44">
        <f ca="1">+'Regulated DF Calc'!N12</f>
        <v>0.16026301644855384</v>
      </c>
      <c r="F25" s="41"/>
      <c r="G25" s="222">
        <f t="shared" ca="1" si="0"/>
        <v>10.685137853280278</v>
      </c>
      <c r="H25" s="224"/>
    </row>
    <row r="26" spans="1:8" s="39" customFormat="1">
      <c r="B26" s="222"/>
      <c r="C26" s="253"/>
      <c r="E26" s="44"/>
      <c r="F26" s="41"/>
      <c r="G26" s="222"/>
      <c r="H26" s="224"/>
    </row>
    <row r="27" spans="1:8" s="39" customFormat="1">
      <c r="A27" s="39" t="s">
        <v>400</v>
      </c>
      <c r="B27" s="222">
        <v>9.0487499040186616</v>
      </c>
      <c r="C27" s="254"/>
      <c r="E27" s="44">
        <f ca="1">E13</f>
        <v>9.427236261679639E-2</v>
      </c>
      <c r="F27" s="41"/>
      <c r="G27" s="222">
        <f t="shared" ref="G27:G33" ca="1" si="1">+B27+E27</f>
        <v>9.1430222666354588</v>
      </c>
      <c r="H27" s="224"/>
    </row>
    <row r="28" spans="1:8" s="39" customFormat="1">
      <c r="A28" s="39" t="s">
        <v>401</v>
      </c>
      <c r="B28" s="222">
        <v>12.216998656405901</v>
      </c>
      <c r="C28" s="254"/>
      <c r="E28" s="44">
        <f ca="1">E12</f>
        <v>0.18811029038282417</v>
      </c>
      <c r="F28" s="41"/>
      <c r="G28" s="222">
        <f t="shared" ca="1" si="1"/>
        <v>12.405108946788724</v>
      </c>
      <c r="H28" s="224"/>
    </row>
    <row r="29" spans="1:8" s="39" customFormat="1">
      <c r="A29" s="39" t="s">
        <v>402</v>
      </c>
      <c r="B29" s="222">
        <v>5.6651957773418085</v>
      </c>
      <c r="C29" s="254"/>
      <c r="E29" s="97">
        <f ca="1">E24</f>
        <v>7.3853924630670004E-2</v>
      </c>
      <c r="F29" s="41"/>
      <c r="G29" s="222">
        <f t="shared" ca="1" si="1"/>
        <v>5.7390497019724789</v>
      </c>
      <c r="H29" s="224"/>
    </row>
    <row r="30" spans="1:8" s="39" customFormat="1">
      <c r="A30" s="39" t="s">
        <v>403</v>
      </c>
      <c r="B30" s="222">
        <v>10.524874836831724</v>
      </c>
      <c r="C30" s="254"/>
      <c r="E30" s="44">
        <f ca="1">E25</f>
        <v>0.16026301644855384</v>
      </c>
      <c r="F30" s="41"/>
      <c r="G30" s="222">
        <f t="shared" ca="1" si="1"/>
        <v>10.685137853280278</v>
      </c>
      <c r="H30" s="224"/>
    </row>
    <row r="31" spans="1:8" s="39" customFormat="1">
      <c r="A31" s="39" t="s">
        <v>404</v>
      </c>
      <c r="B31" s="222">
        <v>15.808897715890032</v>
      </c>
      <c r="C31" s="254"/>
      <c r="E31" s="44">
        <f ca="1">E14</f>
        <v>0.31978749365080111</v>
      </c>
      <c r="F31" s="41"/>
      <c r="G31" s="222">
        <f t="shared" ca="1" si="1"/>
        <v>16.128685209540834</v>
      </c>
      <c r="H31" s="224"/>
    </row>
    <row r="32" spans="1:8" s="39" customFormat="1">
      <c r="A32" s="39" t="s">
        <v>405</v>
      </c>
      <c r="B32" s="222">
        <v>23.043346573835045</v>
      </c>
      <c r="C32" s="254"/>
      <c r="E32" s="97">
        <f ca="1">((References!$C$29*'Regulated DF Calc'!$H$115)*(References!$D$69/References!$F$78))*References!$C$12</f>
        <v>0.47968124047620164</v>
      </c>
      <c r="F32" s="41"/>
      <c r="G32" s="222">
        <f t="shared" ca="1" si="1"/>
        <v>23.523027814311245</v>
      </c>
      <c r="H32" s="224"/>
    </row>
    <row r="33" spans="1:8" s="39" customFormat="1">
      <c r="A33" s="39" t="s">
        <v>406</v>
      </c>
      <c r="B33" s="222">
        <v>34.195444827162717</v>
      </c>
      <c r="C33" s="254"/>
      <c r="E33" s="97">
        <f ca="1">((References!$C$31*'Regulated DF Calc'!$H$115)*(References!$D$69/References!$F$78))*References!$C$12</f>
        <v>0.72422461797387316</v>
      </c>
      <c r="F33" s="41"/>
      <c r="G33" s="222">
        <f t="shared" ca="1" si="1"/>
        <v>34.919669445136591</v>
      </c>
      <c r="H33" s="224"/>
    </row>
    <row r="34" spans="1:8" s="39" customFormat="1">
      <c r="B34" s="222"/>
      <c r="C34" s="253"/>
      <c r="E34" s="44"/>
      <c r="F34" s="41"/>
      <c r="G34" s="222"/>
      <c r="H34" s="224"/>
    </row>
    <row r="35" spans="1:8" s="39" customFormat="1">
      <c r="A35" s="52" t="s">
        <v>437</v>
      </c>
      <c r="B35" s="55"/>
      <c r="C35" s="255"/>
      <c r="D35" s="62"/>
      <c r="E35" s="60"/>
      <c r="F35" s="63"/>
      <c r="G35" s="55"/>
      <c r="H35" s="63"/>
    </row>
    <row r="36" spans="1:8" s="39" customFormat="1">
      <c r="A36" s="74" t="s">
        <v>276</v>
      </c>
      <c r="B36" s="222">
        <v>4.2951957773418084</v>
      </c>
      <c r="C36" s="254"/>
      <c r="D36" s="223"/>
      <c r="E36" s="75">
        <f ca="1">+'Regulated DF Calc'!N24</f>
        <v>7.3853924630670004E-2</v>
      </c>
      <c r="F36" s="224"/>
      <c r="G36" s="222">
        <f t="shared" ref="G36:G41" ca="1" si="2">+B36+E36</f>
        <v>4.3690497019724788</v>
      </c>
      <c r="H36" s="224"/>
    </row>
    <row r="37" spans="1:8" s="39" customFormat="1">
      <c r="A37" s="39" t="s">
        <v>249</v>
      </c>
      <c r="B37" s="222">
        <v>4.2101151631422402</v>
      </c>
      <c r="C37" s="254"/>
      <c r="D37" s="223"/>
      <c r="E37" s="75">
        <f ca="1">+E12/References!C12</f>
        <v>4.3443485076864706E-2</v>
      </c>
      <c r="F37" s="224"/>
      <c r="G37" s="222">
        <f t="shared" ca="1" si="2"/>
        <v>4.253558648219105</v>
      </c>
      <c r="H37" s="224"/>
    </row>
    <row r="38" spans="1:8" s="39" customFormat="1">
      <c r="A38" s="39" t="s">
        <v>250</v>
      </c>
      <c r="B38" s="222">
        <v>4.570391554683618</v>
      </c>
      <c r="C38" s="254"/>
      <c r="D38" s="223"/>
      <c r="E38" s="75">
        <f ca="1">+E9*2</f>
        <v>0.14770784926133998</v>
      </c>
      <c r="F38" s="224"/>
      <c r="G38" s="222">
        <f t="shared" ca="1" si="2"/>
        <v>4.718099403944958</v>
      </c>
      <c r="H38" s="224"/>
    </row>
    <row r="39" spans="1:8" s="39" customFormat="1">
      <c r="A39" s="39" t="s">
        <v>251</v>
      </c>
      <c r="B39" s="222">
        <v>4.8055873320254259</v>
      </c>
      <c r="C39" s="254"/>
      <c r="D39" s="223"/>
      <c r="E39" s="75">
        <f ca="1">+E9*3</f>
        <v>0.22156177389200998</v>
      </c>
      <c r="F39" s="224"/>
      <c r="G39" s="222">
        <f t="shared" ca="1" si="2"/>
        <v>5.0271491059174362</v>
      </c>
      <c r="H39" s="224"/>
    </row>
    <row r="40" spans="1:8" s="39" customFormat="1">
      <c r="A40" s="39" t="s">
        <v>252</v>
      </c>
      <c r="B40" s="222">
        <v>4.2951957773418084</v>
      </c>
      <c r="C40" s="254"/>
      <c r="D40" s="223"/>
      <c r="E40" s="75">
        <f ca="1">+E9</f>
        <v>7.385392463066999E-2</v>
      </c>
      <c r="F40" s="224"/>
      <c r="G40" s="222">
        <f t="shared" ca="1" si="2"/>
        <v>4.3690497019724788</v>
      </c>
      <c r="H40" s="224"/>
    </row>
    <row r="41" spans="1:8" s="39" customFormat="1">
      <c r="A41" s="39" t="s">
        <v>253</v>
      </c>
      <c r="B41" s="222">
        <v>5.6651957773418085</v>
      </c>
      <c r="C41" s="254"/>
      <c r="D41" s="223"/>
      <c r="E41" s="75">
        <f ca="1">+'Regulated DF Calc'!N25</f>
        <v>7.385392463066999E-2</v>
      </c>
      <c r="F41" s="224"/>
      <c r="G41" s="222">
        <f t="shared" ca="1" si="2"/>
        <v>5.7390497019724789</v>
      </c>
      <c r="H41" s="224"/>
    </row>
    <row r="42" spans="1:8" s="39" customFormat="1">
      <c r="B42" s="38"/>
      <c r="C42" s="254"/>
      <c r="E42" s="44"/>
      <c r="F42" s="41"/>
      <c r="G42" s="38"/>
      <c r="H42" s="41"/>
    </row>
    <row r="43" spans="1:8" s="39" customFormat="1">
      <c r="A43" s="39" t="s">
        <v>408</v>
      </c>
      <c r="B43" s="222">
        <v>7.8218378972685896</v>
      </c>
      <c r="C43" s="254"/>
      <c r="E43" s="44">
        <f ca="1">E12/References!$C$12</f>
        <v>4.3443485076864706E-2</v>
      </c>
      <c r="F43" s="41"/>
      <c r="G43" s="222">
        <f ca="1">+B43+E43</f>
        <v>7.8652813823454544</v>
      </c>
      <c r="H43" s="224"/>
    </row>
    <row r="44" spans="1:8" s="39" customFormat="1">
      <c r="A44" s="39" t="s">
        <v>409</v>
      </c>
      <c r="B44" s="222">
        <v>10.666031427965549</v>
      </c>
      <c r="C44" s="254"/>
      <c r="E44" s="44">
        <f ca="1">E29</f>
        <v>7.3853924630670004E-2</v>
      </c>
      <c r="F44" s="41"/>
      <c r="G44" s="222">
        <f ca="1">+B44+E44</f>
        <v>10.73988535259622</v>
      </c>
      <c r="H44" s="224"/>
    </row>
    <row r="45" spans="1:8" s="39" customFormat="1">
      <c r="A45" s="39" t="s">
        <v>410</v>
      </c>
      <c r="B45" s="222">
        <v>10.321583503901408</v>
      </c>
      <c r="C45" s="254"/>
      <c r="E45" s="44">
        <f ca="1">E32/References!$C$12</f>
        <v>0.11078088694600499</v>
      </c>
      <c r="F45" s="41"/>
      <c r="G45" s="222">
        <f ca="1">+B45+E45</f>
        <v>10.432364390847413</v>
      </c>
      <c r="H45" s="224"/>
    </row>
    <row r="46" spans="1:8" s="39" customFormat="1">
      <c r="A46" s="39" t="s">
        <v>411</v>
      </c>
      <c r="B46" s="222">
        <v>12.898128400498591</v>
      </c>
      <c r="C46" s="254"/>
      <c r="E46" s="44">
        <f ca="1">E33/References!$C$12</f>
        <v>0.16725741754592913</v>
      </c>
      <c r="F46" s="41"/>
      <c r="G46" s="222">
        <f ca="1">+B46+E46</f>
        <v>13.06538581804452</v>
      </c>
      <c r="H46" s="224"/>
    </row>
    <row r="47" spans="1:8" s="39" customFormat="1">
      <c r="B47" s="225"/>
      <c r="C47" s="254"/>
      <c r="E47" s="44"/>
      <c r="F47" s="41"/>
      <c r="G47" s="222"/>
      <c r="H47" s="222"/>
    </row>
    <row r="48" spans="1:8" s="39" customFormat="1">
      <c r="A48" s="52" t="s">
        <v>438</v>
      </c>
      <c r="B48" s="55"/>
      <c r="C48" s="255"/>
      <c r="D48" s="62"/>
      <c r="E48" s="60"/>
      <c r="F48" s="63"/>
      <c r="G48" s="55"/>
      <c r="H48" s="63"/>
    </row>
    <row r="49" spans="1:11" s="39" customFormat="1">
      <c r="A49" s="39" t="s">
        <v>254</v>
      </c>
      <c r="B49" s="222">
        <v>19.153219769639001</v>
      </c>
      <c r="C49" s="253"/>
      <c r="D49" s="223"/>
      <c r="E49" s="75">
        <f ca="1">$E$63</f>
        <v>0.27152178173040442</v>
      </c>
      <c r="F49" s="224"/>
      <c r="G49" s="222">
        <f ca="1">+B49+E49</f>
        <v>19.424741551369404</v>
      </c>
      <c r="H49" s="224"/>
    </row>
    <row r="50" spans="1:11" s="39" customFormat="1">
      <c r="A50" s="39" t="s">
        <v>255</v>
      </c>
      <c r="B50" s="222">
        <v>19.153219769639001</v>
      </c>
      <c r="C50" s="253"/>
      <c r="D50" s="223"/>
      <c r="E50" s="75">
        <f ca="1">$E$63</f>
        <v>0.27152178173040442</v>
      </c>
      <c r="F50" s="224"/>
      <c r="G50" s="222">
        <f ca="1">+B50+E50</f>
        <v>19.424741551369404</v>
      </c>
      <c r="H50" s="224"/>
    </row>
    <row r="51" spans="1:11" s="39" customFormat="1">
      <c r="A51" s="39" t="s">
        <v>243</v>
      </c>
      <c r="B51" s="222">
        <v>19.153219769639001</v>
      </c>
      <c r="C51" s="253"/>
      <c r="D51" s="223"/>
      <c r="E51" s="75">
        <f ca="1">$E$63</f>
        <v>0.27152178173040442</v>
      </c>
      <c r="F51" s="224"/>
      <c r="G51" s="222">
        <f ca="1">+B51+E51</f>
        <v>19.424741551369404</v>
      </c>
      <c r="H51" s="224"/>
    </row>
    <row r="52" spans="1:11" s="39" customFormat="1">
      <c r="B52" s="38"/>
      <c r="C52" s="254"/>
      <c r="E52" s="44"/>
      <c r="F52" s="41"/>
      <c r="G52" s="38"/>
      <c r="H52" s="41"/>
    </row>
    <row r="53" spans="1:11" s="39" customFormat="1">
      <c r="A53" s="52" t="s">
        <v>439</v>
      </c>
      <c r="B53" s="55"/>
      <c r="C53" s="255"/>
      <c r="D53" s="62"/>
      <c r="E53" s="60"/>
      <c r="F53" s="63"/>
      <c r="G53" s="55"/>
      <c r="H53" s="63"/>
    </row>
    <row r="54" spans="1:11" s="40" customFormat="1">
      <c r="A54" s="40" t="s">
        <v>256</v>
      </c>
      <c r="B54" s="61"/>
      <c r="C54" s="256"/>
      <c r="E54" s="57"/>
      <c r="F54" s="64"/>
      <c r="G54" s="61"/>
      <c r="H54" s="64"/>
      <c r="I54" s="39"/>
      <c r="J54" s="39"/>
      <c r="K54" s="39"/>
    </row>
    <row r="55" spans="1:11" s="39" customFormat="1">
      <c r="A55" s="39" t="s">
        <v>257</v>
      </c>
      <c r="B55" s="222">
        <v>3.2352342950685493</v>
      </c>
      <c r="C55" s="253"/>
      <c r="D55" s="223"/>
      <c r="E55" s="75">
        <f>+$K$55</f>
        <v>0</v>
      </c>
      <c r="F55" s="224"/>
      <c r="G55" s="222">
        <f t="shared" ref="G55:G61" si="3">+B55+E55</f>
        <v>3.2352342950685493</v>
      </c>
      <c r="H55" s="224"/>
    </row>
    <row r="56" spans="1:11" s="39" customFormat="1">
      <c r="A56" s="39" t="s">
        <v>324</v>
      </c>
      <c r="B56" s="222">
        <v>3.2352342950685493</v>
      </c>
      <c r="C56" s="253"/>
      <c r="D56" s="223"/>
      <c r="E56" s="75">
        <f t="shared" ref="E56:E61" si="4">$K$55</f>
        <v>0</v>
      </c>
      <c r="F56" s="224"/>
      <c r="G56" s="222">
        <f t="shared" si="3"/>
        <v>3.2352342950685493</v>
      </c>
      <c r="H56" s="224"/>
    </row>
    <row r="57" spans="1:11" s="39" customFormat="1">
      <c r="A57" s="39" t="s">
        <v>325</v>
      </c>
      <c r="B57" s="222">
        <v>3.2352342950685493</v>
      </c>
      <c r="C57" s="253"/>
      <c r="D57" s="223"/>
      <c r="E57" s="75">
        <f t="shared" si="4"/>
        <v>0</v>
      </c>
      <c r="F57" s="224"/>
      <c r="G57" s="222">
        <f t="shared" si="3"/>
        <v>3.2352342950685493</v>
      </c>
      <c r="H57" s="224"/>
    </row>
    <row r="58" spans="1:11" s="39" customFormat="1">
      <c r="A58" s="39" t="s">
        <v>326</v>
      </c>
      <c r="B58" s="222">
        <v>3.2352342950685493</v>
      </c>
      <c r="C58" s="253"/>
      <c r="D58" s="223"/>
      <c r="E58" s="75">
        <f t="shared" si="4"/>
        <v>0</v>
      </c>
      <c r="F58" s="224"/>
      <c r="G58" s="222">
        <f t="shared" si="3"/>
        <v>3.2352342950685493</v>
      </c>
      <c r="H58" s="224"/>
    </row>
    <row r="59" spans="1:11" s="39" customFormat="1">
      <c r="A59" s="39" t="s">
        <v>258</v>
      </c>
      <c r="B59" s="222">
        <v>3.2352342950685493</v>
      </c>
      <c r="C59" s="253"/>
      <c r="D59" s="223"/>
      <c r="E59" s="75">
        <f t="shared" si="4"/>
        <v>0</v>
      </c>
      <c r="F59" s="224"/>
      <c r="G59" s="222">
        <f t="shared" si="3"/>
        <v>3.2352342950685493</v>
      </c>
      <c r="H59" s="224"/>
    </row>
    <row r="60" spans="1:11" s="39" customFormat="1">
      <c r="A60" s="39" t="s">
        <v>327</v>
      </c>
      <c r="B60" s="222">
        <v>3.2352342950685493</v>
      </c>
      <c r="C60" s="253"/>
      <c r="D60" s="223"/>
      <c r="E60" s="75">
        <f t="shared" si="4"/>
        <v>0</v>
      </c>
      <c r="F60" s="224"/>
      <c r="G60" s="222">
        <f t="shared" si="3"/>
        <v>3.2352342950685493</v>
      </c>
      <c r="H60" s="224"/>
    </row>
    <row r="61" spans="1:11" s="39" customFormat="1">
      <c r="A61" s="39" t="s">
        <v>328</v>
      </c>
      <c r="B61" s="222">
        <v>3.2352342950685493</v>
      </c>
      <c r="C61" s="253"/>
      <c r="D61" s="223"/>
      <c r="E61" s="75">
        <f t="shared" si="4"/>
        <v>0</v>
      </c>
      <c r="F61" s="224"/>
      <c r="G61" s="222">
        <f t="shared" si="3"/>
        <v>3.2352342950685493</v>
      </c>
      <c r="H61" s="224"/>
    </row>
    <row r="62" spans="1:11" s="39" customFormat="1">
      <c r="B62" s="222"/>
      <c r="C62" s="253"/>
      <c r="D62" s="223"/>
      <c r="E62" s="75"/>
      <c r="F62" s="224"/>
      <c r="G62" s="222"/>
      <c r="H62" s="224"/>
    </row>
    <row r="63" spans="1:11" s="39" customFormat="1">
      <c r="A63" s="39" t="s">
        <v>273</v>
      </c>
      <c r="B63" s="222">
        <v>25.973219769639002</v>
      </c>
      <c r="C63" s="253"/>
      <c r="D63" s="223"/>
      <c r="E63" s="75">
        <f ca="1">+'Regulated DF Calc'!N103</f>
        <v>0.27152178173040442</v>
      </c>
      <c r="F63" s="224"/>
      <c r="G63" s="222">
        <f ca="1">+B63+E63</f>
        <v>26.244741551369405</v>
      </c>
      <c r="H63" s="224"/>
    </row>
    <row r="64" spans="1:11" s="39" customFormat="1">
      <c r="A64" s="39" t="s">
        <v>274</v>
      </c>
      <c r="B64" s="222">
        <v>20.803219769639</v>
      </c>
      <c r="C64" s="253"/>
      <c r="D64" s="223"/>
      <c r="E64" s="75">
        <f ca="1">+'Regulated DF Calc'!N104</f>
        <v>0.27152178173040442</v>
      </c>
      <c r="F64" s="224"/>
      <c r="G64" s="222">
        <f ca="1">+B64+E64</f>
        <v>21.074741551369403</v>
      </c>
      <c r="H64" s="224"/>
    </row>
    <row r="65" spans="1:16">
      <c r="A65" s="67" t="s">
        <v>263</v>
      </c>
      <c r="C65" s="257"/>
      <c r="G65" s="65"/>
      <c r="I65" s="39"/>
      <c r="J65" s="39"/>
      <c r="K65" s="39"/>
    </row>
    <row r="66" spans="1:16" s="39" customFormat="1">
      <c r="A66" s="52" t="s">
        <v>259</v>
      </c>
      <c r="B66" s="55"/>
      <c r="C66" s="255"/>
      <c r="D66" s="62"/>
      <c r="E66" s="60"/>
      <c r="F66" s="63"/>
      <c r="G66" s="55"/>
      <c r="H66" s="63"/>
    </row>
    <row r="67" spans="1:16" s="39" customFormat="1">
      <c r="A67" s="40" t="s">
        <v>260</v>
      </c>
      <c r="B67" s="38"/>
      <c r="C67" s="254"/>
      <c r="E67" s="44"/>
      <c r="F67" s="41"/>
      <c r="G67" s="38"/>
      <c r="H67" s="41"/>
    </row>
    <row r="68" spans="1:16" s="39" customFormat="1">
      <c r="A68" s="39" t="s">
        <v>309</v>
      </c>
      <c r="B68" s="222">
        <v>94.46</v>
      </c>
      <c r="C68" s="253"/>
      <c r="D68" s="223"/>
      <c r="E68" s="75">
        <f ca="1">+References!E69</f>
        <v>4.9699999999999989</v>
      </c>
      <c r="F68" s="224"/>
      <c r="G68" s="222">
        <f t="shared" ref="G68:G69" ca="1" si="5">+B68+E68</f>
        <v>99.429999999999993</v>
      </c>
      <c r="H68" s="224"/>
    </row>
    <row r="69" spans="1:16" s="39" customFormat="1">
      <c r="A69" s="39" t="s">
        <v>261</v>
      </c>
      <c r="B69" s="222">
        <v>106.34</v>
      </c>
      <c r="C69" s="253"/>
      <c r="D69" s="223"/>
      <c r="E69" s="75">
        <f ca="1">+References!C69</f>
        <v>5.5999999999999943</v>
      </c>
      <c r="F69" s="224"/>
      <c r="G69" s="222">
        <f t="shared" ca="1" si="5"/>
        <v>111.94</v>
      </c>
      <c r="H69" s="224"/>
    </row>
    <row r="70" spans="1:16" s="39" customFormat="1">
      <c r="A70" s="39" t="s">
        <v>433</v>
      </c>
      <c r="B70" s="222">
        <v>80</v>
      </c>
      <c r="C70" s="253"/>
      <c r="D70" s="223"/>
      <c r="E70" s="75"/>
      <c r="F70" s="224"/>
      <c r="G70" s="222">
        <v>80</v>
      </c>
      <c r="H70" s="224"/>
    </row>
    <row r="71" spans="1:16" s="39" customFormat="1">
      <c r="B71" s="38"/>
      <c r="C71" s="254"/>
      <c r="E71" s="44"/>
      <c r="F71" s="41"/>
      <c r="G71" s="38"/>
      <c r="H71" s="41"/>
    </row>
    <row r="72" spans="1:16" s="39" customFormat="1">
      <c r="A72" s="52" t="s">
        <v>440</v>
      </c>
      <c r="B72" s="55"/>
      <c r="C72" s="255"/>
      <c r="D72" s="62"/>
      <c r="E72" s="60"/>
      <c r="F72" s="63"/>
      <c r="G72" s="55"/>
      <c r="H72" s="63"/>
    </row>
    <row r="73" spans="1:16" s="38" customFormat="1">
      <c r="A73" s="40" t="s">
        <v>334</v>
      </c>
      <c r="C73" s="254"/>
      <c r="D73" s="39"/>
      <c r="E73" s="44"/>
      <c r="F73" s="41"/>
      <c r="H73" s="41"/>
      <c r="I73" s="39"/>
      <c r="J73" s="39"/>
      <c r="K73" s="39"/>
      <c r="L73" s="39"/>
      <c r="M73" s="39"/>
      <c r="N73" s="39"/>
      <c r="O73" s="39"/>
      <c r="P73" s="39"/>
    </row>
    <row r="74" spans="1:16" s="38" customFormat="1">
      <c r="A74" s="40" t="s">
        <v>1</v>
      </c>
      <c r="C74" s="254"/>
      <c r="D74" s="39"/>
      <c r="E74" s="44"/>
      <c r="F74" s="41"/>
      <c r="H74" s="41"/>
      <c r="I74" s="39"/>
      <c r="J74" s="39"/>
      <c r="K74" s="39"/>
      <c r="L74" s="39"/>
      <c r="M74" s="39"/>
      <c r="N74" s="39"/>
      <c r="O74" s="39"/>
      <c r="P74" s="39"/>
    </row>
    <row r="75" spans="1:16" s="38" customFormat="1">
      <c r="A75" s="39" t="s">
        <v>257</v>
      </c>
      <c r="B75" s="222">
        <v>20.418507677494606</v>
      </c>
      <c r="C75" s="253"/>
      <c r="D75" s="223"/>
      <c r="E75" s="75">
        <f ca="1">+'Regulated DF Calc'!N37</f>
        <v>0.38013049442256613</v>
      </c>
      <c r="F75" s="224"/>
      <c r="G75" s="222">
        <f t="shared" ref="G75:G82" ca="1" si="6">+B75+E75</f>
        <v>20.798638171917172</v>
      </c>
      <c r="H75" s="224"/>
      <c r="I75" s="39"/>
      <c r="J75" s="39"/>
      <c r="K75" s="39"/>
      <c r="L75" s="39"/>
      <c r="M75" s="39"/>
      <c r="N75" s="39"/>
      <c r="O75" s="39"/>
      <c r="P75" s="39"/>
    </row>
    <row r="76" spans="1:16" s="38" customFormat="1">
      <c r="A76" s="39" t="s">
        <v>324</v>
      </c>
      <c r="B76" s="222">
        <v>27.576439539278006</v>
      </c>
      <c r="C76" s="253"/>
      <c r="D76" s="223"/>
      <c r="E76" s="75">
        <f ca="1">+'Regulated DF Calc'!N40</f>
        <v>0.54304356346080884</v>
      </c>
      <c r="F76" s="224"/>
      <c r="G76" s="222">
        <f t="shared" ca="1" si="6"/>
        <v>28.119483102738815</v>
      </c>
      <c r="H76" s="224"/>
      <c r="I76" s="39"/>
      <c r="J76" s="39"/>
      <c r="K76" s="39"/>
      <c r="L76" s="39"/>
      <c r="M76" s="39"/>
      <c r="N76" s="39"/>
      <c r="O76" s="39"/>
      <c r="P76" s="39"/>
    </row>
    <row r="77" spans="1:16" s="38" customFormat="1">
      <c r="A77" s="39" t="s">
        <v>262</v>
      </c>
      <c r="B77" s="222">
        <v>33.001865642904292</v>
      </c>
      <c r="C77" s="253"/>
      <c r="D77" s="223"/>
      <c r="E77" s="75">
        <f ca="1">+'Regulated DF Calc'!N43</f>
        <v>0.70378445824520819</v>
      </c>
      <c r="F77" s="224"/>
      <c r="G77" s="222">
        <f t="shared" ca="1" si="6"/>
        <v>33.705650101149502</v>
      </c>
      <c r="H77" s="224"/>
      <c r="I77" s="39"/>
      <c r="J77" s="39"/>
      <c r="K77" s="39"/>
      <c r="L77" s="39"/>
      <c r="M77" s="39"/>
      <c r="N77" s="39"/>
      <c r="O77" s="39"/>
      <c r="P77" s="39"/>
    </row>
    <row r="78" spans="1:16" s="38" customFormat="1">
      <c r="A78" s="39" t="s">
        <v>325</v>
      </c>
      <c r="B78" s="222">
        <v>46.155223608313989</v>
      </c>
      <c r="C78" s="253"/>
      <c r="D78" s="223"/>
      <c r="E78" s="75">
        <f ca="1">+'Regulated DF Calc'!N49</f>
        <v>1.0274384220678503</v>
      </c>
      <c r="F78" s="224"/>
      <c r="G78" s="222">
        <f t="shared" ca="1" si="6"/>
        <v>47.182662030381842</v>
      </c>
      <c r="H78" s="224"/>
      <c r="I78" s="39"/>
      <c r="J78" s="39"/>
      <c r="K78" s="39"/>
      <c r="L78" s="39"/>
      <c r="M78" s="39"/>
      <c r="N78" s="39"/>
      <c r="O78" s="39"/>
      <c r="P78" s="39"/>
    </row>
    <row r="79" spans="1:16" s="38" customFormat="1">
      <c r="A79" s="39" t="s">
        <v>326</v>
      </c>
      <c r="B79" s="222">
        <v>59.736029750309676</v>
      </c>
      <c r="C79" s="253"/>
      <c r="D79" s="223"/>
      <c r="E79" s="75">
        <f ca="1">+'Regulated DF Calc'!N57</f>
        <v>1.3315428176059032</v>
      </c>
      <c r="F79" s="224"/>
      <c r="G79" s="222">
        <f t="shared" ca="1" si="6"/>
        <v>61.067572567915576</v>
      </c>
      <c r="H79" s="224"/>
      <c r="I79" s="39"/>
      <c r="J79" s="39"/>
      <c r="K79" s="39"/>
      <c r="L79" s="39"/>
      <c r="M79" s="39"/>
      <c r="N79" s="39"/>
      <c r="O79" s="39"/>
      <c r="P79" s="39"/>
    </row>
    <row r="80" spans="1:16" s="38" customFormat="1">
      <c r="A80" s="39" t="s">
        <v>258</v>
      </c>
      <c r="B80" s="222">
        <v>73.164191938377556</v>
      </c>
      <c r="C80" s="253"/>
      <c r="D80" s="223"/>
      <c r="E80" s="75">
        <f ca="1">+'Regulated DF Calc'!N64</f>
        <v>1.5813428567978753</v>
      </c>
      <c r="F80" s="224"/>
      <c r="G80" s="222">
        <f t="shared" ca="1" si="6"/>
        <v>74.745534795175431</v>
      </c>
      <c r="H80" s="224"/>
      <c r="I80" s="39"/>
      <c r="J80" s="39"/>
      <c r="K80" s="39"/>
      <c r="L80" s="39"/>
      <c r="M80" s="39"/>
      <c r="N80" s="39"/>
      <c r="O80" s="39"/>
      <c r="P80" s="39"/>
    </row>
    <row r="81" spans="1:16" s="38" customFormat="1">
      <c r="A81" s="39" t="s">
        <v>327</v>
      </c>
      <c r="B81" s="222">
        <v>86.484836851974094</v>
      </c>
      <c r="C81" s="253"/>
      <c r="D81" s="223"/>
      <c r="E81" s="75">
        <f ca="1">+'Regulated DF Calc'!N66</f>
        <v>1.8246263732283174</v>
      </c>
      <c r="F81" s="224"/>
      <c r="G81" s="222">
        <f t="shared" ca="1" si="6"/>
        <v>88.309463225202407</v>
      </c>
      <c r="H81" s="224"/>
      <c r="I81" s="39"/>
      <c r="J81" s="39"/>
      <c r="K81" s="39"/>
      <c r="L81" s="39"/>
      <c r="M81" s="39"/>
      <c r="N81" s="39"/>
      <c r="O81" s="39"/>
      <c r="P81" s="39"/>
    </row>
    <row r="82" spans="1:16" s="38" customFormat="1">
      <c r="A82" s="39" t="s">
        <v>328</v>
      </c>
      <c r="B82" s="222">
        <v>112.33564299396978</v>
      </c>
      <c r="C82" s="253"/>
      <c r="D82" s="223"/>
      <c r="E82" s="75">
        <f ca="1">+'Regulated DF Calc'!N76</f>
        <v>2.1287307687663706</v>
      </c>
      <c r="F82" s="224"/>
      <c r="G82" s="222">
        <f t="shared" ca="1" si="6"/>
        <v>114.46437376273616</v>
      </c>
      <c r="H82" s="224"/>
      <c r="I82" s="39"/>
      <c r="J82" s="39"/>
      <c r="K82" s="39"/>
      <c r="L82" s="39"/>
      <c r="M82" s="39"/>
      <c r="N82" s="39"/>
      <c r="O82" s="39"/>
      <c r="P82" s="39"/>
    </row>
    <row r="83" spans="1:16" s="38" customFormat="1">
      <c r="A83" s="56"/>
      <c r="C83" s="254"/>
      <c r="D83" s="39"/>
      <c r="E83" s="44"/>
      <c r="F83" s="41"/>
      <c r="H83" s="41"/>
      <c r="I83" s="39"/>
      <c r="J83" s="39"/>
      <c r="K83" s="39"/>
      <c r="L83" s="39"/>
      <c r="M83" s="39"/>
      <c r="N83" s="39"/>
      <c r="O83" s="39"/>
      <c r="P83" s="39"/>
    </row>
    <row r="84" spans="1:16" s="38" customFormat="1">
      <c r="A84" s="40" t="s">
        <v>264</v>
      </c>
      <c r="C84" s="254"/>
      <c r="D84" s="39"/>
      <c r="E84" s="44"/>
      <c r="F84" s="41"/>
      <c r="H84" s="41"/>
      <c r="I84" s="39"/>
      <c r="J84" s="39"/>
      <c r="K84" s="39"/>
      <c r="L84" s="39"/>
      <c r="M84" s="39"/>
      <c r="N84" s="39"/>
      <c r="O84" s="39"/>
      <c r="P84" s="39"/>
    </row>
    <row r="85" spans="1:16" s="38" customFormat="1">
      <c r="A85" s="39" t="s">
        <v>257</v>
      </c>
      <c r="B85" s="222">
        <v>21.538507677494607</v>
      </c>
      <c r="C85" s="253"/>
      <c r="D85" s="223"/>
      <c r="E85" s="75">
        <f ca="1">+'Regulated DF Calc'!N79</f>
        <v>0.38013049442256613</v>
      </c>
      <c r="F85" s="224"/>
      <c r="G85" s="222">
        <f t="shared" ref="G85:G92" ca="1" si="7">+B85+E85</f>
        <v>21.918638171917173</v>
      </c>
      <c r="H85" s="224"/>
      <c r="I85" s="39"/>
      <c r="J85" s="39"/>
      <c r="K85" s="39"/>
      <c r="L85" s="39"/>
      <c r="M85" s="39"/>
      <c r="N85" s="39"/>
      <c r="O85" s="39"/>
      <c r="P85" s="39"/>
    </row>
    <row r="86" spans="1:16" s="38" customFormat="1">
      <c r="A86" s="39" t="s">
        <v>324</v>
      </c>
      <c r="B86" s="222">
        <v>28.716439539278007</v>
      </c>
      <c r="C86" s="253"/>
      <c r="D86" s="223"/>
      <c r="E86" s="75">
        <f ca="1">+'Regulated DF Calc'!N80</f>
        <v>0.54304356346080884</v>
      </c>
      <c r="F86" s="224"/>
      <c r="G86" s="222">
        <f t="shared" ca="1" si="7"/>
        <v>29.259483102738816</v>
      </c>
      <c r="H86" s="224"/>
      <c r="I86" s="39"/>
      <c r="J86" s="39"/>
      <c r="K86" s="39"/>
      <c r="L86" s="39"/>
      <c r="M86" s="39"/>
      <c r="N86" s="39"/>
      <c r="O86" s="39"/>
      <c r="P86" s="39"/>
    </row>
    <row r="87" spans="1:16" s="38" customFormat="1">
      <c r="A87" s="39" t="s">
        <v>262</v>
      </c>
      <c r="B87" s="222">
        <v>34.131865642904295</v>
      </c>
      <c r="C87" s="253"/>
      <c r="D87" s="223"/>
      <c r="E87" s="75">
        <f ca="1">+'Regulated DF Calc'!N81</f>
        <v>0.70378445824520808</v>
      </c>
      <c r="F87" s="224"/>
      <c r="G87" s="222">
        <f t="shared" ca="1" si="7"/>
        <v>34.835650101149504</v>
      </c>
      <c r="H87" s="224"/>
      <c r="I87" s="39"/>
      <c r="J87" s="39"/>
      <c r="K87" s="39"/>
      <c r="L87" s="39"/>
      <c r="M87" s="39"/>
      <c r="N87" s="39"/>
      <c r="O87" s="39"/>
      <c r="P87" s="39"/>
    </row>
    <row r="88" spans="1:16" s="38" customFormat="1">
      <c r="A88" s="39" t="s">
        <v>325</v>
      </c>
      <c r="B88" s="222">
        <v>47.275223608313993</v>
      </c>
      <c r="C88" s="253"/>
      <c r="D88" s="223"/>
      <c r="E88" s="75">
        <f ca="1">+'Regulated DF Calc'!N82</f>
        <v>1.0274384220678501</v>
      </c>
      <c r="F88" s="224"/>
      <c r="G88" s="222">
        <f t="shared" ca="1" si="7"/>
        <v>48.302662030381846</v>
      </c>
      <c r="H88" s="224"/>
      <c r="I88" s="39"/>
      <c r="J88" s="39"/>
      <c r="K88" s="39"/>
      <c r="L88" s="39"/>
      <c r="M88" s="39"/>
      <c r="N88" s="39"/>
      <c r="O88" s="39"/>
      <c r="P88" s="39"/>
    </row>
    <row r="89" spans="1:16" s="38" customFormat="1">
      <c r="A89" s="39" t="s">
        <v>326</v>
      </c>
      <c r="B89" s="222">
        <v>60.856029750309673</v>
      </c>
      <c r="C89" s="253"/>
      <c r="D89" s="223"/>
      <c r="E89" s="75">
        <f ca="1">+'Regulated DF Calc'!N84</f>
        <v>1.331542817605903</v>
      </c>
      <c r="F89" s="224"/>
      <c r="G89" s="222">
        <f t="shared" ca="1" si="7"/>
        <v>62.187572567915574</v>
      </c>
      <c r="H89" s="224"/>
      <c r="I89" s="39"/>
      <c r="J89" s="39"/>
      <c r="K89" s="39"/>
      <c r="L89" s="39"/>
      <c r="M89" s="39"/>
      <c r="N89" s="39"/>
      <c r="O89" s="39"/>
      <c r="P89" s="39"/>
    </row>
    <row r="90" spans="1:16" s="38" customFormat="1">
      <c r="A90" s="39" t="s">
        <v>258</v>
      </c>
      <c r="B90" s="222">
        <v>74.284191938377546</v>
      </c>
      <c r="C90" s="253"/>
      <c r="D90" s="223"/>
      <c r="E90" s="75">
        <f ca="1">E80</f>
        <v>1.5813428567978753</v>
      </c>
      <c r="F90" s="224"/>
      <c r="G90" s="222">
        <f t="shared" ca="1" si="7"/>
        <v>75.865534795175421</v>
      </c>
      <c r="H90" s="224"/>
      <c r="I90" s="39"/>
      <c r="J90" s="39"/>
      <c r="K90" s="39"/>
      <c r="L90" s="39"/>
      <c r="M90" s="39"/>
      <c r="N90" s="39"/>
      <c r="O90" s="39"/>
      <c r="P90" s="39"/>
    </row>
    <row r="91" spans="1:16" s="38" customFormat="1">
      <c r="A91" s="39" t="s">
        <v>327</v>
      </c>
      <c r="B91" s="222">
        <v>87.614836851974104</v>
      </c>
      <c r="C91" s="253"/>
      <c r="D91" s="223"/>
      <c r="E91" s="75">
        <f ca="1">+'Regulated DF Calc'!N85</f>
        <v>1.8246263732283177</v>
      </c>
      <c r="F91" s="224"/>
      <c r="G91" s="222">
        <f t="shared" ca="1" si="7"/>
        <v>89.439463225202417</v>
      </c>
      <c r="H91" s="224"/>
      <c r="I91" s="39"/>
      <c r="J91" s="39"/>
      <c r="K91" s="39"/>
      <c r="L91" s="39"/>
      <c r="M91" s="39"/>
      <c r="N91" s="39"/>
      <c r="O91" s="39"/>
      <c r="P91" s="39"/>
    </row>
    <row r="92" spans="1:16" s="38" customFormat="1">
      <c r="A92" s="39" t="s">
        <v>328</v>
      </c>
      <c r="B92" s="222">
        <v>113.47564299396979</v>
      </c>
      <c r="C92" s="253"/>
      <c r="D92" s="223"/>
      <c r="E92" s="75">
        <f ca="1">+'Regulated DF Calc'!N86</f>
        <v>2.1287307687663701</v>
      </c>
      <c r="F92" s="224"/>
      <c r="G92" s="222">
        <f t="shared" ca="1" si="7"/>
        <v>115.60437376273616</v>
      </c>
      <c r="H92" s="224"/>
      <c r="I92" s="39"/>
      <c r="J92" s="39"/>
      <c r="K92" s="39"/>
      <c r="L92" s="39"/>
      <c r="M92" s="39"/>
      <c r="N92" s="39"/>
      <c r="O92" s="39"/>
      <c r="P92" s="39"/>
    </row>
    <row r="93" spans="1:16" s="38" customFormat="1">
      <c r="A93" s="56"/>
      <c r="B93" s="222"/>
      <c r="C93" s="253"/>
      <c r="D93" s="223"/>
      <c r="E93" s="75"/>
      <c r="F93" s="224"/>
      <c r="G93" s="222"/>
      <c r="H93" s="224"/>
      <c r="I93" s="39"/>
      <c r="J93" s="39"/>
      <c r="K93" s="39"/>
      <c r="L93" s="39"/>
      <c r="M93" s="39"/>
      <c r="N93" s="39"/>
      <c r="O93" s="39"/>
      <c r="P93" s="39"/>
    </row>
    <row r="94" spans="1:16" s="38" customFormat="1">
      <c r="A94" s="40" t="s">
        <v>265</v>
      </c>
      <c r="B94" s="222"/>
      <c r="C94" s="253"/>
      <c r="D94" s="223"/>
      <c r="E94" s="75"/>
      <c r="F94" s="224"/>
      <c r="G94" s="222"/>
      <c r="H94" s="224"/>
      <c r="I94" s="39"/>
      <c r="J94" s="39"/>
      <c r="K94" s="39"/>
      <c r="L94" s="39"/>
      <c r="M94" s="39"/>
      <c r="N94" s="39"/>
      <c r="O94" s="39"/>
      <c r="P94" s="39"/>
    </row>
    <row r="95" spans="1:16" s="38" customFormat="1">
      <c r="A95" s="40" t="s">
        <v>1</v>
      </c>
      <c r="B95" s="222"/>
      <c r="C95" s="253"/>
      <c r="D95" s="223"/>
      <c r="E95" s="75"/>
      <c r="F95" s="224"/>
      <c r="G95" s="222"/>
      <c r="H95" s="224"/>
      <c r="I95" s="39"/>
      <c r="J95" s="39"/>
      <c r="K95" s="39"/>
      <c r="L95" s="39"/>
      <c r="M95" s="39"/>
      <c r="N95" s="39"/>
      <c r="O95" s="39"/>
      <c r="P95" s="39"/>
    </row>
    <row r="96" spans="1:16" s="38" customFormat="1">
      <c r="A96" s="39" t="s">
        <v>257</v>
      </c>
      <c r="B96" s="222">
        <v>20.418507677494606</v>
      </c>
      <c r="C96" s="253"/>
      <c r="D96" s="223"/>
      <c r="E96" s="75">
        <f ca="1">+'Regulated DF Calc'!N87</f>
        <v>0.38013049442256613</v>
      </c>
      <c r="F96" s="224"/>
      <c r="G96" s="222">
        <f t="shared" ref="G96:G103" ca="1" si="8">+B96+E96</f>
        <v>20.798638171917172</v>
      </c>
      <c r="H96" s="224"/>
      <c r="I96" s="39"/>
      <c r="J96" s="39"/>
      <c r="K96" s="39"/>
      <c r="L96" s="39"/>
      <c r="M96" s="39"/>
      <c r="N96" s="39"/>
      <c r="O96" s="39"/>
      <c r="P96" s="39"/>
    </row>
    <row r="97" spans="1:16" s="38" customFormat="1">
      <c r="A97" s="39" t="s">
        <v>324</v>
      </c>
      <c r="B97" s="222">
        <v>27.576439539278006</v>
      </c>
      <c r="C97" s="253"/>
      <c r="D97" s="223"/>
      <c r="E97" s="75">
        <f ca="1">+'Regulated DF Calc'!N88</f>
        <v>0.54304356346080884</v>
      </c>
      <c r="F97" s="224"/>
      <c r="G97" s="222">
        <f t="shared" ca="1" si="8"/>
        <v>28.119483102738815</v>
      </c>
      <c r="H97" s="224"/>
      <c r="I97" s="39"/>
      <c r="J97" s="39"/>
      <c r="K97" s="39"/>
      <c r="L97" s="39"/>
      <c r="M97" s="39"/>
      <c r="N97" s="39"/>
      <c r="O97" s="39"/>
      <c r="P97" s="39"/>
    </row>
    <row r="98" spans="1:16" s="38" customFormat="1">
      <c r="A98" s="39" t="s">
        <v>262</v>
      </c>
      <c r="B98" s="222">
        <v>33.001865642904292</v>
      </c>
      <c r="C98" s="253"/>
      <c r="D98" s="223"/>
      <c r="E98" s="75">
        <f ca="1">+'Regulated DF Calc'!N89</f>
        <v>0.70378445824520819</v>
      </c>
      <c r="F98" s="224"/>
      <c r="G98" s="222">
        <f t="shared" ca="1" si="8"/>
        <v>33.705650101149502</v>
      </c>
      <c r="H98" s="224"/>
      <c r="I98" s="39"/>
      <c r="J98" s="39"/>
      <c r="K98" s="39"/>
      <c r="L98" s="39"/>
      <c r="M98" s="39"/>
      <c r="N98" s="39"/>
      <c r="O98" s="39"/>
      <c r="P98" s="39"/>
    </row>
    <row r="99" spans="1:16" s="38" customFormat="1">
      <c r="A99" s="39" t="s">
        <v>325</v>
      </c>
      <c r="B99" s="222">
        <v>46.155223608313989</v>
      </c>
      <c r="C99" s="253"/>
      <c r="D99" s="223"/>
      <c r="E99" s="75">
        <f ca="1">+'Regulated DF Calc'!N90</f>
        <v>1.0274384220678501</v>
      </c>
      <c r="F99" s="224"/>
      <c r="G99" s="222">
        <f t="shared" ca="1" si="8"/>
        <v>47.182662030381842</v>
      </c>
      <c r="H99" s="224"/>
      <c r="I99" s="39"/>
      <c r="J99" s="39"/>
      <c r="K99" s="39"/>
      <c r="L99" s="39"/>
      <c r="M99" s="39"/>
      <c r="N99" s="39"/>
      <c r="O99" s="39"/>
      <c r="P99" s="39"/>
    </row>
    <row r="100" spans="1:16" s="38" customFormat="1">
      <c r="A100" s="39" t="s">
        <v>326</v>
      </c>
      <c r="B100" s="222">
        <v>59.736029750309676</v>
      </c>
      <c r="C100" s="253"/>
      <c r="D100" s="223"/>
      <c r="E100" s="75">
        <f ca="1">+'Regulated DF Calc'!N91</f>
        <v>1.3315428176059032</v>
      </c>
      <c r="F100" s="224"/>
      <c r="G100" s="222">
        <f t="shared" ca="1" si="8"/>
        <v>61.067572567915576</v>
      </c>
      <c r="H100" s="224"/>
      <c r="I100" s="39"/>
      <c r="J100" s="39"/>
      <c r="K100" s="39"/>
      <c r="L100" s="39"/>
      <c r="M100" s="39"/>
      <c r="N100" s="39"/>
      <c r="O100" s="39"/>
      <c r="P100" s="39"/>
    </row>
    <row r="101" spans="1:16" s="38" customFormat="1">
      <c r="A101" s="39" t="s">
        <v>258</v>
      </c>
      <c r="B101" s="222">
        <v>73.164191938377556</v>
      </c>
      <c r="C101" s="253"/>
      <c r="D101" s="223"/>
      <c r="E101" s="75">
        <f ca="1">E90</f>
        <v>1.5813428567978753</v>
      </c>
      <c r="F101" s="224"/>
      <c r="G101" s="222">
        <f t="shared" ca="1" si="8"/>
        <v>74.745534795175431</v>
      </c>
      <c r="H101" s="224"/>
      <c r="I101" s="39"/>
      <c r="J101" s="39"/>
      <c r="K101" s="39"/>
      <c r="L101" s="39"/>
      <c r="M101" s="39"/>
      <c r="N101" s="39"/>
      <c r="O101" s="39"/>
      <c r="P101" s="39"/>
    </row>
    <row r="102" spans="1:16" s="38" customFormat="1">
      <c r="A102" s="39" t="s">
        <v>327</v>
      </c>
      <c r="B102" s="222">
        <v>86.484836851974094</v>
      </c>
      <c r="C102" s="253"/>
      <c r="D102" s="223"/>
      <c r="E102" s="75">
        <f ca="1">E91</f>
        <v>1.8246263732283177</v>
      </c>
      <c r="F102" s="224"/>
      <c r="G102" s="222">
        <f t="shared" ca="1" si="8"/>
        <v>88.309463225202407</v>
      </c>
      <c r="H102" s="224"/>
      <c r="I102" s="39"/>
      <c r="J102" s="39"/>
      <c r="K102" s="39"/>
      <c r="L102" s="39"/>
      <c r="M102" s="39"/>
      <c r="N102" s="39"/>
      <c r="O102" s="39"/>
      <c r="P102" s="39"/>
    </row>
    <row r="103" spans="1:16" s="39" customFormat="1">
      <c r="A103" s="39" t="s">
        <v>328</v>
      </c>
      <c r="B103" s="222">
        <v>112.33564299396978</v>
      </c>
      <c r="C103" s="253"/>
      <c r="D103" s="223"/>
      <c r="E103" s="75">
        <f ca="1">E92</f>
        <v>2.1287307687663701</v>
      </c>
      <c r="F103" s="224"/>
      <c r="G103" s="222">
        <f t="shared" ca="1" si="8"/>
        <v>114.46437376273616</v>
      </c>
      <c r="H103" s="224"/>
    </row>
    <row r="104" spans="1:16" s="39" customFormat="1">
      <c r="B104" s="38"/>
      <c r="C104" s="254"/>
      <c r="E104" s="44"/>
      <c r="F104" s="41"/>
      <c r="G104" s="38"/>
      <c r="H104" s="41"/>
    </row>
    <row r="105" spans="1:16" s="39" customFormat="1">
      <c r="A105" s="52" t="s">
        <v>441</v>
      </c>
      <c r="B105" s="55"/>
      <c r="C105" s="255"/>
      <c r="D105" s="62"/>
      <c r="E105" s="60"/>
      <c r="F105" s="63"/>
      <c r="G105" s="55"/>
      <c r="H105" s="63"/>
    </row>
    <row r="106" spans="1:16" s="39" customFormat="1">
      <c r="A106" s="40" t="s">
        <v>349</v>
      </c>
      <c r="B106" s="38"/>
      <c r="C106" s="254"/>
      <c r="E106" s="44"/>
      <c r="F106" s="41"/>
      <c r="G106" s="38"/>
      <c r="H106" s="41"/>
    </row>
    <row r="107" spans="1:16" s="39" customFormat="1">
      <c r="A107" s="39" t="s">
        <v>350</v>
      </c>
      <c r="B107" s="222">
        <v>130.39643953927802</v>
      </c>
      <c r="C107" s="253"/>
      <c r="D107" s="223"/>
      <c r="E107" s="75">
        <f ca="1">+'Regulated DF Calc'!$N$40</f>
        <v>0.54304356346080884</v>
      </c>
      <c r="F107" s="224"/>
      <c r="G107" s="222">
        <f t="shared" ref="G107:G113" ca="1" si="9">+B107+E107</f>
        <v>130.93948310273882</v>
      </c>
      <c r="H107" s="224"/>
    </row>
    <row r="108" spans="1:16" s="39" customFormat="1">
      <c r="A108" s="39" t="s">
        <v>351</v>
      </c>
      <c r="B108" s="222">
        <v>134.1318656429043</v>
      </c>
      <c r="C108" s="253"/>
      <c r="D108" s="223"/>
      <c r="E108" s="75">
        <f ca="1">+'Regulated DF Calc'!$N$43</f>
        <v>0.70378445824520819</v>
      </c>
      <c r="F108" s="224"/>
      <c r="G108" s="222">
        <f t="shared" ca="1" si="9"/>
        <v>134.8356501011495</v>
      </c>
      <c r="H108" s="224"/>
    </row>
    <row r="109" spans="1:16" s="39" customFormat="1">
      <c r="A109" s="39" t="s">
        <v>352</v>
      </c>
      <c r="B109" s="222">
        <v>141.62522360831397</v>
      </c>
      <c r="C109" s="253"/>
      <c r="D109" s="223"/>
      <c r="E109" s="75">
        <f ca="1">+'Regulated DF Calc'!$N$49</f>
        <v>1.0274384220678503</v>
      </c>
      <c r="F109" s="224"/>
      <c r="G109" s="222">
        <f t="shared" ca="1" si="9"/>
        <v>142.65266203038183</v>
      </c>
      <c r="H109" s="224"/>
    </row>
    <row r="110" spans="1:16" s="39" customFormat="1">
      <c r="A110" s="39" t="s">
        <v>353</v>
      </c>
      <c r="B110" s="222">
        <v>148.67602975030965</v>
      </c>
      <c r="C110" s="253"/>
      <c r="D110" s="223"/>
      <c r="E110" s="75">
        <f ca="1">+'Regulated DF Calc'!$N$57</f>
        <v>1.3315428176059032</v>
      </c>
      <c r="F110" s="224"/>
      <c r="G110" s="222">
        <f t="shared" ca="1" si="9"/>
        <v>150.00757256791556</v>
      </c>
      <c r="H110" s="224"/>
    </row>
    <row r="111" spans="1:16" s="39" customFormat="1">
      <c r="A111" s="39" t="s">
        <v>354</v>
      </c>
      <c r="B111" s="222">
        <v>154.44419193837757</v>
      </c>
      <c r="C111" s="253"/>
      <c r="D111" s="223"/>
      <c r="E111" s="75">
        <f ca="1">+'Regulated DF Calc'!$N$64</f>
        <v>1.5813428567978753</v>
      </c>
      <c r="F111" s="224"/>
      <c r="G111" s="222">
        <f t="shared" ca="1" si="9"/>
        <v>156.02553479517545</v>
      </c>
      <c r="H111" s="224"/>
    </row>
    <row r="112" spans="1:16" s="39" customFormat="1">
      <c r="A112" s="39" t="s">
        <v>355</v>
      </c>
      <c r="B112" s="222">
        <v>160.0848368519741</v>
      </c>
      <c r="C112" s="253"/>
      <c r="D112" s="223"/>
      <c r="E112" s="75">
        <f ca="1">+'Regulated DF Calc'!$N$66</f>
        <v>1.8246263732283174</v>
      </c>
      <c r="F112" s="224"/>
      <c r="G112" s="222">
        <f t="shared" ca="1" si="9"/>
        <v>161.90946322520242</v>
      </c>
      <c r="H112" s="224"/>
    </row>
    <row r="113" spans="1:9" s="39" customFormat="1">
      <c r="A113" s="39" t="s">
        <v>356</v>
      </c>
      <c r="B113" s="222">
        <v>167.12564299396976</v>
      </c>
      <c r="C113" s="253"/>
      <c r="D113" s="223"/>
      <c r="E113" s="75">
        <f ca="1">+'Regulated DF Calc'!$N$71</f>
        <v>2.1287307687663701</v>
      </c>
      <c r="F113" s="224"/>
      <c r="G113" s="222">
        <f t="shared" ca="1" si="9"/>
        <v>169.25437376273612</v>
      </c>
      <c r="H113" s="224"/>
    </row>
    <row r="114" spans="1:9" s="39" customFormat="1">
      <c r="B114" s="222"/>
      <c r="C114" s="253"/>
      <c r="D114" s="223"/>
      <c r="E114" s="75"/>
      <c r="F114" s="224"/>
      <c r="G114" s="222"/>
      <c r="H114" s="224"/>
    </row>
    <row r="115" spans="1:9" s="39" customFormat="1">
      <c r="A115" s="40" t="s">
        <v>357</v>
      </c>
      <c r="B115" s="222"/>
      <c r="C115" s="253"/>
      <c r="D115" s="223"/>
      <c r="E115" s="75"/>
      <c r="F115" s="224"/>
      <c r="G115" s="222"/>
      <c r="H115" s="224"/>
    </row>
    <row r="116" spans="1:9" s="39" customFormat="1">
      <c r="A116" s="39" t="s">
        <v>350</v>
      </c>
      <c r="B116" s="222">
        <v>75.286439539278007</v>
      </c>
      <c r="C116" s="253"/>
      <c r="D116" s="223"/>
      <c r="E116" s="75">
        <f ca="1">+'Regulated DF Calc'!$N$40</f>
        <v>0.54304356346080884</v>
      </c>
      <c r="F116" s="224"/>
      <c r="G116" s="222">
        <f t="shared" ref="G116:G122" ca="1" si="10">+B116+E116</f>
        <v>75.82948310273882</v>
      </c>
      <c r="H116" s="224"/>
    </row>
    <row r="117" spans="1:9" s="39" customFormat="1">
      <c r="A117" s="39" t="s">
        <v>351</v>
      </c>
      <c r="B117" s="222">
        <v>79.021865642904288</v>
      </c>
      <c r="C117" s="253"/>
      <c r="D117" s="223"/>
      <c r="E117" s="75">
        <f ca="1">+'Regulated DF Calc'!$N$43</f>
        <v>0.70378445824520819</v>
      </c>
      <c r="F117" s="224"/>
      <c r="G117" s="222">
        <f t="shared" ca="1" si="10"/>
        <v>79.725650101149498</v>
      </c>
      <c r="H117" s="224"/>
    </row>
    <row r="118" spans="1:9" s="39" customFormat="1">
      <c r="A118" s="39" t="s">
        <v>352</v>
      </c>
      <c r="B118" s="222">
        <v>86.515223608313988</v>
      </c>
      <c r="C118" s="253"/>
      <c r="D118" s="223"/>
      <c r="E118" s="75">
        <f ca="1">+'Regulated DF Calc'!$N$49</f>
        <v>1.0274384220678503</v>
      </c>
      <c r="F118" s="224"/>
      <c r="G118" s="222">
        <f t="shared" ca="1" si="10"/>
        <v>87.542662030381834</v>
      </c>
      <c r="H118" s="224"/>
    </row>
    <row r="119" spans="1:9" s="39" customFormat="1">
      <c r="A119" s="39" t="s">
        <v>353</v>
      </c>
      <c r="B119" s="222">
        <v>93.556029750309662</v>
      </c>
      <c r="C119" s="253"/>
      <c r="D119" s="223"/>
      <c r="E119" s="75">
        <f ca="1">+'Regulated DF Calc'!$N$57</f>
        <v>1.3315428176059032</v>
      </c>
      <c r="F119" s="224"/>
      <c r="G119" s="222">
        <f t="shared" ca="1" si="10"/>
        <v>94.887572567915569</v>
      </c>
      <c r="H119" s="224"/>
    </row>
    <row r="120" spans="1:9" s="39" customFormat="1">
      <c r="A120" s="39" t="s">
        <v>354</v>
      </c>
      <c r="B120" s="222">
        <v>99.324191938377552</v>
      </c>
      <c r="C120" s="253"/>
      <c r="D120" s="223"/>
      <c r="E120" s="75">
        <f ca="1">+'Regulated DF Calc'!$N$64</f>
        <v>1.5813428567978753</v>
      </c>
      <c r="F120" s="224"/>
      <c r="G120" s="222">
        <f t="shared" ca="1" si="10"/>
        <v>100.90553479517543</v>
      </c>
      <c r="H120" s="224"/>
    </row>
    <row r="121" spans="1:9" s="39" customFormat="1">
      <c r="A121" s="39" t="s">
        <v>355</v>
      </c>
      <c r="B121" s="222">
        <v>104.9648368519741</v>
      </c>
      <c r="C121" s="253"/>
      <c r="D121" s="223"/>
      <c r="E121" s="75">
        <f ca="1">+'Regulated DF Calc'!$N$66</f>
        <v>1.8246263732283174</v>
      </c>
      <c r="F121" s="224"/>
      <c r="G121" s="222">
        <f t="shared" ca="1" si="10"/>
        <v>106.78946322520241</v>
      </c>
      <c r="H121" s="224"/>
    </row>
    <row r="122" spans="1:9" s="39" customFormat="1">
      <c r="A122" s="39" t="s">
        <v>356</v>
      </c>
      <c r="B122" s="222">
        <v>112.01564299396979</v>
      </c>
      <c r="C122" s="253"/>
      <c r="D122" s="223"/>
      <c r="E122" s="75">
        <f ca="1">+'Regulated DF Calc'!$N$71</f>
        <v>2.1287307687663701</v>
      </c>
      <c r="F122" s="224"/>
      <c r="G122" s="222">
        <f t="shared" ca="1" si="10"/>
        <v>114.14437376273617</v>
      </c>
      <c r="H122" s="224"/>
    </row>
    <row r="123" spans="1:9" s="39" customFormat="1">
      <c r="B123" s="38"/>
      <c r="C123" s="254"/>
      <c r="E123" s="44"/>
      <c r="F123" s="41"/>
      <c r="G123" s="38"/>
      <c r="H123" s="41"/>
    </row>
    <row r="124" spans="1:9" s="39" customFormat="1">
      <c r="A124" s="52" t="s">
        <v>442</v>
      </c>
      <c r="B124" s="55"/>
      <c r="C124" s="255"/>
      <c r="D124" s="62"/>
      <c r="E124" s="60"/>
      <c r="F124" s="63"/>
      <c r="G124" s="55"/>
      <c r="H124" s="63"/>
    </row>
    <row r="125" spans="1:9" s="39" customFormat="1">
      <c r="A125" s="39" t="s">
        <v>329</v>
      </c>
      <c r="B125" s="222">
        <v>3.3526669865562484</v>
      </c>
      <c r="C125" s="253"/>
      <c r="E125" s="44">
        <f ca="1">+'Regulated DF Calc'!N93</f>
        <v>6.2993053361453819E-2</v>
      </c>
      <c r="F125" s="41"/>
      <c r="G125" s="222">
        <f ca="1">+B125+E125</f>
        <v>3.4156600399177024</v>
      </c>
      <c r="H125" s="224"/>
    </row>
    <row r="126" spans="1:9" s="39" customFormat="1">
      <c r="A126" s="39" t="s">
        <v>412</v>
      </c>
      <c r="B126" s="222">
        <v>2.8218378972685896</v>
      </c>
      <c r="C126" s="253"/>
      <c r="E126" s="75">
        <f ca="1">E43</f>
        <v>4.3443485076864706E-2</v>
      </c>
      <c r="F126" s="224"/>
      <c r="G126" s="222">
        <f ca="1">+B126+E126</f>
        <v>2.8652813823454544</v>
      </c>
      <c r="H126" s="224"/>
      <c r="I126" s="225" t="s">
        <v>407</v>
      </c>
    </row>
    <row r="127" spans="1:9" s="39" customFormat="1">
      <c r="A127" s="39" t="s">
        <v>413</v>
      </c>
      <c r="B127" s="222">
        <v>5.6535026371799892</v>
      </c>
      <c r="C127" s="253"/>
      <c r="E127" s="75">
        <f ca="1">E125</f>
        <v>6.2993053361453819E-2</v>
      </c>
      <c r="F127" s="224"/>
      <c r="G127" s="222">
        <f ca="1">+B127+E127</f>
        <v>5.7164956905414428</v>
      </c>
      <c r="H127" s="224"/>
      <c r="I127" s="225" t="s">
        <v>407</v>
      </c>
    </row>
    <row r="128" spans="1:9" s="39" customFormat="1">
      <c r="A128" s="39" t="s">
        <v>414</v>
      </c>
      <c r="B128" s="222">
        <v>8.4851673770913898</v>
      </c>
      <c r="C128" s="253"/>
      <c r="E128" s="75">
        <f ca="1">E126</f>
        <v>4.3443485076864706E-2</v>
      </c>
      <c r="F128" s="224"/>
      <c r="G128" s="222">
        <f ca="1">G127+(G127-G126)</f>
        <v>8.5677099987374312</v>
      </c>
      <c r="H128" s="222"/>
      <c r="I128" s="225" t="s">
        <v>407</v>
      </c>
    </row>
    <row r="129" spans="1:16" s="39" customFormat="1">
      <c r="A129" s="39" t="s">
        <v>415</v>
      </c>
      <c r="B129" s="222">
        <v>10.422622199136033</v>
      </c>
      <c r="C129" s="253"/>
      <c r="E129" s="75">
        <f ca="1">E127</f>
        <v>6.2993053361453819E-2</v>
      </c>
      <c r="F129" s="224"/>
      <c r="G129" s="222">
        <f ca="1">G128+((G128-G127)*(65/95))</f>
        <v>10.518540841187319</v>
      </c>
      <c r="H129" s="222"/>
      <c r="I129" s="225" t="s">
        <v>407</v>
      </c>
    </row>
    <row r="130" spans="1:16" s="38" customFormat="1">
      <c r="A130" s="56"/>
      <c r="B130" s="222"/>
      <c r="C130" s="254"/>
      <c r="D130" s="39"/>
      <c r="E130" s="75"/>
      <c r="F130" s="224"/>
      <c r="G130" s="222"/>
      <c r="H130" s="224"/>
      <c r="I130" s="39"/>
      <c r="J130" s="39"/>
      <c r="K130" s="39"/>
      <c r="L130" s="39"/>
      <c r="M130" s="39"/>
      <c r="N130" s="39"/>
      <c r="O130" s="39"/>
      <c r="P130" s="39"/>
    </row>
    <row r="131" spans="1:16" s="61" customFormat="1">
      <c r="A131" s="40" t="s">
        <v>335</v>
      </c>
      <c r="B131" s="227"/>
      <c r="C131" s="256"/>
      <c r="D131" s="40"/>
      <c r="E131" s="229"/>
      <c r="F131" s="230"/>
      <c r="G131" s="227"/>
      <c r="H131" s="230"/>
      <c r="I131" s="40"/>
      <c r="J131" s="40"/>
      <c r="K131" s="40"/>
      <c r="L131" s="40"/>
      <c r="M131" s="40"/>
      <c r="N131" s="40"/>
      <c r="O131" s="40"/>
      <c r="P131" s="40"/>
    </row>
    <row r="132" spans="1:16" s="38" customFormat="1">
      <c r="A132" s="39" t="s">
        <v>329</v>
      </c>
      <c r="B132" s="222">
        <v>13.152666986556248</v>
      </c>
      <c r="C132" s="253"/>
      <c r="D132" s="39"/>
      <c r="E132" s="75">
        <f ca="1">E125</f>
        <v>6.2993053361453819E-2</v>
      </c>
      <c r="F132" s="224"/>
      <c r="G132" s="222">
        <f ca="1">+B132+E132</f>
        <v>13.215660039917703</v>
      </c>
      <c r="H132" s="224"/>
      <c r="I132" s="39"/>
      <c r="J132" s="39"/>
      <c r="K132" s="39"/>
      <c r="L132" s="39"/>
      <c r="M132" s="39"/>
      <c r="N132" s="39"/>
      <c r="O132" s="39"/>
      <c r="P132" s="39"/>
    </row>
    <row r="133" spans="1:16" s="38" customFormat="1">
      <c r="A133" s="39" t="s">
        <v>412</v>
      </c>
      <c r="B133" s="222">
        <v>12.620115163142241</v>
      </c>
      <c r="C133" s="253"/>
      <c r="D133" s="39"/>
      <c r="E133" s="75">
        <f ca="1">E126</f>
        <v>4.3443485076864706E-2</v>
      </c>
      <c r="F133" s="224"/>
      <c r="G133" s="222">
        <f ca="1">+B133+E133</f>
        <v>12.663558648219105</v>
      </c>
      <c r="H133" s="224"/>
      <c r="I133" s="225" t="s">
        <v>407</v>
      </c>
      <c r="J133" s="39"/>
      <c r="K133" s="39"/>
      <c r="L133" s="39"/>
      <c r="M133" s="39"/>
      <c r="N133" s="39"/>
      <c r="O133" s="39"/>
      <c r="P133" s="39"/>
    </row>
    <row r="134" spans="1:16" s="38" customFormat="1">
      <c r="A134" s="39" t="s">
        <v>413</v>
      </c>
      <c r="B134" s="222">
        <v>15.452666986556249</v>
      </c>
      <c r="C134" s="253"/>
      <c r="D134" s="39"/>
      <c r="E134" s="75">
        <f ca="1">E127</f>
        <v>6.2993053361453819E-2</v>
      </c>
      <c r="F134" s="224"/>
      <c r="G134" s="222">
        <f ca="1">+B134+E134</f>
        <v>15.515660039917703</v>
      </c>
      <c r="H134" s="224"/>
      <c r="I134" s="225" t="s">
        <v>407</v>
      </c>
      <c r="J134" s="39"/>
      <c r="K134" s="39"/>
      <c r="L134" s="39"/>
      <c r="M134" s="39"/>
      <c r="N134" s="39"/>
      <c r="O134" s="39"/>
      <c r="P134" s="39"/>
    </row>
    <row r="135" spans="1:16" s="38" customFormat="1">
      <c r="A135" s="39" t="s">
        <v>414</v>
      </c>
      <c r="B135" s="222">
        <v>18.285218809970257</v>
      </c>
      <c r="C135" s="253"/>
      <c r="D135" s="39"/>
      <c r="E135" s="75"/>
      <c r="F135" s="224"/>
      <c r="G135" s="222">
        <f ca="1">G134+(G134-G133)</f>
        <v>18.367761431616302</v>
      </c>
      <c r="H135" s="222"/>
      <c r="I135" s="225" t="s">
        <v>407</v>
      </c>
      <c r="J135" s="39"/>
      <c r="K135" s="39"/>
      <c r="L135" s="39"/>
      <c r="M135" s="39"/>
      <c r="N135" s="39"/>
      <c r="O135" s="39"/>
      <c r="P135" s="39"/>
    </row>
    <row r="136" spans="1:16" s="38" customFormat="1">
      <c r="A136" s="39" t="s">
        <v>415</v>
      </c>
      <c r="B136" s="222">
        <v>20.223280583885103</v>
      </c>
      <c r="C136" s="253"/>
      <c r="D136" s="39"/>
      <c r="E136" s="75"/>
      <c r="F136" s="224"/>
      <c r="G136" s="222">
        <f ca="1">G135+((G135-G134)*(65/95))</f>
        <v>20.319199225936394</v>
      </c>
      <c r="H136" s="222"/>
      <c r="I136" s="225" t="s">
        <v>407</v>
      </c>
      <c r="J136" s="39"/>
      <c r="K136" s="39"/>
      <c r="L136" s="39"/>
      <c r="M136" s="39"/>
      <c r="N136" s="39"/>
      <c r="O136" s="39"/>
      <c r="P136" s="39"/>
    </row>
    <row r="137" spans="1:16" s="222" customFormat="1">
      <c r="A137" s="223"/>
      <c r="C137" s="253"/>
      <c r="D137" s="223"/>
      <c r="E137" s="75"/>
      <c r="F137" s="224"/>
      <c r="H137" s="224"/>
      <c r="I137" s="223"/>
      <c r="J137" s="223"/>
      <c r="K137" s="223"/>
      <c r="L137" s="223"/>
      <c r="M137" s="223"/>
      <c r="N137" s="223"/>
      <c r="O137" s="223"/>
      <c r="P137" s="223"/>
    </row>
    <row r="138" spans="1:16" s="38" customFormat="1">
      <c r="A138" s="39" t="s">
        <v>266</v>
      </c>
      <c r="B138" s="222">
        <v>4.572666986556249</v>
      </c>
      <c r="C138" s="253"/>
      <c r="D138" s="39"/>
      <c r="E138" s="75">
        <f ca="1">E125</f>
        <v>6.2993053361453819E-2</v>
      </c>
      <c r="F138" s="224"/>
      <c r="G138" s="222">
        <f ca="1">+B138+E138</f>
        <v>4.6356600399177026</v>
      </c>
      <c r="H138" s="224"/>
      <c r="I138" s="39"/>
      <c r="J138" s="39"/>
      <c r="K138" s="39"/>
      <c r="L138" s="39"/>
      <c r="M138" s="39"/>
      <c r="N138" s="39"/>
      <c r="O138" s="39"/>
      <c r="P138" s="39"/>
    </row>
    <row r="139" spans="1:16" s="38" customFormat="1">
      <c r="A139" s="39"/>
      <c r="B139" s="222"/>
      <c r="C139" s="254"/>
      <c r="D139" s="39"/>
      <c r="E139" s="75"/>
      <c r="F139" s="224"/>
      <c r="G139" s="222"/>
      <c r="H139" s="224"/>
      <c r="I139" s="39"/>
      <c r="J139" s="39"/>
      <c r="K139" s="39"/>
      <c r="L139" s="39"/>
      <c r="M139" s="39"/>
      <c r="N139" s="39"/>
      <c r="O139" s="39"/>
      <c r="P139" s="39"/>
    </row>
    <row r="140" spans="1:16" s="38" customFormat="1">
      <c r="A140" s="39" t="s">
        <v>330</v>
      </c>
      <c r="B140" s="222">
        <v>14.514648051788557</v>
      </c>
      <c r="C140" s="253"/>
      <c r="D140" s="39"/>
      <c r="E140" s="75">
        <f ca="1">E125*References!C12</f>
        <v>0.27275992105509506</v>
      </c>
      <c r="F140" s="224"/>
      <c r="G140" s="222">
        <f ca="1">+B140+E140</f>
        <v>14.787407972843653</v>
      </c>
      <c r="H140" s="224"/>
      <c r="I140" s="39"/>
      <c r="J140" s="39"/>
      <c r="K140" s="39"/>
      <c r="L140" s="39"/>
      <c r="M140" s="39"/>
      <c r="N140" s="39"/>
      <c r="O140" s="39"/>
      <c r="P140" s="39"/>
    </row>
    <row r="141" spans="1:16" s="38" customFormat="1">
      <c r="A141" s="39" t="s">
        <v>412</v>
      </c>
      <c r="B141" s="222">
        <v>12.206998656405901</v>
      </c>
      <c r="C141" s="253"/>
      <c r="D141" s="39"/>
      <c r="E141" s="75">
        <f ca="1">E133*References!$C$12</f>
        <v>0.18811029038282417</v>
      </c>
      <c r="F141" s="224"/>
      <c r="G141" s="222">
        <f ca="1">+B141+E141</f>
        <v>12.395108946788724</v>
      </c>
      <c r="H141" s="224"/>
      <c r="I141" s="225" t="s">
        <v>407</v>
      </c>
      <c r="J141" s="39"/>
      <c r="K141" s="39"/>
      <c r="L141" s="39"/>
      <c r="M141" s="39"/>
      <c r="N141" s="39"/>
      <c r="O141" s="39"/>
      <c r="P141" s="39"/>
    </row>
    <row r="142" spans="1:16" s="38" customFormat="1">
      <c r="A142" s="39" t="s">
        <v>413</v>
      </c>
      <c r="B142" s="222">
        <v>24.474648051788556</v>
      </c>
      <c r="C142" s="253"/>
      <c r="D142" s="39"/>
      <c r="E142" s="75">
        <f ca="1">E134*References!$C$12</f>
        <v>0.27275992105509506</v>
      </c>
      <c r="F142" s="224"/>
      <c r="G142" s="222">
        <f ca="1">+B142+E142</f>
        <v>24.74740797284365</v>
      </c>
      <c r="H142" s="224"/>
      <c r="I142" s="225" t="s">
        <v>407</v>
      </c>
      <c r="J142" s="39"/>
      <c r="K142" s="39"/>
      <c r="L142" s="39"/>
      <c r="M142" s="39"/>
      <c r="N142" s="39"/>
      <c r="O142" s="39"/>
      <c r="P142" s="39"/>
    </row>
    <row r="143" spans="1:16" s="38" customFormat="1">
      <c r="A143" s="39" t="s">
        <v>414</v>
      </c>
      <c r="B143" s="222">
        <v>36.740774742805719</v>
      </c>
      <c r="C143" s="253"/>
      <c r="D143" s="39"/>
      <c r="E143" s="75">
        <f ca="1">+G143-B143</f>
        <v>0.35740955172735767</v>
      </c>
      <c r="F143" s="224"/>
      <c r="G143" s="222">
        <f ca="1">G128*References!$C$12</f>
        <v>37.098184294533077</v>
      </c>
      <c r="H143" s="224"/>
      <c r="I143" s="225" t="s">
        <v>407</v>
      </c>
      <c r="J143" s="39"/>
      <c r="K143" s="39"/>
      <c r="L143" s="39"/>
      <c r="M143" s="39"/>
      <c r="N143" s="39"/>
      <c r="O143" s="39"/>
      <c r="P143" s="39"/>
    </row>
    <row r="144" spans="1:16" s="38" customFormat="1">
      <c r="A144" s="39" t="s">
        <v>415</v>
      </c>
      <c r="B144" s="222">
        <v>45.129954122259022</v>
      </c>
      <c r="C144" s="253"/>
      <c r="D144" s="39"/>
      <c r="E144" s="75">
        <f ca="1">+G144-B144</f>
        <v>0.4153277200820682</v>
      </c>
      <c r="F144" s="224"/>
      <c r="G144" s="222">
        <f ca="1">G129*References!$C$12</f>
        <v>45.54528184234109</v>
      </c>
      <c r="H144" s="224"/>
      <c r="I144" s="225" t="s">
        <v>407</v>
      </c>
      <c r="J144" s="39"/>
      <c r="K144" s="39"/>
      <c r="L144" s="39"/>
      <c r="M144" s="39"/>
      <c r="N144" s="39"/>
      <c r="O144" s="39"/>
      <c r="P144" s="39"/>
    </row>
    <row r="145" spans="1:16" s="38" customFormat="1">
      <c r="A145" s="39"/>
      <c r="B145" s="222"/>
      <c r="C145" s="253"/>
      <c r="D145" s="39"/>
      <c r="E145" s="75"/>
      <c r="F145" s="41"/>
      <c r="G145" s="222"/>
      <c r="H145" s="224"/>
      <c r="I145" s="39"/>
      <c r="J145" s="39"/>
      <c r="K145" s="39"/>
      <c r="L145" s="39"/>
      <c r="M145" s="39"/>
      <c r="N145" s="39"/>
      <c r="O145" s="39"/>
      <c r="P145" s="39"/>
    </row>
    <row r="146" spans="1:16" s="38" customFormat="1">
      <c r="A146" s="56"/>
      <c r="C146" s="254"/>
      <c r="D146" s="39"/>
      <c r="E146" s="44"/>
      <c r="F146" s="41"/>
      <c r="H146" s="41"/>
      <c r="I146" s="39"/>
      <c r="J146" s="39"/>
      <c r="K146" s="39"/>
      <c r="L146" s="39"/>
      <c r="M146" s="39"/>
      <c r="N146" s="39"/>
      <c r="O146" s="39"/>
      <c r="P146" s="39"/>
    </row>
    <row r="147" spans="1:16" s="38" customFormat="1">
      <c r="A147" s="52" t="s">
        <v>443</v>
      </c>
      <c r="B147" s="55"/>
      <c r="C147" s="255"/>
      <c r="D147" s="62"/>
      <c r="E147" s="60"/>
      <c r="F147" s="63"/>
      <c r="G147" s="55"/>
      <c r="H147" s="63"/>
      <c r="I147" s="39"/>
      <c r="J147" s="39"/>
      <c r="K147" s="39"/>
      <c r="L147" s="39"/>
      <c r="M147" s="39"/>
      <c r="N147" s="39"/>
      <c r="O147" s="39"/>
      <c r="P147" s="39"/>
    </row>
    <row r="148" spans="1:16" s="38" customFormat="1">
      <c r="A148" s="40" t="s">
        <v>334</v>
      </c>
      <c r="C148" s="254"/>
      <c r="D148" s="39"/>
      <c r="E148" s="44"/>
      <c r="F148" s="41"/>
      <c r="H148" s="41"/>
      <c r="I148" s="39"/>
      <c r="J148" s="39"/>
      <c r="K148" s="39"/>
      <c r="L148" s="39"/>
      <c r="M148" s="39"/>
      <c r="N148" s="39"/>
      <c r="O148" s="39"/>
      <c r="P148" s="39"/>
    </row>
    <row r="149" spans="1:16" s="38" customFormat="1">
      <c r="A149" s="40" t="s">
        <v>1</v>
      </c>
      <c r="C149" s="254"/>
      <c r="D149" s="39"/>
      <c r="E149" s="44"/>
      <c r="F149" s="41"/>
      <c r="H149" s="41"/>
      <c r="I149" s="39"/>
      <c r="J149" s="39"/>
      <c r="K149" s="39"/>
      <c r="L149" s="39"/>
      <c r="M149" s="39"/>
      <c r="N149" s="39"/>
      <c r="O149" s="39"/>
      <c r="P149" s="39"/>
    </row>
    <row r="150" spans="1:16" s="38" customFormat="1">
      <c r="A150" s="39" t="s">
        <v>262</v>
      </c>
      <c r="B150" s="222">
        <v>73.497462571617177</v>
      </c>
      <c r="C150" s="253"/>
      <c r="D150" s="223"/>
      <c r="E150" s="75">
        <f ca="1">+'Regulated DF Calc'!N77</f>
        <v>2.8151378329808323</v>
      </c>
      <c r="F150" s="224"/>
      <c r="G150" s="222">
        <f ca="1">+B150+E150</f>
        <v>76.312600404598015</v>
      </c>
      <c r="H150" s="224"/>
      <c r="I150" s="39"/>
      <c r="J150" s="61" t="s">
        <v>277</v>
      </c>
      <c r="K150" s="40" t="s">
        <v>63</v>
      </c>
      <c r="L150" s="39"/>
      <c r="M150" s="39"/>
      <c r="N150" s="39"/>
      <c r="O150" s="39"/>
      <c r="P150" s="39"/>
    </row>
    <row r="151" spans="1:16" s="38" customFormat="1">
      <c r="A151" s="39" t="s">
        <v>267</v>
      </c>
      <c r="B151" s="222">
        <v>100.26089443325594</v>
      </c>
      <c r="C151" s="253"/>
      <c r="D151" s="223"/>
      <c r="E151" s="75">
        <f ca="1">K151</f>
        <v>4.1097536882714012</v>
      </c>
      <c r="F151" s="224"/>
      <c r="G151" s="222">
        <f ca="1">+B151+E151</f>
        <v>104.37064812152734</v>
      </c>
      <c r="H151" s="224"/>
      <c r="I151" s="39"/>
      <c r="J151" s="38">
        <f>References!C57*'Regulated DF Calc'!$H$115</f>
        <v>1434.5975910415971</v>
      </c>
      <c r="K151" s="76">
        <f ca="1">J151*(References!$D$69/References!$F$78)</f>
        <v>4.1097536882714012</v>
      </c>
      <c r="L151" s="39"/>
      <c r="M151" s="39"/>
      <c r="N151" s="39"/>
      <c r="O151" s="39"/>
      <c r="P151" s="39"/>
    </row>
    <row r="152" spans="1:16" s="38" customFormat="1">
      <c r="A152" s="39" t="s">
        <v>268</v>
      </c>
      <c r="B152" s="222">
        <v>130.2941190012387</v>
      </c>
      <c r="C152" s="253"/>
      <c r="D152" s="223"/>
      <c r="E152" s="75">
        <f ca="1">+'Regulated DF Calc'!N78</f>
        <v>5.3261712704236128</v>
      </c>
      <c r="F152" s="224"/>
      <c r="G152" s="222">
        <f ca="1">+B152+E152</f>
        <v>135.6202902716623</v>
      </c>
      <c r="H152" s="224"/>
      <c r="I152" s="40"/>
      <c r="L152" s="39"/>
      <c r="M152" s="76"/>
      <c r="N152" s="39"/>
      <c r="O152" s="39"/>
      <c r="P152" s="39"/>
    </row>
    <row r="153" spans="1:16" s="38" customFormat="1">
      <c r="A153" s="39" t="s">
        <v>269</v>
      </c>
      <c r="B153" s="222">
        <v>180.81238771485152</v>
      </c>
      <c r="C153" s="253"/>
      <c r="D153" s="223"/>
      <c r="E153" s="75">
        <f ca="1">+E150*3</f>
        <v>8.4454134989424965</v>
      </c>
      <c r="F153" s="224"/>
      <c r="G153" s="222">
        <f ca="1">+B153+E153</f>
        <v>189.25780121379401</v>
      </c>
      <c r="H153" s="224"/>
      <c r="I153" s="76"/>
      <c r="L153" s="39"/>
      <c r="M153" s="39"/>
      <c r="N153" s="39"/>
      <c r="O153" s="39"/>
      <c r="P153" s="39"/>
    </row>
    <row r="154" spans="1:16" s="38" customFormat="1">
      <c r="A154" s="56"/>
      <c r="B154" s="222"/>
      <c r="C154" s="253"/>
      <c r="D154" s="223"/>
      <c r="E154" s="75"/>
      <c r="F154" s="224"/>
      <c r="G154" s="222"/>
      <c r="H154" s="224"/>
      <c r="I154" s="39"/>
      <c r="J154" s="39"/>
      <c r="K154" s="39"/>
      <c r="L154" s="39"/>
      <c r="M154" s="39"/>
      <c r="N154" s="39"/>
      <c r="O154" s="39"/>
      <c r="P154" s="39"/>
    </row>
    <row r="155" spans="1:16" s="38" customFormat="1">
      <c r="A155" s="40" t="s">
        <v>264</v>
      </c>
      <c r="B155" s="222"/>
      <c r="C155" s="253"/>
      <c r="D155" s="223"/>
      <c r="E155" s="75"/>
      <c r="F155" s="224"/>
      <c r="G155" s="222"/>
      <c r="H155" s="224"/>
      <c r="I155" s="39"/>
      <c r="J155" s="39"/>
      <c r="K155" s="39"/>
      <c r="L155" s="39"/>
      <c r="M155" s="39"/>
      <c r="N155" s="39"/>
      <c r="O155" s="39"/>
      <c r="P155" s="39"/>
    </row>
    <row r="156" spans="1:16" s="38" customFormat="1">
      <c r="A156" s="39" t="s">
        <v>262</v>
      </c>
      <c r="B156" s="222">
        <v>74.627462571617173</v>
      </c>
      <c r="C156" s="253"/>
      <c r="D156" s="223"/>
      <c r="E156" s="75">
        <f ca="1">E150</f>
        <v>2.8151378329808323</v>
      </c>
      <c r="F156" s="224"/>
      <c r="G156" s="222">
        <f ca="1">+B156+E156</f>
        <v>77.442600404598011</v>
      </c>
      <c r="H156" s="224"/>
      <c r="I156" s="39"/>
      <c r="J156" s="39"/>
      <c r="K156" s="39"/>
      <c r="L156" s="39"/>
      <c r="M156" s="39"/>
      <c r="N156" s="39"/>
      <c r="O156" s="39"/>
      <c r="P156" s="39"/>
    </row>
    <row r="157" spans="1:16" s="38" customFormat="1">
      <c r="A157" s="39" t="s">
        <v>267</v>
      </c>
      <c r="B157" s="222">
        <v>102.53089443325595</v>
      </c>
      <c r="C157" s="253"/>
      <c r="D157" s="223"/>
      <c r="E157" s="75">
        <f ca="1">+E151</f>
        <v>4.1097536882714012</v>
      </c>
      <c r="F157" s="224"/>
      <c r="G157" s="222">
        <f ca="1">+B157+E157</f>
        <v>106.64064812152735</v>
      </c>
      <c r="H157" s="224"/>
      <c r="I157" s="39"/>
      <c r="J157" s="39"/>
      <c r="K157" s="39"/>
      <c r="L157" s="39"/>
      <c r="M157" s="39"/>
      <c r="N157" s="39"/>
      <c r="O157" s="39"/>
      <c r="P157" s="39"/>
    </row>
    <row r="158" spans="1:16" s="38" customFormat="1">
      <c r="A158" s="39" t="s">
        <v>268</v>
      </c>
      <c r="B158" s="222">
        <v>131.42411900123869</v>
      </c>
      <c r="C158" s="253"/>
      <c r="D158" s="223"/>
      <c r="E158" s="75">
        <f ca="1">+'Regulated DF Calc'!N83</f>
        <v>5.3261712704236119</v>
      </c>
      <c r="F158" s="224"/>
      <c r="G158" s="222">
        <f ca="1">+B158+E158</f>
        <v>136.75029027166229</v>
      </c>
      <c r="H158" s="224"/>
      <c r="I158" s="39"/>
      <c r="J158" s="39"/>
      <c r="K158" s="39"/>
      <c r="L158" s="39"/>
      <c r="M158" s="39"/>
      <c r="N158" s="39"/>
      <c r="O158" s="39"/>
      <c r="P158" s="39"/>
    </row>
    <row r="159" spans="1:16" s="38" customFormat="1">
      <c r="A159" s="39" t="s">
        <v>269</v>
      </c>
      <c r="B159" s="222">
        <v>181.94238771485152</v>
      </c>
      <c r="C159" s="253"/>
      <c r="D159" s="223"/>
      <c r="E159" s="75">
        <f ca="1">+E153</f>
        <v>8.4454134989424965</v>
      </c>
      <c r="F159" s="224"/>
      <c r="G159" s="222">
        <f ca="1">+B159+E159</f>
        <v>190.38780121379401</v>
      </c>
      <c r="H159" s="224"/>
      <c r="I159" s="39"/>
      <c r="J159" s="39"/>
      <c r="K159" s="39"/>
      <c r="L159" s="39"/>
      <c r="M159" s="39"/>
      <c r="N159" s="39"/>
      <c r="O159" s="39"/>
      <c r="P159" s="39"/>
    </row>
    <row r="160" spans="1:16" s="38" customFormat="1">
      <c r="A160" s="56"/>
      <c r="B160" s="222"/>
      <c r="C160" s="253"/>
      <c r="D160" s="223"/>
      <c r="E160" s="75"/>
      <c r="F160" s="224"/>
      <c r="G160" s="222"/>
      <c r="H160" s="224"/>
      <c r="I160" s="39"/>
      <c r="J160" s="39"/>
      <c r="K160" s="39"/>
      <c r="L160" s="39"/>
      <c r="M160" s="39"/>
      <c r="N160" s="39"/>
      <c r="O160" s="39"/>
      <c r="P160" s="39"/>
    </row>
    <row r="161" spans="1:18" s="38" customFormat="1">
      <c r="A161" s="40" t="s">
        <v>265</v>
      </c>
      <c r="B161" s="222"/>
      <c r="C161" s="253"/>
      <c r="D161" s="223"/>
      <c r="E161" s="75"/>
      <c r="F161" s="224"/>
      <c r="G161" s="222"/>
      <c r="H161" s="224"/>
      <c r="I161" s="39"/>
      <c r="J161" s="39"/>
      <c r="K161" s="39"/>
      <c r="L161" s="39"/>
      <c r="M161" s="39"/>
      <c r="N161" s="39"/>
      <c r="O161" s="39"/>
      <c r="P161" s="39"/>
    </row>
    <row r="162" spans="1:18" s="38" customFormat="1">
      <c r="A162" s="40" t="s">
        <v>1</v>
      </c>
      <c r="B162" s="222"/>
      <c r="C162" s="253"/>
      <c r="D162" s="223"/>
      <c r="E162" s="75"/>
      <c r="F162" s="224"/>
      <c r="G162" s="222"/>
      <c r="H162" s="224"/>
      <c r="I162" s="39"/>
      <c r="J162" s="39"/>
      <c r="K162" s="39"/>
      <c r="L162" s="39"/>
      <c r="M162" s="39"/>
      <c r="N162" s="39"/>
      <c r="O162" s="39"/>
      <c r="P162" s="39"/>
    </row>
    <row r="163" spans="1:18" s="38" customFormat="1">
      <c r="A163" s="39" t="s">
        <v>262</v>
      </c>
      <c r="B163" s="222">
        <v>73.497462571617177</v>
      </c>
      <c r="C163" s="253"/>
      <c r="D163" s="223"/>
      <c r="E163" s="75">
        <f ca="1">+E150</f>
        <v>2.8151378329808323</v>
      </c>
      <c r="F163" s="224"/>
      <c r="G163" s="222">
        <f ca="1">+B163+E163</f>
        <v>76.312600404598015</v>
      </c>
      <c r="H163" s="224"/>
      <c r="I163" s="39"/>
      <c r="J163" s="39"/>
      <c r="K163" s="39"/>
      <c r="L163" s="39"/>
      <c r="M163" s="39"/>
      <c r="N163" s="39"/>
      <c r="O163" s="39"/>
      <c r="P163" s="39"/>
    </row>
    <row r="164" spans="1:18" s="38" customFormat="1">
      <c r="A164" s="39" t="s">
        <v>267</v>
      </c>
      <c r="B164" s="222">
        <v>100.26089443325594</v>
      </c>
      <c r="C164" s="253"/>
      <c r="D164" s="223"/>
      <c r="E164" s="75">
        <f ca="1">+E151</f>
        <v>4.1097536882714012</v>
      </c>
      <c r="F164" s="224"/>
      <c r="G164" s="222">
        <f ca="1">+B164+E164</f>
        <v>104.37064812152734</v>
      </c>
      <c r="H164" s="224"/>
      <c r="I164" s="39"/>
      <c r="J164" s="39"/>
      <c r="K164" s="39"/>
      <c r="L164" s="39"/>
      <c r="M164" s="39"/>
      <c r="N164" s="39"/>
      <c r="O164" s="39"/>
      <c r="P164" s="39"/>
    </row>
    <row r="165" spans="1:18" s="38" customFormat="1">
      <c r="A165" s="39" t="s">
        <v>268</v>
      </c>
      <c r="B165" s="222">
        <v>130.2941190012387</v>
      </c>
      <c r="C165" s="253"/>
      <c r="D165" s="223"/>
      <c r="E165" s="75">
        <f t="shared" ref="E165:E166" ca="1" si="11">+E152</f>
        <v>5.3261712704236128</v>
      </c>
      <c r="F165" s="224"/>
      <c r="G165" s="222">
        <f ca="1">+B165+E165</f>
        <v>135.6202902716623</v>
      </c>
      <c r="H165" s="224"/>
      <c r="I165" s="39"/>
      <c r="J165" s="39"/>
      <c r="K165" s="39"/>
      <c r="L165" s="39"/>
      <c r="M165" s="39"/>
      <c r="N165" s="39"/>
      <c r="O165" s="39"/>
      <c r="P165" s="39"/>
    </row>
    <row r="166" spans="1:18" s="38" customFormat="1">
      <c r="A166" s="39" t="s">
        <v>269</v>
      </c>
      <c r="B166" s="222">
        <v>181.94238771485152</v>
      </c>
      <c r="C166" s="253"/>
      <c r="D166" s="223"/>
      <c r="E166" s="75">
        <f t="shared" ca="1" si="11"/>
        <v>8.4454134989424965</v>
      </c>
      <c r="F166" s="224"/>
      <c r="G166" s="222">
        <f ca="1">+B166+E166</f>
        <v>190.38780121379401</v>
      </c>
      <c r="H166" s="224"/>
      <c r="I166" s="39"/>
      <c r="J166" s="39"/>
      <c r="K166" s="39"/>
      <c r="L166" s="39"/>
      <c r="M166" s="39"/>
      <c r="N166" s="39"/>
      <c r="O166" s="39"/>
      <c r="P166" s="39"/>
    </row>
    <row r="167" spans="1:18" s="38" customFormat="1">
      <c r="A167" s="56"/>
      <c r="C167" s="254"/>
      <c r="D167" s="39"/>
      <c r="E167" s="44"/>
      <c r="F167" s="41"/>
      <c r="H167" s="41"/>
      <c r="I167" s="39"/>
      <c r="J167" s="39"/>
      <c r="K167" s="39"/>
      <c r="L167" s="39"/>
      <c r="M167" s="39"/>
      <c r="N167" s="39"/>
      <c r="O167" s="39"/>
      <c r="P167" s="39"/>
    </row>
    <row r="168" spans="1:18" s="38" customFormat="1">
      <c r="A168" s="52" t="s">
        <v>444</v>
      </c>
      <c r="B168" s="55"/>
      <c r="C168" s="255"/>
      <c r="D168" s="62"/>
      <c r="E168" s="60"/>
      <c r="F168" s="63"/>
      <c r="G168" s="55"/>
      <c r="H168" s="63"/>
      <c r="I168" s="39"/>
      <c r="J168" s="39"/>
      <c r="K168" s="39"/>
      <c r="L168" s="39"/>
      <c r="M168" s="39"/>
      <c r="N168" s="39"/>
      <c r="O168" s="39"/>
      <c r="P168" s="39"/>
    </row>
    <row r="169" spans="1:18" s="61" customFormat="1">
      <c r="A169" s="40" t="s">
        <v>333</v>
      </c>
      <c r="B169" s="227"/>
      <c r="C169" s="258"/>
      <c r="D169" s="228"/>
      <c r="E169" s="229"/>
      <c r="F169" s="230"/>
      <c r="G169" s="227"/>
      <c r="H169" s="230"/>
      <c r="I169" s="228"/>
      <c r="J169" s="40"/>
      <c r="K169" s="40"/>
      <c r="L169" s="40"/>
      <c r="M169" s="40"/>
      <c r="N169" s="40"/>
      <c r="O169" s="40"/>
      <c r="P169" s="40"/>
    </row>
    <row r="170" spans="1:18" s="39" customFormat="1">
      <c r="A170" s="39" t="s">
        <v>331</v>
      </c>
      <c r="B170" s="222">
        <v>132.17411900123869</v>
      </c>
      <c r="C170" s="253"/>
      <c r="D170" s="223"/>
      <c r="E170" s="75">
        <f ca="1">+E152</f>
        <v>5.3261712704236128</v>
      </c>
      <c r="F170" s="224"/>
      <c r="G170" s="222">
        <f ca="1">+B170+E170</f>
        <v>137.50029027166229</v>
      </c>
      <c r="H170" s="224"/>
      <c r="I170" s="223"/>
    </row>
    <row r="171" spans="1:18">
      <c r="B171" s="231"/>
      <c r="C171" s="259"/>
      <c r="D171" s="232"/>
      <c r="E171" s="233"/>
      <c r="F171" s="234"/>
      <c r="G171" s="231"/>
      <c r="H171" s="234"/>
      <c r="I171" s="232"/>
      <c r="J171" s="67"/>
    </row>
    <row r="172" spans="1:18" s="40" customFormat="1">
      <c r="A172" s="40" t="s">
        <v>270</v>
      </c>
      <c r="B172" s="227"/>
      <c r="C172" s="258"/>
      <c r="D172" s="228"/>
      <c r="E172" s="229"/>
      <c r="F172" s="230"/>
      <c r="G172" s="227"/>
      <c r="H172" s="230"/>
      <c r="I172" s="228"/>
    </row>
    <row r="173" spans="1:18" s="39" customFormat="1">
      <c r="A173" s="39" t="s">
        <v>332</v>
      </c>
      <c r="B173" s="222">
        <v>132.17411900123869</v>
      </c>
      <c r="C173" s="253"/>
      <c r="D173" s="223"/>
      <c r="E173" s="75">
        <f ca="1">+E152</f>
        <v>5.3261712704236128</v>
      </c>
      <c r="F173" s="224"/>
      <c r="G173" s="222">
        <f ca="1">+B173+E173</f>
        <v>137.50029027166229</v>
      </c>
      <c r="H173" s="224"/>
      <c r="I173" s="223"/>
    </row>
    <row r="174" spans="1:18" s="39" customFormat="1">
      <c r="B174" s="222"/>
      <c r="C174" s="223"/>
      <c r="D174" s="223"/>
      <c r="E174" s="75"/>
      <c r="F174" s="224"/>
      <c r="G174" s="222"/>
      <c r="H174" s="224"/>
      <c r="I174" s="223"/>
    </row>
    <row r="175" spans="1:18" s="38" customFormat="1">
      <c r="A175" s="39"/>
      <c r="B175" s="41"/>
      <c r="C175" s="39"/>
      <c r="D175" s="39"/>
      <c r="E175" s="44"/>
      <c r="F175" s="41"/>
      <c r="G175" s="41"/>
      <c r="H175" s="41"/>
      <c r="I175" s="39"/>
      <c r="K175" s="39"/>
      <c r="L175" s="39"/>
      <c r="M175" s="39"/>
      <c r="N175" s="39"/>
      <c r="O175" s="39"/>
      <c r="P175" s="39"/>
      <c r="Q175" s="39"/>
      <c r="R175" s="39"/>
    </row>
    <row r="176" spans="1:18" s="38" customFormat="1">
      <c r="A176" s="39"/>
      <c r="B176" s="41"/>
      <c r="C176" s="39"/>
      <c r="D176" s="39"/>
      <c r="E176" s="44"/>
      <c r="F176" s="41"/>
      <c r="G176" s="41"/>
      <c r="H176" s="41"/>
      <c r="I176" s="39"/>
      <c r="K176" s="39"/>
      <c r="L176" s="39"/>
      <c r="M176" s="39"/>
      <c r="N176" s="39"/>
      <c r="O176" s="39"/>
      <c r="P176" s="39"/>
      <c r="Q176" s="39"/>
      <c r="R176" s="39"/>
    </row>
    <row r="177" spans="1:1322" s="38" customFormat="1">
      <c r="A177" s="40"/>
      <c r="B177" s="41"/>
      <c r="C177" s="39"/>
      <c r="D177" s="39"/>
      <c r="E177" s="44"/>
      <c r="F177" s="41"/>
      <c r="G177" s="41"/>
      <c r="H177" s="41"/>
      <c r="I177" s="39"/>
      <c r="K177" s="39"/>
      <c r="L177" s="39"/>
      <c r="M177" s="39"/>
      <c r="N177" s="39"/>
      <c r="O177" s="39"/>
      <c r="P177" s="39"/>
      <c r="Q177" s="39"/>
      <c r="R177" s="39"/>
    </row>
    <row r="178" spans="1:1322" s="38" customFormat="1">
      <c r="A178" s="39"/>
      <c r="B178" s="41"/>
      <c r="C178" s="39"/>
      <c r="D178" s="39"/>
      <c r="E178" s="44"/>
      <c r="F178" s="41"/>
      <c r="G178" s="41"/>
      <c r="H178" s="41"/>
      <c r="I178" s="39"/>
      <c r="K178" s="39"/>
      <c r="L178" s="39"/>
      <c r="M178" s="39"/>
      <c r="N178" s="39"/>
      <c r="O178" s="39"/>
      <c r="P178" s="39"/>
      <c r="Q178" s="39"/>
      <c r="R178" s="39"/>
    </row>
    <row r="179" spans="1:1322" s="38" customFormat="1">
      <c r="A179" s="39"/>
      <c r="B179" s="41"/>
      <c r="C179" s="39"/>
      <c r="D179" s="39"/>
      <c r="E179" s="44"/>
      <c r="F179" s="41"/>
      <c r="G179" s="41"/>
      <c r="H179" s="41"/>
      <c r="I179" s="39"/>
      <c r="K179" s="39"/>
      <c r="L179" s="39"/>
      <c r="M179" s="39"/>
      <c r="N179" s="39"/>
      <c r="O179" s="39"/>
      <c r="P179" s="39"/>
      <c r="Q179" s="39"/>
      <c r="R179" s="39"/>
    </row>
    <row r="180" spans="1:1322" s="38" customFormat="1">
      <c r="A180" s="39"/>
      <c r="B180" s="41"/>
      <c r="C180" s="39"/>
      <c r="D180" s="39"/>
      <c r="E180" s="44"/>
      <c r="F180" s="41"/>
      <c r="G180" s="41"/>
      <c r="H180" s="41"/>
      <c r="I180" s="39"/>
      <c r="K180" s="39"/>
      <c r="L180" s="39"/>
      <c r="M180" s="39"/>
      <c r="N180" s="39"/>
      <c r="O180" s="39"/>
      <c r="P180" s="39"/>
      <c r="Q180" s="39"/>
      <c r="R180" s="39"/>
    </row>
    <row r="181" spans="1:1322" s="38" customFormat="1">
      <c r="A181" s="39"/>
      <c r="B181" s="41"/>
      <c r="C181" s="39"/>
      <c r="D181" s="39"/>
      <c r="E181" s="44"/>
      <c r="F181" s="41"/>
      <c r="G181" s="41"/>
      <c r="H181" s="41"/>
      <c r="I181" s="39"/>
      <c r="K181" s="39"/>
      <c r="L181" s="39"/>
      <c r="M181" s="39"/>
      <c r="N181" s="39"/>
      <c r="O181" s="39"/>
      <c r="P181" s="39"/>
      <c r="Q181" s="39"/>
      <c r="R181" s="39"/>
    </row>
    <row r="182" spans="1:1322" s="38" customFormat="1">
      <c r="A182" s="39"/>
      <c r="B182" s="41"/>
      <c r="C182" s="39"/>
      <c r="D182" s="39"/>
      <c r="E182" s="44"/>
      <c r="F182" s="41"/>
      <c r="G182" s="41"/>
      <c r="H182" s="41"/>
      <c r="I182" s="39"/>
      <c r="K182" s="39"/>
      <c r="L182" s="39"/>
      <c r="M182" s="39"/>
      <c r="N182" s="39"/>
      <c r="O182" s="39"/>
      <c r="P182" s="39"/>
      <c r="Q182" s="39"/>
      <c r="R182" s="39"/>
    </row>
    <row r="183" spans="1:1322" s="38" customFormat="1">
      <c r="A183" s="39"/>
      <c r="B183" s="41"/>
      <c r="C183" s="39"/>
      <c r="D183" s="39"/>
      <c r="E183" s="44"/>
      <c r="F183" s="41"/>
      <c r="G183" s="41"/>
      <c r="H183" s="41"/>
      <c r="I183" s="39"/>
      <c r="K183" s="39"/>
      <c r="L183" s="39"/>
      <c r="M183" s="39"/>
      <c r="N183" s="39"/>
      <c r="O183" s="39"/>
      <c r="P183" s="39"/>
      <c r="Q183" s="39"/>
      <c r="R183" s="39"/>
    </row>
    <row r="184" spans="1:1322" s="38" customFormat="1">
      <c r="A184" s="39"/>
      <c r="B184" s="41"/>
      <c r="C184" s="39"/>
      <c r="D184" s="39"/>
      <c r="E184" s="44"/>
      <c r="F184" s="41"/>
      <c r="G184" s="41"/>
      <c r="H184" s="41"/>
      <c r="I184" s="39"/>
      <c r="K184" s="39"/>
      <c r="L184" s="39"/>
      <c r="M184" s="39"/>
      <c r="N184" s="39"/>
      <c r="O184" s="39"/>
      <c r="P184" s="39"/>
      <c r="Q184" s="39"/>
      <c r="R184" s="39"/>
    </row>
    <row r="185" spans="1:1322" s="38" customFormat="1">
      <c r="A185" s="39"/>
      <c r="C185" s="39"/>
      <c r="D185" s="39"/>
      <c r="E185" s="44"/>
      <c r="F185" s="41"/>
      <c r="G185" s="41"/>
      <c r="H185" s="41"/>
      <c r="I185" s="39"/>
      <c r="K185" s="39"/>
      <c r="L185" s="39"/>
      <c r="M185" s="39"/>
      <c r="N185" s="39"/>
      <c r="O185" s="39"/>
      <c r="P185" s="39"/>
      <c r="Q185" s="39"/>
      <c r="R185" s="39"/>
    </row>
    <row r="186" spans="1:1322" s="65" customFormat="1">
      <c r="A186" s="39"/>
      <c r="B186" s="38"/>
      <c r="C186" s="39"/>
      <c r="D186" s="39"/>
      <c r="E186" s="44"/>
      <c r="F186" s="41"/>
      <c r="G186" s="41"/>
      <c r="H186" s="41"/>
      <c r="I186" s="39"/>
      <c r="J186" s="38"/>
      <c r="K186" s="39"/>
      <c r="L186" s="39"/>
      <c r="M186" s="39"/>
      <c r="N186" s="39"/>
      <c r="O186" s="39"/>
      <c r="P186" s="39"/>
      <c r="Q186" s="39"/>
      <c r="R186" s="39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8"/>
      <c r="CE186" s="38"/>
      <c r="CF186" s="38"/>
      <c r="CG186" s="38"/>
      <c r="CH186" s="38"/>
      <c r="CI186" s="38"/>
      <c r="CJ186" s="38"/>
      <c r="CK186" s="38"/>
      <c r="CL186" s="38"/>
      <c r="CM186" s="38"/>
      <c r="CN186" s="38"/>
      <c r="CO186" s="38"/>
      <c r="CP186" s="38"/>
      <c r="CQ186" s="38"/>
      <c r="CR186" s="38"/>
      <c r="CS186" s="38"/>
      <c r="CT186" s="38"/>
      <c r="CU186" s="38"/>
      <c r="CV186" s="38"/>
      <c r="CW186" s="38"/>
      <c r="CX186" s="38"/>
      <c r="CY186" s="38"/>
      <c r="CZ186" s="38"/>
      <c r="DA186" s="38"/>
      <c r="DB186" s="38"/>
      <c r="DC186" s="38"/>
      <c r="DD186" s="38"/>
      <c r="DE186" s="38"/>
      <c r="DF186" s="38"/>
      <c r="DG186" s="38"/>
      <c r="DH186" s="38"/>
      <c r="DI186" s="38"/>
      <c r="DJ186" s="38"/>
      <c r="DK186" s="38"/>
      <c r="DL186" s="38"/>
      <c r="DM186" s="38"/>
      <c r="DN186" s="38"/>
      <c r="DO186" s="38"/>
      <c r="DP186" s="38"/>
      <c r="DQ186" s="38"/>
      <c r="DR186" s="38"/>
      <c r="DS186" s="38"/>
      <c r="DT186" s="38"/>
      <c r="DU186" s="38"/>
      <c r="DV186" s="38"/>
      <c r="DW186" s="38"/>
      <c r="DX186" s="38"/>
      <c r="DY186" s="38"/>
      <c r="DZ186" s="38"/>
      <c r="EA186" s="38"/>
      <c r="EB186" s="38"/>
      <c r="EC186" s="38"/>
      <c r="ED186" s="38"/>
      <c r="EE186" s="38"/>
      <c r="EF186" s="38"/>
      <c r="EG186" s="38"/>
      <c r="EH186" s="38"/>
      <c r="EI186" s="38"/>
      <c r="EJ186" s="38"/>
      <c r="EK186" s="38"/>
      <c r="EL186" s="38"/>
      <c r="EM186" s="38"/>
      <c r="EN186" s="38"/>
      <c r="EO186" s="38"/>
      <c r="EP186" s="38"/>
      <c r="EQ186" s="38"/>
      <c r="ER186" s="38"/>
      <c r="ES186" s="38"/>
      <c r="ET186" s="38"/>
      <c r="EU186" s="38"/>
      <c r="EV186" s="38"/>
      <c r="EW186" s="38"/>
      <c r="EX186" s="38"/>
      <c r="EY186" s="38"/>
      <c r="EZ186" s="38"/>
      <c r="FA186" s="38"/>
      <c r="FB186" s="38"/>
      <c r="FC186" s="38"/>
      <c r="FD186" s="38"/>
      <c r="FE186" s="38"/>
      <c r="FF186" s="38"/>
      <c r="FG186" s="38"/>
      <c r="FH186" s="38"/>
      <c r="FI186" s="38"/>
      <c r="FJ186" s="38"/>
      <c r="FK186" s="38"/>
      <c r="FL186" s="38"/>
      <c r="FM186" s="38"/>
      <c r="FN186" s="38"/>
      <c r="FO186" s="38"/>
      <c r="FP186" s="38"/>
      <c r="FQ186" s="38"/>
      <c r="FR186" s="38"/>
      <c r="FS186" s="38"/>
      <c r="FT186" s="38"/>
      <c r="FU186" s="38"/>
      <c r="FV186" s="38"/>
      <c r="FW186" s="38"/>
      <c r="FX186" s="38"/>
      <c r="FY186" s="38"/>
      <c r="FZ186" s="38"/>
      <c r="GA186" s="38"/>
      <c r="GB186" s="38"/>
      <c r="GC186" s="38"/>
      <c r="GD186" s="38"/>
      <c r="GE186" s="38"/>
      <c r="GF186" s="38"/>
      <c r="GG186" s="38"/>
      <c r="GH186" s="38"/>
      <c r="GI186" s="38"/>
      <c r="GJ186" s="38"/>
      <c r="GK186" s="38"/>
      <c r="GL186" s="38"/>
      <c r="GM186" s="38"/>
      <c r="GN186" s="38"/>
      <c r="GO186" s="38"/>
      <c r="GP186" s="38"/>
      <c r="GQ186" s="38"/>
      <c r="GR186" s="38"/>
      <c r="GS186" s="38"/>
      <c r="GT186" s="38"/>
      <c r="GU186" s="38"/>
      <c r="GV186" s="38"/>
      <c r="GW186" s="38"/>
      <c r="GX186" s="38"/>
      <c r="GY186" s="38"/>
      <c r="GZ186" s="38"/>
      <c r="HA186" s="38"/>
      <c r="HB186" s="38"/>
      <c r="HC186" s="38"/>
      <c r="HD186" s="38"/>
      <c r="HE186" s="38"/>
      <c r="HF186" s="38"/>
      <c r="HG186" s="38"/>
      <c r="HH186" s="38"/>
      <c r="HI186" s="38"/>
      <c r="HJ186" s="38"/>
      <c r="HK186" s="38"/>
      <c r="HL186" s="38"/>
      <c r="HM186" s="38"/>
      <c r="HN186" s="38"/>
      <c r="HO186" s="38"/>
      <c r="HP186" s="38"/>
      <c r="HQ186" s="38"/>
      <c r="HR186" s="38"/>
      <c r="HS186" s="38"/>
      <c r="HT186" s="38"/>
      <c r="HU186" s="38"/>
      <c r="HV186" s="38"/>
      <c r="HW186" s="38"/>
      <c r="HX186" s="38"/>
      <c r="HY186" s="38"/>
      <c r="HZ186" s="38"/>
      <c r="IA186" s="38"/>
      <c r="IB186" s="38"/>
      <c r="IC186" s="38"/>
      <c r="ID186" s="38"/>
      <c r="IE186" s="38"/>
      <c r="IF186" s="38"/>
      <c r="IG186" s="38"/>
      <c r="IH186" s="38"/>
      <c r="II186" s="38"/>
      <c r="IJ186" s="38"/>
      <c r="IK186" s="38"/>
      <c r="IL186" s="38"/>
      <c r="IM186" s="38"/>
      <c r="IN186" s="38"/>
      <c r="IO186" s="38"/>
      <c r="IP186" s="38"/>
      <c r="IQ186" s="38"/>
      <c r="IR186" s="38"/>
      <c r="IS186" s="38"/>
      <c r="IT186" s="38"/>
      <c r="IU186" s="38"/>
      <c r="IV186" s="38"/>
      <c r="IW186" s="38"/>
      <c r="IX186" s="38"/>
      <c r="IY186" s="38"/>
      <c r="IZ186" s="38"/>
      <c r="JA186" s="38"/>
      <c r="JB186" s="38"/>
      <c r="JC186" s="38"/>
      <c r="JD186" s="38"/>
      <c r="JE186" s="38"/>
      <c r="JF186" s="38"/>
      <c r="JG186" s="38"/>
      <c r="JH186" s="38"/>
      <c r="JI186" s="38"/>
      <c r="JJ186" s="38"/>
      <c r="JK186" s="38"/>
      <c r="JL186" s="38"/>
      <c r="JM186" s="38"/>
      <c r="JN186" s="38"/>
      <c r="JO186" s="38"/>
      <c r="JP186" s="38"/>
      <c r="JQ186" s="38"/>
      <c r="JR186" s="38"/>
      <c r="JS186" s="38"/>
      <c r="JT186" s="38"/>
      <c r="JU186" s="38"/>
      <c r="JV186" s="38"/>
      <c r="JW186" s="38"/>
      <c r="JX186" s="38"/>
      <c r="JY186" s="38"/>
      <c r="JZ186" s="38"/>
      <c r="KA186" s="38"/>
      <c r="KB186" s="38"/>
      <c r="KC186" s="38"/>
      <c r="KD186" s="38"/>
      <c r="KE186" s="38"/>
      <c r="KF186" s="38"/>
      <c r="KG186" s="38"/>
      <c r="KH186" s="38"/>
      <c r="KI186" s="38"/>
      <c r="KJ186" s="38"/>
      <c r="KK186" s="38"/>
      <c r="KL186" s="38"/>
      <c r="KM186" s="38"/>
      <c r="KN186" s="38"/>
      <c r="KO186" s="38"/>
      <c r="KP186" s="38"/>
      <c r="KQ186" s="38"/>
      <c r="KR186" s="38"/>
      <c r="KS186" s="38"/>
      <c r="KT186" s="38"/>
      <c r="KU186" s="38"/>
      <c r="KV186" s="38"/>
      <c r="KW186" s="38"/>
      <c r="KX186" s="38"/>
      <c r="KY186" s="38"/>
      <c r="KZ186" s="38"/>
      <c r="LA186" s="38"/>
      <c r="LB186" s="38"/>
      <c r="LC186" s="38"/>
      <c r="LD186" s="38"/>
      <c r="LE186" s="38"/>
      <c r="LF186" s="38"/>
      <c r="LG186" s="38"/>
      <c r="LH186" s="38"/>
      <c r="LI186" s="38"/>
      <c r="LJ186" s="38"/>
      <c r="LK186" s="38"/>
      <c r="LL186" s="38"/>
      <c r="LM186" s="38"/>
      <c r="LN186" s="38"/>
      <c r="LO186" s="38"/>
      <c r="LP186" s="38"/>
      <c r="LQ186" s="38"/>
      <c r="LR186" s="38"/>
      <c r="LS186" s="38"/>
      <c r="LT186" s="38"/>
      <c r="LU186" s="38"/>
      <c r="LV186" s="38"/>
      <c r="LW186" s="38"/>
      <c r="LX186" s="38"/>
      <c r="LY186" s="38"/>
      <c r="LZ186" s="38"/>
      <c r="MA186" s="38"/>
      <c r="MB186" s="38"/>
      <c r="MC186" s="38"/>
      <c r="MD186" s="38"/>
      <c r="ME186" s="38"/>
      <c r="MF186" s="38"/>
      <c r="MG186" s="38"/>
      <c r="MH186" s="38"/>
      <c r="MI186" s="38"/>
      <c r="MJ186" s="38"/>
      <c r="MK186" s="38"/>
      <c r="ML186" s="38"/>
      <c r="MM186" s="38"/>
      <c r="MN186" s="38"/>
      <c r="MO186" s="38"/>
      <c r="MP186" s="38"/>
      <c r="MQ186" s="38"/>
      <c r="MR186" s="38"/>
      <c r="MS186" s="38"/>
      <c r="MT186" s="38"/>
      <c r="MU186" s="38"/>
      <c r="MV186" s="38"/>
      <c r="MW186" s="38"/>
      <c r="MX186" s="38"/>
      <c r="MY186" s="38"/>
      <c r="MZ186" s="38"/>
      <c r="NA186" s="38"/>
      <c r="NB186" s="38"/>
      <c r="NC186" s="38"/>
      <c r="ND186" s="38"/>
      <c r="NE186" s="38"/>
      <c r="NF186" s="38"/>
      <c r="NG186" s="38"/>
      <c r="NH186" s="38"/>
      <c r="NI186" s="38"/>
      <c r="NJ186" s="38"/>
      <c r="NK186" s="38"/>
      <c r="NL186" s="38"/>
      <c r="NM186" s="38"/>
      <c r="NN186" s="38"/>
      <c r="NO186" s="38"/>
      <c r="NP186" s="38"/>
      <c r="NQ186" s="38"/>
      <c r="NR186" s="38"/>
      <c r="NS186" s="38"/>
      <c r="NT186" s="38"/>
      <c r="NU186" s="38"/>
      <c r="NV186" s="38"/>
      <c r="NW186" s="38"/>
      <c r="NX186" s="38"/>
      <c r="NY186" s="38"/>
      <c r="NZ186" s="38"/>
      <c r="OA186" s="38"/>
      <c r="OB186" s="38"/>
      <c r="OC186" s="38"/>
      <c r="OD186" s="38"/>
      <c r="OE186" s="38"/>
      <c r="OF186" s="38"/>
      <c r="OG186" s="38"/>
      <c r="OH186" s="38"/>
      <c r="OI186" s="38"/>
      <c r="OJ186" s="38"/>
      <c r="OK186" s="38"/>
      <c r="OL186" s="38"/>
      <c r="OM186" s="38"/>
      <c r="ON186" s="38"/>
      <c r="OO186" s="38"/>
      <c r="OP186" s="38"/>
      <c r="OQ186" s="38"/>
      <c r="OR186" s="38"/>
      <c r="OS186" s="38"/>
      <c r="OT186" s="38"/>
      <c r="OU186" s="38"/>
      <c r="OV186" s="38"/>
      <c r="OW186" s="38"/>
      <c r="OX186" s="38"/>
      <c r="OY186" s="38"/>
      <c r="OZ186" s="38"/>
      <c r="PA186" s="38"/>
      <c r="PB186" s="38"/>
      <c r="PC186" s="38"/>
      <c r="PD186" s="38"/>
      <c r="PE186" s="38"/>
      <c r="PF186" s="38"/>
      <c r="PG186" s="38"/>
      <c r="PH186" s="38"/>
      <c r="PI186" s="38"/>
      <c r="PJ186" s="38"/>
      <c r="PK186" s="38"/>
      <c r="PL186" s="38"/>
      <c r="PM186" s="38"/>
      <c r="PN186" s="38"/>
      <c r="PO186" s="38"/>
      <c r="PP186" s="38"/>
      <c r="PQ186" s="38"/>
      <c r="PR186" s="38"/>
      <c r="PS186" s="38"/>
      <c r="PT186" s="38"/>
      <c r="PU186" s="38"/>
      <c r="PV186" s="38"/>
      <c r="PW186" s="38"/>
      <c r="PX186" s="38"/>
      <c r="PY186" s="38"/>
      <c r="PZ186" s="38"/>
      <c r="QA186" s="38"/>
      <c r="QB186" s="38"/>
      <c r="QC186" s="38"/>
      <c r="QD186" s="38"/>
      <c r="QE186" s="38"/>
      <c r="QF186" s="38"/>
      <c r="QG186" s="38"/>
      <c r="QH186" s="38"/>
      <c r="QI186" s="38"/>
      <c r="QJ186" s="38"/>
      <c r="QK186" s="38"/>
      <c r="QL186" s="38"/>
      <c r="QM186" s="38"/>
      <c r="QN186" s="38"/>
      <c r="QO186" s="38"/>
      <c r="QP186" s="38"/>
      <c r="QQ186" s="38"/>
      <c r="QR186" s="38"/>
      <c r="QS186" s="38"/>
      <c r="QT186" s="38"/>
      <c r="QU186" s="38"/>
      <c r="QV186" s="38"/>
      <c r="QW186" s="38"/>
      <c r="QX186" s="38"/>
      <c r="QY186" s="38"/>
      <c r="QZ186" s="38"/>
      <c r="RA186" s="38"/>
      <c r="RB186" s="38"/>
      <c r="RC186" s="38"/>
      <c r="RD186" s="38"/>
      <c r="RE186" s="38"/>
      <c r="RF186" s="38"/>
      <c r="RG186" s="38"/>
      <c r="RH186" s="38"/>
      <c r="RI186" s="38"/>
      <c r="RJ186" s="38"/>
      <c r="RK186" s="38"/>
      <c r="RL186" s="38"/>
      <c r="RM186" s="38"/>
      <c r="RN186" s="38"/>
      <c r="RO186" s="38"/>
      <c r="RP186" s="38"/>
      <c r="RQ186" s="38"/>
      <c r="RR186" s="38"/>
      <c r="RS186" s="38"/>
      <c r="RT186" s="38"/>
      <c r="RU186" s="38"/>
      <c r="RV186" s="38"/>
      <c r="RW186" s="38"/>
      <c r="RX186" s="38"/>
      <c r="RY186" s="38"/>
      <c r="RZ186" s="38"/>
      <c r="SA186" s="38"/>
      <c r="SB186" s="38"/>
      <c r="SC186" s="38"/>
      <c r="SD186" s="38"/>
      <c r="SE186" s="38"/>
      <c r="SF186" s="38"/>
      <c r="SG186" s="38"/>
      <c r="SH186" s="38"/>
      <c r="SI186" s="38"/>
      <c r="SJ186" s="38"/>
      <c r="SK186" s="38"/>
      <c r="SL186" s="38"/>
      <c r="SM186" s="38"/>
      <c r="SN186" s="38"/>
      <c r="SO186" s="38"/>
      <c r="SP186" s="38"/>
      <c r="SQ186" s="38"/>
      <c r="SR186" s="38"/>
      <c r="SS186" s="38"/>
      <c r="ST186" s="38"/>
      <c r="SU186" s="38"/>
      <c r="SV186" s="38"/>
      <c r="SW186" s="38"/>
      <c r="SX186" s="38"/>
      <c r="SY186" s="38"/>
      <c r="SZ186" s="38"/>
      <c r="TA186" s="38"/>
      <c r="TB186" s="38"/>
      <c r="TC186" s="38"/>
      <c r="TD186" s="38"/>
      <c r="TE186" s="38"/>
      <c r="TF186" s="38"/>
      <c r="TG186" s="38"/>
      <c r="TH186" s="38"/>
      <c r="TI186" s="38"/>
      <c r="TJ186" s="38"/>
      <c r="TK186" s="38"/>
      <c r="TL186" s="38"/>
      <c r="TM186" s="38"/>
      <c r="TN186" s="38"/>
      <c r="TO186" s="38"/>
      <c r="TP186" s="38"/>
      <c r="TQ186" s="38"/>
      <c r="TR186" s="38"/>
      <c r="TS186" s="38"/>
      <c r="TT186" s="38"/>
      <c r="TU186" s="38"/>
      <c r="TV186" s="38"/>
      <c r="TW186" s="38"/>
      <c r="TX186" s="38"/>
      <c r="TY186" s="38"/>
      <c r="TZ186" s="38"/>
      <c r="UA186" s="38"/>
      <c r="UB186" s="38"/>
      <c r="UC186" s="38"/>
      <c r="UD186" s="38"/>
      <c r="UE186" s="38"/>
      <c r="UF186" s="38"/>
      <c r="UG186" s="38"/>
      <c r="UH186" s="38"/>
      <c r="UI186" s="38"/>
      <c r="UJ186" s="38"/>
      <c r="UK186" s="38"/>
      <c r="UL186" s="38"/>
      <c r="UM186" s="38"/>
      <c r="UN186" s="38"/>
      <c r="UO186" s="38"/>
      <c r="UP186" s="38"/>
      <c r="UQ186" s="38"/>
      <c r="UR186" s="38"/>
      <c r="US186" s="38"/>
      <c r="UT186" s="38"/>
      <c r="UU186" s="38"/>
      <c r="UV186" s="38"/>
      <c r="UW186" s="38"/>
      <c r="UX186" s="38"/>
      <c r="UY186" s="38"/>
      <c r="UZ186" s="38"/>
      <c r="VA186" s="38"/>
      <c r="VB186" s="38"/>
      <c r="VC186" s="38"/>
      <c r="VD186" s="38"/>
      <c r="VE186" s="38"/>
      <c r="VF186" s="38"/>
      <c r="VG186" s="38"/>
      <c r="VH186" s="38"/>
      <c r="VI186" s="38"/>
      <c r="VJ186" s="38"/>
      <c r="VK186" s="38"/>
      <c r="VL186" s="38"/>
      <c r="VM186" s="38"/>
      <c r="VN186" s="38"/>
      <c r="VO186" s="38"/>
      <c r="VP186" s="38"/>
      <c r="VQ186" s="38"/>
      <c r="VR186" s="38"/>
      <c r="VS186" s="38"/>
      <c r="VT186" s="38"/>
      <c r="VU186" s="38"/>
      <c r="VV186" s="38"/>
      <c r="VW186" s="38"/>
      <c r="VX186" s="38"/>
      <c r="VY186" s="38"/>
      <c r="VZ186" s="38"/>
      <c r="WA186" s="38"/>
      <c r="WB186" s="38"/>
      <c r="WC186" s="38"/>
      <c r="WD186" s="38"/>
      <c r="WE186" s="38"/>
      <c r="WF186" s="38"/>
      <c r="WG186" s="38"/>
      <c r="WH186" s="38"/>
      <c r="WI186" s="38"/>
      <c r="WJ186" s="38"/>
      <c r="WK186" s="38"/>
      <c r="WL186" s="38"/>
      <c r="WM186" s="38"/>
      <c r="WN186" s="38"/>
      <c r="WO186" s="38"/>
      <c r="WP186" s="38"/>
      <c r="WQ186" s="38"/>
      <c r="WR186" s="38"/>
      <c r="WS186" s="38"/>
      <c r="WT186" s="38"/>
      <c r="WU186" s="38"/>
      <c r="WV186" s="38"/>
      <c r="WW186" s="38"/>
      <c r="WX186" s="38"/>
      <c r="WY186" s="38"/>
      <c r="WZ186" s="38"/>
      <c r="XA186" s="38"/>
      <c r="XB186" s="38"/>
      <c r="XC186" s="38"/>
      <c r="XD186" s="38"/>
      <c r="XE186" s="38"/>
      <c r="XF186" s="38"/>
      <c r="XG186" s="38"/>
      <c r="XH186" s="38"/>
      <c r="XI186" s="38"/>
      <c r="XJ186" s="38"/>
      <c r="XK186" s="38"/>
      <c r="XL186" s="38"/>
      <c r="XM186" s="38"/>
      <c r="XN186" s="38"/>
      <c r="XO186" s="38"/>
      <c r="XP186" s="38"/>
      <c r="XQ186" s="38"/>
      <c r="XR186" s="38"/>
      <c r="XS186" s="38"/>
      <c r="XT186" s="38"/>
      <c r="XU186" s="38"/>
      <c r="XV186" s="38"/>
      <c r="XW186" s="38"/>
      <c r="XX186" s="38"/>
      <c r="XY186" s="38"/>
      <c r="XZ186" s="38"/>
      <c r="YA186" s="38"/>
      <c r="YB186" s="38"/>
      <c r="YC186" s="38"/>
      <c r="YD186" s="38"/>
      <c r="YE186" s="38"/>
      <c r="YF186" s="38"/>
      <c r="YG186" s="38"/>
      <c r="YH186" s="38"/>
      <c r="YI186" s="38"/>
      <c r="YJ186" s="38"/>
      <c r="YK186" s="38"/>
      <c r="YL186" s="38"/>
      <c r="YM186" s="38"/>
      <c r="YN186" s="38"/>
      <c r="YO186" s="38"/>
      <c r="YP186" s="38"/>
      <c r="YQ186" s="38"/>
      <c r="YR186" s="38"/>
      <c r="YS186" s="38"/>
      <c r="YT186" s="38"/>
      <c r="YU186" s="38"/>
      <c r="YV186" s="38"/>
      <c r="YW186" s="38"/>
      <c r="YX186" s="38"/>
      <c r="YY186" s="38"/>
      <c r="YZ186" s="38"/>
      <c r="ZA186" s="38"/>
      <c r="ZB186" s="38"/>
      <c r="ZC186" s="38"/>
      <c r="ZD186" s="38"/>
      <c r="ZE186" s="38"/>
      <c r="ZF186" s="38"/>
      <c r="ZG186" s="38"/>
      <c r="ZH186" s="38"/>
      <c r="ZI186" s="38"/>
      <c r="ZJ186" s="38"/>
      <c r="ZK186" s="38"/>
      <c r="ZL186" s="38"/>
      <c r="ZM186" s="38"/>
      <c r="ZN186" s="38"/>
      <c r="ZO186" s="38"/>
      <c r="ZP186" s="38"/>
      <c r="ZQ186" s="38"/>
      <c r="ZR186" s="38"/>
      <c r="ZS186" s="38"/>
      <c r="ZT186" s="38"/>
      <c r="ZU186" s="38"/>
      <c r="ZV186" s="38"/>
      <c r="ZW186" s="38"/>
      <c r="ZX186" s="38"/>
      <c r="ZY186" s="38"/>
      <c r="ZZ186" s="38"/>
      <c r="AAA186" s="38"/>
      <c r="AAB186" s="38"/>
      <c r="AAC186" s="38"/>
      <c r="AAD186" s="38"/>
      <c r="AAE186" s="38"/>
      <c r="AAF186" s="38"/>
      <c r="AAG186" s="38"/>
      <c r="AAH186" s="38"/>
      <c r="AAI186" s="38"/>
      <c r="AAJ186" s="38"/>
      <c r="AAK186" s="38"/>
      <c r="AAL186" s="38"/>
      <c r="AAM186" s="38"/>
      <c r="AAN186" s="38"/>
      <c r="AAO186" s="38"/>
      <c r="AAP186" s="38"/>
      <c r="AAQ186" s="38"/>
      <c r="AAR186" s="38"/>
      <c r="AAS186" s="38"/>
      <c r="AAT186" s="38"/>
      <c r="AAU186" s="38"/>
      <c r="AAV186" s="38"/>
      <c r="AAW186" s="38"/>
      <c r="AAX186" s="38"/>
      <c r="AAY186" s="38"/>
      <c r="AAZ186" s="38"/>
      <c r="ABA186" s="38"/>
      <c r="ABB186" s="38"/>
      <c r="ABC186" s="38"/>
      <c r="ABD186" s="38"/>
      <c r="ABE186" s="38"/>
      <c r="ABF186" s="38"/>
      <c r="ABG186" s="38"/>
      <c r="ABH186" s="38"/>
      <c r="ABI186" s="38"/>
      <c r="ABJ186" s="38"/>
      <c r="ABK186" s="38"/>
      <c r="ABL186" s="38"/>
      <c r="ABM186" s="38"/>
      <c r="ABN186" s="38"/>
      <c r="ABO186" s="38"/>
      <c r="ABP186" s="38"/>
      <c r="ABQ186" s="38"/>
      <c r="ABR186" s="38"/>
      <c r="ABS186" s="38"/>
      <c r="ABT186" s="38"/>
      <c r="ABU186" s="38"/>
      <c r="ABV186" s="38"/>
      <c r="ABW186" s="38"/>
      <c r="ABX186" s="38"/>
      <c r="ABY186" s="38"/>
      <c r="ABZ186" s="38"/>
      <c r="ACA186" s="38"/>
      <c r="ACB186" s="38"/>
      <c r="ACC186" s="38"/>
      <c r="ACD186" s="38"/>
      <c r="ACE186" s="38"/>
      <c r="ACF186" s="38"/>
      <c r="ACG186" s="38"/>
      <c r="ACH186" s="38"/>
      <c r="ACI186" s="38"/>
      <c r="ACJ186" s="38"/>
      <c r="ACK186" s="38"/>
      <c r="ACL186" s="38"/>
      <c r="ACM186" s="38"/>
      <c r="ACN186" s="38"/>
      <c r="ACO186" s="38"/>
      <c r="ACP186" s="38"/>
      <c r="ACQ186" s="38"/>
      <c r="ACR186" s="38"/>
      <c r="ACS186" s="38"/>
      <c r="ACT186" s="38"/>
      <c r="ACU186" s="38"/>
      <c r="ACV186" s="38"/>
      <c r="ACW186" s="38"/>
      <c r="ACX186" s="38"/>
      <c r="ACY186" s="38"/>
      <c r="ACZ186" s="38"/>
      <c r="ADA186" s="38"/>
      <c r="ADB186" s="38"/>
      <c r="ADC186" s="38"/>
      <c r="ADD186" s="38"/>
      <c r="ADE186" s="38"/>
      <c r="ADF186" s="38"/>
      <c r="ADG186" s="38"/>
      <c r="ADH186" s="38"/>
      <c r="ADI186" s="38"/>
      <c r="ADJ186" s="38"/>
      <c r="ADK186" s="38"/>
      <c r="ADL186" s="38"/>
      <c r="ADM186" s="38"/>
      <c r="ADN186" s="38"/>
      <c r="ADO186" s="38"/>
      <c r="ADP186" s="38"/>
      <c r="ADQ186" s="38"/>
      <c r="ADR186" s="38"/>
      <c r="ADS186" s="38"/>
      <c r="ADT186" s="38"/>
      <c r="ADU186" s="38"/>
      <c r="ADV186" s="38"/>
      <c r="ADW186" s="38"/>
      <c r="ADX186" s="38"/>
      <c r="ADY186" s="38"/>
      <c r="ADZ186" s="38"/>
      <c r="AEA186" s="38"/>
      <c r="AEB186" s="38"/>
      <c r="AEC186" s="38"/>
      <c r="AED186" s="38"/>
      <c r="AEE186" s="38"/>
      <c r="AEF186" s="38"/>
      <c r="AEG186" s="38"/>
      <c r="AEH186" s="38"/>
      <c r="AEI186" s="38"/>
      <c r="AEJ186" s="38"/>
      <c r="AEK186" s="38"/>
      <c r="AEL186" s="38"/>
      <c r="AEM186" s="38"/>
      <c r="AEN186" s="38"/>
      <c r="AEO186" s="38"/>
      <c r="AEP186" s="38"/>
      <c r="AEQ186" s="38"/>
      <c r="AER186" s="38"/>
      <c r="AES186" s="38"/>
      <c r="AET186" s="38"/>
      <c r="AEU186" s="38"/>
      <c r="AEV186" s="38"/>
      <c r="AEW186" s="38"/>
      <c r="AEX186" s="38"/>
      <c r="AEY186" s="38"/>
      <c r="AEZ186" s="38"/>
      <c r="AFA186" s="38"/>
      <c r="AFB186" s="38"/>
      <c r="AFC186" s="38"/>
      <c r="AFD186" s="38"/>
      <c r="AFE186" s="38"/>
      <c r="AFF186" s="38"/>
      <c r="AFG186" s="38"/>
      <c r="AFH186" s="38"/>
      <c r="AFI186" s="38"/>
      <c r="AFJ186" s="38"/>
      <c r="AFK186" s="38"/>
      <c r="AFL186" s="38"/>
      <c r="AFM186" s="38"/>
      <c r="AFN186" s="38"/>
      <c r="AFO186" s="38"/>
      <c r="AFP186" s="38"/>
      <c r="AFQ186" s="38"/>
      <c r="AFR186" s="38"/>
      <c r="AFS186" s="38"/>
      <c r="AFT186" s="38"/>
      <c r="AFU186" s="38"/>
      <c r="AFV186" s="38"/>
      <c r="AFW186" s="38"/>
      <c r="AFX186" s="38"/>
      <c r="AFY186" s="38"/>
      <c r="AFZ186" s="38"/>
      <c r="AGA186" s="38"/>
      <c r="AGB186" s="38"/>
      <c r="AGC186" s="38"/>
      <c r="AGD186" s="38"/>
      <c r="AGE186" s="38"/>
      <c r="AGF186" s="38"/>
      <c r="AGG186" s="38"/>
      <c r="AGH186" s="38"/>
      <c r="AGI186" s="38"/>
      <c r="AGJ186" s="38"/>
      <c r="AGK186" s="38"/>
      <c r="AGL186" s="38"/>
      <c r="AGM186" s="38"/>
      <c r="AGN186" s="38"/>
      <c r="AGO186" s="38"/>
      <c r="AGP186" s="38"/>
      <c r="AGQ186" s="38"/>
      <c r="AGR186" s="38"/>
      <c r="AGS186" s="38"/>
      <c r="AGT186" s="38"/>
      <c r="AGU186" s="38"/>
      <c r="AGV186" s="38"/>
      <c r="AGW186" s="38"/>
      <c r="AGX186" s="38"/>
      <c r="AGY186" s="38"/>
      <c r="AGZ186" s="38"/>
      <c r="AHA186" s="38"/>
      <c r="AHB186" s="38"/>
      <c r="AHC186" s="38"/>
      <c r="AHD186" s="38"/>
      <c r="AHE186" s="38"/>
      <c r="AHF186" s="38"/>
      <c r="AHG186" s="38"/>
      <c r="AHH186" s="38"/>
      <c r="AHI186" s="38"/>
      <c r="AHJ186" s="38"/>
      <c r="AHK186" s="38"/>
      <c r="AHL186" s="38"/>
      <c r="AHM186" s="38"/>
      <c r="AHN186" s="38"/>
      <c r="AHO186" s="38"/>
      <c r="AHP186" s="38"/>
      <c r="AHQ186" s="38"/>
      <c r="AHR186" s="38"/>
      <c r="AHS186" s="38"/>
      <c r="AHT186" s="38"/>
      <c r="AHU186" s="38"/>
      <c r="AHV186" s="38"/>
      <c r="AHW186" s="38"/>
      <c r="AHX186" s="38"/>
      <c r="AHY186" s="38"/>
      <c r="AHZ186" s="38"/>
      <c r="AIA186" s="38"/>
      <c r="AIB186" s="38"/>
      <c r="AIC186" s="38"/>
      <c r="AID186" s="38"/>
      <c r="AIE186" s="38"/>
      <c r="AIF186" s="38"/>
      <c r="AIG186" s="38"/>
      <c r="AIH186" s="38"/>
      <c r="AII186" s="38"/>
      <c r="AIJ186" s="38"/>
      <c r="AIK186" s="38"/>
      <c r="AIL186" s="38"/>
      <c r="AIM186" s="38"/>
      <c r="AIN186" s="38"/>
      <c r="AIO186" s="38"/>
      <c r="AIP186" s="38"/>
      <c r="AIQ186" s="38"/>
      <c r="AIR186" s="38"/>
      <c r="AIS186" s="38"/>
      <c r="AIT186" s="38"/>
      <c r="AIU186" s="38"/>
      <c r="AIV186" s="38"/>
      <c r="AIW186" s="38"/>
      <c r="AIX186" s="38"/>
      <c r="AIY186" s="38"/>
      <c r="AIZ186" s="38"/>
      <c r="AJA186" s="38"/>
      <c r="AJB186" s="38"/>
      <c r="AJC186" s="38"/>
      <c r="AJD186" s="38"/>
      <c r="AJE186" s="38"/>
      <c r="AJF186" s="38"/>
      <c r="AJG186" s="38"/>
      <c r="AJH186" s="38"/>
      <c r="AJI186" s="38"/>
      <c r="AJJ186" s="38"/>
      <c r="AJK186" s="38"/>
      <c r="AJL186" s="38"/>
      <c r="AJM186" s="38"/>
      <c r="AJN186" s="38"/>
      <c r="AJO186" s="38"/>
      <c r="AJP186" s="38"/>
      <c r="AJQ186" s="38"/>
      <c r="AJR186" s="38"/>
      <c r="AJS186" s="38"/>
      <c r="AJT186" s="38"/>
      <c r="AJU186" s="38"/>
      <c r="AJV186" s="38"/>
      <c r="AJW186" s="38"/>
      <c r="AJX186" s="38"/>
      <c r="AJY186" s="38"/>
      <c r="AJZ186" s="38"/>
      <c r="AKA186" s="38"/>
      <c r="AKB186" s="38"/>
      <c r="AKC186" s="38"/>
      <c r="AKD186" s="38"/>
      <c r="AKE186" s="38"/>
      <c r="AKF186" s="38"/>
      <c r="AKG186" s="38"/>
      <c r="AKH186" s="38"/>
      <c r="AKI186" s="38"/>
      <c r="AKJ186" s="38"/>
      <c r="AKK186" s="38"/>
      <c r="AKL186" s="38"/>
      <c r="AKM186" s="38"/>
      <c r="AKN186" s="38"/>
      <c r="AKO186" s="38"/>
      <c r="AKP186" s="38"/>
      <c r="AKQ186" s="38"/>
      <c r="AKR186" s="38"/>
      <c r="AKS186" s="38"/>
      <c r="AKT186" s="38"/>
      <c r="AKU186" s="38"/>
      <c r="AKV186" s="38"/>
      <c r="AKW186" s="38"/>
      <c r="AKX186" s="38"/>
      <c r="AKY186" s="38"/>
      <c r="AKZ186" s="38"/>
      <c r="ALA186" s="38"/>
      <c r="ALB186" s="38"/>
      <c r="ALC186" s="38"/>
      <c r="ALD186" s="38"/>
      <c r="ALE186" s="38"/>
      <c r="ALF186" s="38"/>
      <c r="ALG186" s="38"/>
      <c r="ALH186" s="38"/>
      <c r="ALI186" s="38"/>
      <c r="ALJ186" s="38"/>
      <c r="ALK186" s="38"/>
      <c r="ALL186" s="38"/>
      <c r="ALM186" s="38"/>
      <c r="ALN186" s="38"/>
      <c r="ALO186" s="38"/>
      <c r="ALP186" s="38"/>
      <c r="ALQ186" s="38"/>
      <c r="ALR186" s="38"/>
      <c r="ALS186" s="38"/>
      <c r="ALT186" s="38"/>
      <c r="ALU186" s="38"/>
      <c r="ALV186" s="38"/>
      <c r="ALW186" s="38"/>
      <c r="ALX186" s="38"/>
      <c r="ALY186" s="38"/>
      <c r="ALZ186" s="38"/>
      <c r="AMA186" s="38"/>
      <c r="AMB186" s="38"/>
      <c r="AMC186" s="38"/>
      <c r="AMD186" s="38"/>
      <c r="AME186" s="38"/>
      <c r="AMF186" s="38"/>
      <c r="AMG186" s="38"/>
      <c r="AMH186" s="38"/>
      <c r="AMI186" s="38"/>
      <c r="AMJ186" s="38"/>
      <c r="AMK186" s="38"/>
      <c r="AML186" s="38"/>
      <c r="AMM186" s="38"/>
      <c r="AMN186" s="38"/>
      <c r="AMO186" s="38"/>
      <c r="AMP186" s="38"/>
      <c r="AMQ186" s="38"/>
      <c r="AMR186" s="38"/>
      <c r="AMS186" s="38"/>
      <c r="AMT186" s="38"/>
      <c r="AMU186" s="38"/>
      <c r="AMV186" s="38"/>
      <c r="AMW186" s="38"/>
      <c r="AMX186" s="38"/>
      <c r="AMY186" s="38"/>
      <c r="AMZ186" s="38"/>
      <c r="ANA186" s="38"/>
      <c r="ANB186" s="38"/>
      <c r="ANC186" s="38"/>
      <c r="AND186" s="38"/>
      <c r="ANE186" s="38"/>
      <c r="ANF186" s="38"/>
      <c r="ANG186" s="38"/>
      <c r="ANH186" s="38"/>
      <c r="ANI186" s="38"/>
      <c r="ANJ186" s="38"/>
      <c r="ANK186" s="38"/>
      <c r="ANL186" s="38"/>
      <c r="ANM186" s="38"/>
      <c r="ANN186" s="38"/>
      <c r="ANO186" s="38"/>
      <c r="ANP186" s="38"/>
      <c r="ANQ186" s="38"/>
      <c r="ANR186" s="38"/>
      <c r="ANS186" s="38"/>
      <c r="ANT186" s="38"/>
      <c r="ANU186" s="38"/>
      <c r="ANV186" s="38"/>
      <c r="ANW186" s="38"/>
      <c r="ANX186" s="38"/>
      <c r="ANY186" s="38"/>
      <c r="ANZ186" s="38"/>
      <c r="AOA186" s="38"/>
      <c r="AOB186" s="38"/>
      <c r="AOC186" s="38"/>
      <c r="AOD186" s="38"/>
      <c r="AOE186" s="38"/>
      <c r="AOF186" s="38"/>
      <c r="AOG186" s="38"/>
      <c r="AOH186" s="38"/>
      <c r="AOI186" s="38"/>
      <c r="AOJ186" s="38"/>
      <c r="AOK186" s="38"/>
      <c r="AOL186" s="38"/>
      <c r="AOM186" s="38"/>
      <c r="AON186" s="38"/>
      <c r="AOO186" s="38"/>
      <c r="AOP186" s="38"/>
      <c r="AOQ186" s="38"/>
      <c r="AOR186" s="38"/>
      <c r="AOS186" s="38"/>
      <c r="AOT186" s="38"/>
      <c r="AOU186" s="38"/>
      <c r="AOV186" s="38"/>
      <c r="AOW186" s="38"/>
      <c r="AOX186" s="38"/>
      <c r="AOY186" s="38"/>
      <c r="AOZ186" s="38"/>
      <c r="APA186" s="38"/>
      <c r="APB186" s="38"/>
      <c r="APC186" s="38"/>
      <c r="APD186" s="38"/>
      <c r="APE186" s="38"/>
      <c r="APF186" s="38"/>
      <c r="APG186" s="38"/>
      <c r="APH186" s="38"/>
      <c r="API186" s="38"/>
      <c r="APJ186" s="38"/>
      <c r="APK186" s="38"/>
      <c r="APL186" s="38"/>
      <c r="APM186" s="38"/>
      <c r="APN186" s="38"/>
      <c r="APO186" s="38"/>
      <c r="APP186" s="38"/>
      <c r="APQ186" s="38"/>
      <c r="APR186" s="38"/>
      <c r="APS186" s="38"/>
      <c r="APT186" s="38"/>
      <c r="APU186" s="38"/>
      <c r="APV186" s="38"/>
      <c r="APW186" s="38"/>
      <c r="APX186" s="38"/>
      <c r="APY186" s="38"/>
      <c r="APZ186" s="38"/>
      <c r="AQA186" s="38"/>
      <c r="AQB186" s="38"/>
      <c r="AQC186" s="38"/>
      <c r="AQD186" s="38"/>
      <c r="AQE186" s="38"/>
      <c r="AQF186" s="38"/>
      <c r="AQG186" s="38"/>
      <c r="AQH186" s="38"/>
      <c r="AQI186" s="38"/>
      <c r="AQJ186" s="38"/>
      <c r="AQK186" s="38"/>
      <c r="AQL186" s="38"/>
      <c r="AQM186" s="38"/>
      <c r="AQN186" s="38"/>
      <c r="AQO186" s="38"/>
      <c r="AQP186" s="38"/>
      <c r="AQQ186" s="38"/>
      <c r="AQR186" s="38"/>
      <c r="AQS186" s="38"/>
      <c r="AQT186" s="38"/>
      <c r="AQU186" s="38"/>
      <c r="AQV186" s="38"/>
      <c r="AQW186" s="38"/>
      <c r="AQX186" s="38"/>
      <c r="AQY186" s="38"/>
      <c r="AQZ186" s="38"/>
      <c r="ARA186" s="38"/>
      <c r="ARB186" s="38"/>
      <c r="ARC186" s="38"/>
      <c r="ARD186" s="38"/>
      <c r="ARE186" s="38"/>
      <c r="ARF186" s="38"/>
      <c r="ARG186" s="38"/>
      <c r="ARH186" s="38"/>
      <c r="ARI186" s="38"/>
      <c r="ARJ186" s="38"/>
      <c r="ARK186" s="38"/>
      <c r="ARL186" s="38"/>
      <c r="ARM186" s="38"/>
      <c r="ARN186" s="38"/>
      <c r="ARO186" s="38"/>
      <c r="ARP186" s="38"/>
      <c r="ARQ186" s="38"/>
      <c r="ARR186" s="38"/>
      <c r="ARS186" s="38"/>
      <c r="ART186" s="38"/>
      <c r="ARU186" s="38"/>
      <c r="ARV186" s="38"/>
      <c r="ARW186" s="38"/>
      <c r="ARX186" s="38"/>
      <c r="ARY186" s="38"/>
      <c r="ARZ186" s="38"/>
      <c r="ASA186" s="38"/>
      <c r="ASB186" s="38"/>
      <c r="ASC186" s="38"/>
      <c r="ASD186" s="38"/>
      <c r="ASE186" s="38"/>
      <c r="ASF186" s="38"/>
      <c r="ASG186" s="38"/>
      <c r="ASH186" s="38"/>
      <c r="ASI186" s="38"/>
      <c r="ASJ186" s="38"/>
      <c r="ASK186" s="38"/>
      <c r="ASL186" s="38"/>
      <c r="ASM186" s="38"/>
      <c r="ASN186" s="38"/>
      <c r="ASO186" s="38"/>
      <c r="ASP186" s="38"/>
      <c r="ASQ186" s="38"/>
      <c r="ASR186" s="38"/>
      <c r="ASS186" s="38"/>
      <c r="AST186" s="38"/>
      <c r="ASU186" s="38"/>
      <c r="ASV186" s="38"/>
      <c r="ASW186" s="38"/>
      <c r="ASX186" s="38"/>
      <c r="ASY186" s="38"/>
      <c r="ASZ186" s="38"/>
      <c r="ATA186" s="38"/>
      <c r="ATB186" s="38"/>
      <c r="ATC186" s="38"/>
      <c r="ATD186" s="38"/>
      <c r="ATE186" s="38"/>
      <c r="ATF186" s="38"/>
      <c r="ATG186" s="38"/>
      <c r="ATH186" s="38"/>
      <c r="ATI186" s="38"/>
      <c r="ATJ186" s="38"/>
      <c r="ATK186" s="38"/>
      <c r="ATL186" s="38"/>
      <c r="ATM186" s="38"/>
      <c r="ATN186" s="38"/>
      <c r="ATO186" s="38"/>
      <c r="ATP186" s="38"/>
      <c r="ATQ186" s="38"/>
      <c r="ATR186" s="38"/>
      <c r="ATS186" s="38"/>
      <c r="ATT186" s="38"/>
      <c r="ATU186" s="38"/>
      <c r="ATV186" s="38"/>
      <c r="ATW186" s="38"/>
      <c r="ATX186" s="38"/>
      <c r="ATY186" s="38"/>
      <c r="ATZ186" s="38"/>
      <c r="AUA186" s="38"/>
      <c r="AUB186" s="38"/>
      <c r="AUC186" s="38"/>
      <c r="AUD186" s="38"/>
      <c r="AUE186" s="38"/>
      <c r="AUF186" s="38"/>
      <c r="AUG186" s="38"/>
      <c r="AUH186" s="38"/>
      <c r="AUI186" s="38"/>
      <c r="AUJ186" s="38"/>
      <c r="AUK186" s="38"/>
      <c r="AUL186" s="38"/>
      <c r="AUM186" s="38"/>
      <c r="AUN186" s="38"/>
      <c r="AUO186" s="38"/>
      <c r="AUP186" s="38"/>
      <c r="AUQ186" s="38"/>
      <c r="AUR186" s="38"/>
      <c r="AUS186" s="38"/>
      <c r="AUT186" s="38"/>
      <c r="AUU186" s="38"/>
      <c r="AUV186" s="38"/>
      <c r="AUW186" s="38"/>
      <c r="AUX186" s="38"/>
      <c r="AUY186" s="38"/>
      <c r="AUZ186" s="38"/>
      <c r="AVA186" s="38"/>
      <c r="AVB186" s="38"/>
      <c r="AVC186" s="38"/>
      <c r="AVD186" s="38"/>
      <c r="AVE186" s="38"/>
      <c r="AVF186" s="38"/>
      <c r="AVG186" s="38"/>
      <c r="AVH186" s="38"/>
      <c r="AVI186" s="38"/>
      <c r="AVJ186" s="38"/>
      <c r="AVK186" s="38"/>
      <c r="AVL186" s="38"/>
      <c r="AVM186" s="38"/>
      <c r="AVN186" s="38"/>
      <c r="AVO186" s="38"/>
      <c r="AVP186" s="38"/>
      <c r="AVQ186" s="38"/>
      <c r="AVR186" s="38"/>
      <c r="AVS186" s="38"/>
      <c r="AVT186" s="38"/>
      <c r="AVU186" s="38"/>
      <c r="AVV186" s="38"/>
      <c r="AVW186" s="38"/>
      <c r="AVX186" s="38"/>
      <c r="AVY186" s="38"/>
      <c r="AVZ186" s="38"/>
      <c r="AWA186" s="38"/>
      <c r="AWB186" s="38"/>
      <c r="AWC186" s="38"/>
      <c r="AWD186" s="38"/>
      <c r="AWE186" s="38"/>
      <c r="AWF186" s="38"/>
      <c r="AWG186" s="38"/>
      <c r="AWH186" s="38"/>
      <c r="AWI186" s="38"/>
      <c r="AWJ186" s="38"/>
      <c r="AWK186" s="38"/>
      <c r="AWL186" s="38"/>
      <c r="AWM186" s="38"/>
      <c r="AWN186" s="38"/>
      <c r="AWO186" s="38"/>
      <c r="AWP186" s="38"/>
      <c r="AWQ186" s="38"/>
      <c r="AWR186" s="38"/>
      <c r="AWS186" s="38"/>
      <c r="AWT186" s="38"/>
      <c r="AWU186" s="38"/>
      <c r="AWV186" s="38"/>
      <c r="AWW186" s="38"/>
      <c r="AWX186" s="38"/>
      <c r="AWY186" s="38"/>
      <c r="AWZ186" s="38"/>
      <c r="AXA186" s="38"/>
      <c r="AXB186" s="38"/>
      <c r="AXC186" s="38"/>
      <c r="AXD186" s="38"/>
      <c r="AXE186" s="38"/>
      <c r="AXF186" s="38"/>
      <c r="AXG186" s="38"/>
      <c r="AXH186" s="38"/>
      <c r="AXI186" s="38"/>
      <c r="AXJ186" s="38"/>
      <c r="AXK186" s="38"/>
      <c r="AXL186" s="38"/>
      <c r="AXM186" s="38"/>
      <c r="AXN186" s="38"/>
      <c r="AXO186" s="38"/>
      <c r="AXP186" s="38"/>
      <c r="AXQ186" s="38"/>
      <c r="AXR186" s="38"/>
      <c r="AXS186" s="38"/>
      <c r="AXT186" s="38"/>
      <c r="AXU186" s="38"/>
      <c r="AXV186" s="38"/>
    </row>
    <row r="187" spans="1:1322" s="65" customFormat="1">
      <c r="A187" s="66"/>
      <c r="C187" s="67"/>
      <c r="D187" s="67"/>
      <c r="E187" s="68"/>
      <c r="F187" s="69"/>
      <c r="G187" s="69"/>
      <c r="H187" s="69"/>
      <c r="I187" s="67"/>
      <c r="K187" s="67"/>
      <c r="L187" s="67"/>
      <c r="M187" s="67"/>
      <c r="N187" s="67"/>
      <c r="O187" s="67"/>
      <c r="P187" s="67"/>
      <c r="Q187" s="67"/>
      <c r="R187" s="67"/>
    </row>
    <row r="188" spans="1:1322">
      <c r="A188" s="70"/>
    </row>
    <row r="189" spans="1:1322" s="65" customFormat="1">
      <c r="A189" s="67"/>
      <c r="C189" s="67"/>
      <c r="D189" s="67"/>
      <c r="E189" s="68"/>
      <c r="F189" s="69"/>
      <c r="G189" s="69"/>
      <c r="H189" s="69"/>
      <c r="I189" s="67"/>
      <c r="K189" s="67"/>
      <c r="L189" s="67"/>
      <c r="M189" s="67"/>
      <c r="N189" s="67"/>
      <c r="O189" s="67"/>
      <c r="P189" s="67"/>
      <c r="Q189" s="67"/>
      <c r="R189" s="67"/>
    </row>
    <row r="190" spans="1:1322" s="65" customFormat="1">
      <c r="A190" s="67"/>
      <c r="C190" s="67"/>
      <c r="D190" s="67"/>
      <c r="E190" s="68"/>
      <c r="F190" s="69"/>
      <c r="G190" s="69"/>
      <c r="H190" s="69"/>
      <c r="I190" s="67"/>
      <c r="K190" s="67"/>
      <c r="L190" s="67"/>
      <c r="M190" s="67"/>
      <c r="N190" s="67"/>
      <c r="O190" s="67"/>
      <c r="P190" s="67"/>
      <c r="Q190" s="67"/>
      <c r="R190" s="67"/>
    </row>
    <row r="191" spans="1:1322">
      <c r="A191" s="70"/>
    </row>
    <row r="193" spans="1:18">
      <c r="B193" s="65" t="s">
        <v>263</v>
      </c>
    </row>
    <row r="194" spans="1:18">
      <c r="A194" s="66"/>
    </row>
    <row r="195" spans="1:18">
      <c r="A195" s="66"/>
    </row>
    <row r="196" spans="1:18">
      <c r="A196" s="66"/>
    </row>
    <row r="197" spans="1:18">
      <c r="A197" s="66"/>
    </row>
    <row r="198" spans="1:18">
      <c r="A198" s="66"/>
    </row>
    <row r="199" spans="1:18">
      <c r="A199" s="66"/>
    </row>
    <row r="200" spans="1:18">
      <c r="A200" s="66"/>
    </row>
    <row r="201" spans="1:18">
      <c r="A201" s="66"/>
    </row>
    <row r="202" spans="1:18">
      <c r="A202" s="66"/>
    </row>
    <row r="203" spans="1:18">
      <c r="A203" s="66"/>
    </row>
    <row r="204" spans="1:18">
      <c r="A204" s="66"/>
    </row>
    <row r="205" spans="1:18">
      <c r="A205" s="66"/>
    </row>
    <row r="206" spans="1:18">
      <c r="A206" s="66"/>
    </row>
    <row r="207" spans="1:18">
      <c r="A207" s="66"/>
    </row>
    <row r="208" spans="1:18" s="65" customFormat="1">
      <c r="A208" s="66"/>
      <c r="C208" s="67"/>
      <c r="D208" s="67"/>
      <c r="E208" s="68"/>
      <c r="F208" s="69"/>
      <c r="G208" s="69"/>
      <c r="H208" s="69"/>
      <c r="I208" s="67"/>
      <c r="K208" s="67"/>
      <c r="L208" s="67"/>
      <c r="M208" s="67"/>
      <c r="N208" s="67"/>
      <c r="O208" s="67"/>
      <c r="P208" s="67"/>
      <c r="Q208" s="67"/>
      <c r="R208" s="67"/>
    </row>
    <row r="209" spans="1:18" s="65" customFormat="1">
      <c r="A209" s="71"/>
      <c r="C209" s="67"/>
      <c r="D209" s="67"/>
      <c r="E209" s="68"/>
      <c r="F209" s="69"/>
      <c r="G209" s="69"/>
      <c r="H209" s="69"/>
      <c r="I209" s="67"/>
      <c r="K209" s="67"/>
      <c r="L209" s="67"/>
      <c r="M209" s="67"/>
      <c r="N209" s="67"/>
      <c r="O209" s="67"/>
      <c r="P209" s="67"/>
      <c r="Q209" s="67"/>
      <c r="R209" s="67"/>
    </row>
    <row r="210" spans="1:18" s="65" customFormat="1">
      <c r="A210" s="66"/>
      <c r="C210" s="67"/>
      <c r="D210" s="67"/>
      <c r="E210" s="68"/>
      <c r="F210" s="69"/>
      <c r="G210" s="69"/>
      <c r="H210" s="69"/>
      <c r="I210" s="67"/>
      <c r="K210" s="67"/>
      <c r="L210" s="67"/>
      <c r="M210" s="67"/>
      <c r="N210" s="67"/>
      <c r="O210" s="67"/>
      <c r="P210" s="67"/>
      <c r="Q210" s="67"/>
      <c r="R210" s="67"/>
    </row>
    <row r="211" spans="1:18" s="65" customFormat="1">
      <c r="A211" s="66"/>
      <c r="C211" s="67"/>
      <c r="D211" s="67"/>
      <c r="E211" s="68"/>
      <c r="F211" s="69"/>
      <c r="G211" s="69"/>
      <c r="H211" s="69"/>
      <c r="I211" s="67"/>
      <c r="K211" s="67"/>
      <c r="L211" s="67"/>
      <c r="M211" s="67"/>
      <c r="N211" s="67"/>
      <c r="O211" s="67"/>
      <c r="P211" s="67"/>
      <c r="Q211" s="67"/>
      <c r="R211" s="67"/>
    </row>
    <row r="212" spans="1:18" s="65" customFormat="1">
      <c r="A212" s="71"/>
      <c r="C212" s="67"/>
      <c r="D212" s="67"/>
      <c r="E212" s="68"/>
      <c r="F212" s="69"/>
      <c r="G212" s="69"/>
      <c r="H212" s="69"/>
      <c r="I212" s="67"/>
      <c r="K212" s="67"/>
      <c r="L212" s="67"/>
      <c r="M212" s="67"/>
      <c r="N212" s="67"/>
      <c r="O212" s="67"/>
      <c r="P212" s="67"/>
      <c r="Q212" s="67"/>
      <c r="R212" s="67"/>
    </row>
    <row r="213" spans="1:18" s="65" customFormat="1">
      <c r="A213" s="71"/>
      <c r="C213" s="67"/>
      <c r="D213" s="67"/>
      <c r="E213" s="68"/>
      <c r="F213" s="69"/>
      <c r="G213" s="69"/>
      <c r="H213" s="69"/>
      <c r="I213" s="67"/>
      <c r="K213" s="67"/>
      <c r="L213" s="67"/>
      <c r="M213" s="67"/>
      <c r="N213" s="67"/>
      <c r="O213" s="67"/>
      <c r="P213" s="67"/>
      <c r="Q213" s="67"/>
      <c r="R213" s="67"/>
    </row>
    <row r="214" spans="1:18" s="65" customFormat="1">
      <c r="A214" s="66"/>
      <c r="C214" s="67"/>
      <c r="D214" s="67"/>
      <c r="E214" s="68"/>
      <c r="F214" s="69"/>
      <c r="G214" s="69"/>
      <c r="H214" s="69"/>
      <c r="I214" s="67"/>
      <c r="K214" s="67"/>
      <c r="L214" s="67"/>
      <c r="M214" s="67"/>
      <c r="N214" s="67"/>
      <c r="O214" s="67"/>
      <c r="P214" s="67"/>
      <c r="Q214" s="67"/>
      <c r="R214" s="67"/>
    </row>
    <row r="215" spans="1:18" s="65" customFormat="1">
      <c r="A215" s="66"/>
      <c r="C215" s="67"/>
      <c r="D215" s="67"/>
      <c r="E215" s="68"/>
      <c r="F215" s="69"/>
      <c r="G215" s="69"/>
      <c r="H215" s="69"/>
      <c r="I215" s="67"/>
      <c r="K215" s="67"/>
      <c r="L215" s="67"/>
      <c r="M215" s="67"/>
      <c r="N215" s="67"/>
      <c r="O215" s="67"/>
      <c r="P215" s="67"/>
      <c r="Q215" s="67"/>
      <c r="R215" s="67"/>
    </row>
    <row r="216" spans="1:18" s="65" customFormat="1">
      <c r="A216" s="66"/>
      <c r="C216" s="67"/>
      <c r="D216" s="67"/>
      <c r="E216" s="68"/>
      <c r="F216" s="69"/>
      <c r="G216" s="69"/>
      <c r="H216" s="69"/>
      <c r="I216" s="67"/>
      <c r="K216" s="67"/>
      <c r="L216" s="67"/>
      <c r="M216" s="67"/>
      <c r="N216" s="67"/>
      <c r="O216" s="67"/>
      <c r="P216" s="67"/>
      <c r="Q216" s="67"/>
      <c r="R216" s="67"/>
    </row>
    <row r="217" spans="1:18" s="65" customFormat="1">
      <c r="A217" s="66"/>
      <c r="C217" s="67"/>
      <c r="D217" s="67"/>
      <c r="E217" s="68"/>
      <c r="F217" s="69"/>
      <c r="G217" s="69"/>
      <c r="H217" s="69"/>
      <c r="I217" s="67"/>
      <c r="K217" s="67"/>
      <c r="L217" s="67"/>
      <c r="M217" s="67"/>
      <c r="N217" s="67"/>
      <c r="O217" s="67"/>
      <c r="P217" s="67"/>
      <c r="Q217" s="67"/>
      <c r="R217" s="67"/>
    </row>
    <row r="218" spans="1:18" s="65" customFormat="1">
      <c r="A218" s="72"/>
      <c r="C218" s="67"/>
      <c r="D218" s="67"/>
      <c r="E218" s="68"/>
      <c r="F218" s="69"/>
      <c r="G218" s="69"/>
      <c r="H218" s="69"/>
      <c r="I218" s="67"/>
      <c r="K218" s="67"/>
      <c r="L218" s="67"/>
      <c r="M218" s="67"/>
      <c r="N218" s="67"/>
      <c r="O218" s="67"/>
      <c r="P218" s="67"/>
      <c r="Q218" s="67"/>
      <c r="R218" s="67"/>
    </row>
    <row r="219" spans="1:18" s="65" customFormat="1">
      <c r="A219" s="66"/>
      <c r="C219" s="67"/>
      <c r="D219" s="67"/>
      <c r="E219" s="68"/>
      <c r="F219" s="69"/>
      <c r="G219" s="69"/>
      <c r="H219" s="69"/>
      <c r="I219" s="67"/>
      <c r="K219" s="67"/>
      <c r="L219" s="67"/>
      <c r="M219" s="67"/>
      <c r="N219" s="67"/>
      <c r="O219" s="67"/>
      <c r="P219" s="67"/>
      <c r="Q219" s="67"/>
      <c r="R219" s="67"/>
    </row>
    <row r="220" spans="1:18" s="65" customFormat="1">
      <c r="A220" s="73"/>
      <c r="C220" s="67"/>
      <c r="D220" s="67"/>
      <c r="E220" s="68"/>
      <c r="F220" s="69"/>
      <c r="G220" s="69"/>
      <c r="H220" s="69"/>
      <c r="I220" s="67"/>
      <c r="K220" s="67"/>
      <c r="L220" s="67"/>
      <c r="M220" s="67"/>
      <c r="N220" s="67"/>
      <c r="O220" s="67"/>
      <c r="P220" s="67"/>
      <c r="Q220" s="67"/>
      <c r="R220" s="67"/>
    </row>
    <row r="221" spans="1:18" s="65" customFormat="1">
      <c r="A221" s="73"/>
      <c r="C221" s="67"/>
      <c r="D221" s="67"/>
      <c r="E221" s="68"/>
      <c r="F221" s="69"/>
      <c r="G221" s="69"/>
      <c r="H221" s="69"/>
      <c r="I221" s="67"/>
      <c r="K221" s="67"/>
      <c r="L221" s="67"/>
      <c r="M221" s="67"/>
      <c r="N221" s="67"/>
      <c r="O221" s="67"/>
      <c r="P221" s="67"/>
      <c r="Q221" s="67"/>
      <c r="R221" s="67"/>
    </row>
    <row r="222" spans="1:18" s="65" customFormat="1">
      <c r="A222" s="66"/>
      <c r="C222" s="67"/>
      <c r="D222" s="67"/>
      <c r="E222" s="68"/>
      <c r="F222" s="69"/>
      <c r="G222" s="69"/>
      <c r="H222" s="69"/>
      <c r="I222" s="67"/>
      <c r="K222" s="67"/>
      <c r="L222" s="67"/>
      <c r="M222" s="67"/>
      <c r="N222" s="67"/>
      <c r="O222" s="67"/>
      <c r="P222" s="67"/>
      <c r="Q222" s="67"/>
      <c r="R222" s="67"/>
    </row>
    <row r="223" spans="1:18" s="65" customFormat="1">
      <c r="A223" s="73"/>
      <c r="C223" s="67"/>
      <c r="D223" s="67"/>
      <c r="E223" s="68"/>
      <c r="F223" s="69"/>
      <c r="G223" s="69"/>
      <c r="H223" s="69"/>
      <c r="I223" s="67"/>
      <c r="K223" s="67"/>
      <c r="L223" s="67"/>
      <c r="M223" s="67"/>
      <c r="N223" s="67"/>
      <c r="O223" s="67"/>
      <c r="P223" s="67"/>
      <c r="Q223" s="67"/>
      <c r="R223" s="67"/>
    </row>
    <row r="224" spans="1:18" s="65" customFormat="1">
      <c r="A224" s="147"/>
      <c r="C224" s="67"/>
      <c r="D224" s="67"/>
      <c r="E224" s="68"/>
      <c r="F224" s="69"/>
      <c r="G224" s="69"/>
      <c r="H224" s="69"/>
      <c r="I224" s="67"/>
      <c r="K224" s="67"/>
      <c r="L224" s="67"/>
      <c r="M224" s="67"/>
      <c r="N224" s="67"/>
      <c r="O224" s="67"/>
      <c r="P224" s="67"/>
      <c r="Q224" s="67"/>
      <c r="R224" s="67"/>
    </row>
    <row r="225" spans="1:18" s="65" customFormat="1">
      <c r="A225" s="71"/>
      <c r="C225" s="67"/>
      <c r="D225" s="67"/>
      <c r="E225" s="68"/>
      <c r="F225" s="69"/>
      <c r="G225" s="69"/>
      <c r="H225" s="69"/>
      <c r="I225" s="67"/>
      <c r="K225" s="67"/>
      <c r="L225" s="67"/>
      <c r="M225" s="67"/>
      <c r="N225" s="67"/>
      <c r="O225" s="67"/>
      <c r="P225" s="67"/>
      <c r="Q225" s="67"/>
      <c r="R225" s="67"/>
    </row>
    <row r="226" spans="1:18" s="65" customFormat="1">
      <c r="A226" s="66"/>
      <c r="C226" s="67"/>
      <c r="D226" s="67"/>
      <c r="E226" s="68"/>
      <c r="F226" s="69"/>
      <c r="G226" s="69"/>
      <c r="H226" s="69"/>
      <c r="I226" s="67"/>
      <c r="K226" s="67"/>
      <c r="L226" s="67"/>
      <c r="M226" s="67"/>
      <c r="N226" s="67"/>
      <c r="O226" s="67"/>
      <c r="P226" s="67"/>
      <c r="Q226" s="67"/>
      <c r="R226" s="67"/>
    </row>
    <row r="227" spans="1:18" s="65" customFormat="1">
      <c r="A227" s="66"/>
      <c r="C227" s="67"/>
      <c r="D227" s="67"/>
      <c r="E227" s="68"/>
      <c r="F227" s="69"/>
      <c r="G227" s="69"/>
      <c r="H227" s="69"/>
      <c r="I227" s="67"/>
      <c r="K227" s="67"/>
      <c r="L227" s="67"/>
      <c r="M227" s="67"/>
      <c r="N227" s="67"/>
      <c r="O227" s="67"/>
      <c r="P227" s="67"/>
      <c r="Q227" s="67"/>
      <c r="R227" s="67"/>
    </row>
    <row r="228" spans="1:18" s="65" customFormat="1">
      <c r="A228" s="66"/>
      <c r="C228" s="67"/>
      <c r="D228" s="67"/>
      <c r="E228" s="68"/>
      <c r="F228" s="69"/>
      <c r="G228" s="69"/>
      <c r="H228" s="69"/>
      <c r="I228" s="67"/>
      <c r="K228" s="67"/>
      <c r="L228" s="67"/>
      <c r="M228" s="67"/>
      <c r="N228" s="67"/>
      <c r="O228" s="67"/>
      <c r="P228" s="67"/>
      <c r="Q228" s="67"/>
      <c r="R228" s="67"/>
    </row>
    <row r="229" spans="1:18" s="65" customFormat="1">
      <c r="A229" s="66"/>
      <c r="C229" s="67"/>
      <c r="D229" s="67"/>
      <c r="E229" s="68"/>
      <c r="F229" s="69"/>
      <c r="G229" s="69"/>
      <c r="H229" s="69"/>
      <c r="I229" s="67"/>
      <c r="K229" s="67"/>
      <c r="L229" s="67"/>
      <c r="M229" s="67"/>
      <c r="N229" s="67"/>
      <c r="O229" s="67"/>
      <c r="P229" s="67"/>
      <c r="Q229" s="67"/>
      <c r="R229" s="67"/>
    </row>
    <row r="230" spans="1:18" s="65" customFormat="1">
      <c r="A230" s="66"/>
      <c r="C230" s="67"/>
      <c r="D230" s="67"/>
      <c r="E230" s="68"/>
      <c r="F230" s="69"/>
      <c r="G230" s="69"/>
      <c r="H230" s="69"/>
      <c r="I230" s="67"/>
      <c r="K230" s="67"/>
      <c r="L230" s="67"/>
      <c r="M230" s="67"/>
      <c r="N230" s="67"/>
      <c r="O230" s="67"/>
      <c r="P230" s="67"/>
      <c r="Q230" s="67"/>
      <c r="R230" s="67"/>
    </row>
    <row r="231" spans="1:18" s="65" customFormat="1">
      <c r="A231" s="66"/>
      <c r="C231" s="67"/>
      <c r="D231" s="67"/>
      <c r="E231" s="68"/>
      <c r="F231" s="69"/>
      <c r="G231" s="69"/>
      <c r="H231" s="69"/>
      <c r="I231" s="67"/>
      <c r="K231" s="67"/>
      <c r="L231" s="67"/>
      <c r="M231" s="67"/>
      <c r="N231" s="67"/>
      <c r="O231" s="67"/>
      <c r="P231" s="67"/>
      <c r="Q231" s="67"/>
      <c r="R231" s="67"/>
    </row>
    <row r="232" spans="1:18" s="65" customFormat="1">
      <c r="A232" s="66"/>
      <c r="C232" s="67"/>
      <c r="D232" s="67"/>
      <c r="E232" s="68"/>
      <c r="F232" s="69"/>
      <c r="G232" s="69"/>
      <c r="H232" s="69"/>
      <c r="I232" s="67"/>
      <c r="K232" s="67"/>
      <c r="L232" s="67"/>
      <c r="M232" s="67"/>
      <c r="N232" s="67"/>
      <c r="O232" s="67"/>
      <c r="P232" s="67"/>
      <c r="Q232" s="67"/>
      <c r="R232" s="67"/>
    </row>
    <row r="233" spans="1:18" s="65" customFormat="1">
      <c r="A233" s="66"/>
      <c r="C233" s="67"/>
      <c r="D233" s="67"/>
      <c r="E233" s="68"/>
      <c r="F233" s="69"/>
      <c r="G233" s="69"/>
      <c r="H233" s="69"/>
      <c r="I233" s="67"/>
      <c r="K233" s="67"/>
      <c r="L233" s="67"/>
      <c r="M233" s="67"/>
      <c r="N233" s="67"/>
      <c r="O233" s="67"/>
      <c r="P233" s="67"/>
      <c r="Q233" s="67"/>
      <c r="R233" s="67"/>
    </row>
    <row r="234" spans="1:18" s="65" customFormat="1">
      <c r="A234" s="66"/>
      <c r="C234" s="67"/>
      <c r="D234" s="67"/>
      <c r="E234" s="68"/>
      <c r="F234" s="69"/>
      <c r="G234" s="69"/>
      <c r="H234" s="69"/>
      <c r="I234" s="67"/>
      <c r="K234" s="67"/>
      <c r="L234" s="67"/>
      <c r="M234" s="67"/>
      <c r="N234" s="67"/>
      <c r="O234" s="67"/>
      <c r="P234" s="67"/>
      <c r="Q234" s="67"/>
      <c r="R234" s="67"/>
    </row>
    <row r="235" spans="1:18" s="65" customFormat="1">
      <c r="A235" s="66"/>
      <c r="C235" s="67"/>
      <c r="D235" s="67"/>
      <c r="E235" s="68"/>
      <c r="F235" s="69"/>
      <c r="G235" s="69"/>
      <c r="H235" s="69"/>
      <c r="I235" s="67"/>
      <c r="K235" s="67"/>
      <c r="L235" s="67"/>
      <c r="M235" s="67"/>
      <c r="N235" s="67"/>
      <c r="O235" s="67"/>
      <c r="P235" s="67"/>
      <c r="Q235" s="67"/>
      <c r="R235" s="67"/>
    </row>
    <row r="236" spans="1:18" s="65" customFormat="1">
      <c r="A236" s="66"/>
      <c r="C236" s="67"/>
      <c r="D236" s="67"/>
      <c r="E236" s="68"/>
      <c r="F236" s="69"/>
      <c r="G236" s="69"/>
      <c r="H236" s="69"/>
      <c r="I236" s="67"/>
      <c r="K236" s="67"/>
      <c r="L236" s="67"/>
      <c r="M236" s="67"/>
      <c r="N236" s="67"/>
      <c r="O236" s="67"/>
      <c r="P236" s="67"/>
      <c r="Q236" s="67"/>
      <c r="R236" s="67"/>
    </row>
    <row r="237" spans="1:18" s="65" customFormat="1">
      <c r="A237" s="66"/>
      <c r="C237" s="67"/>
      <c r="D237" s="67"/>
      <c r="E237" s="68"/>
      <c r="F237" s="69"/>
      <c r="G237" s="69"/>
      <c r="H237" s="69"/>
      <c r="I237" s="67"/>
      <c r="K237" s="67"/>
      <c r="L237" s="67"/>
      <c r="M237" s="67"/>
      <c r="N237" s="67"/>
      <c r="O237" s="67"/>
      <c r="P237" s="67"/>
      <c r="Q237" s="67"/>
      <c r="R237" s="67"/>
    </row>
    <row r="238" spans="1:18" s="65" customFormat="1">
      <c r="A238" s="66"/>
      <c r="C238" s="67"/>
      <c r="D238" s="67"/>
      <c r="E238" s="68"/>
      <c r="F238" s="69"/>
      <c r="G238" s="69"/>
      <c r="H238" s="69"/>
      <c r="I238" s="67"/>
      <c r="K238" s="67"/>
      <c r="L238" s="67"/>
      <c r="M238" s="67"/>
      <c r="N238" s="67"/>
      <c r="O238" s="67"/>
      <c r="P238" s="67"/>
      <c r="Q238" s="67"/>
      <c r="R238" s="67"/>
    </row>
    <row r="239" spans="1:18" s="65" customFormat="1">
      <c r="A239" s="66"/>
      <c r="C239" s="67"/>
      <c r="D239" s="67"/>
      <c r="E239" s="68"/>
      <c r="F239" s="69"/>
      <c r="G239" s="69"/>
      <c r="H239" s="69"/>
      <c r="I239" s="67"/>
      <c r="K239" s="67"/>
      <c r="L239" s="67"/>
      <c r="M239" s="67"/>
      <c r="N239" s="67"/>
      <c r="O239" s="67"/>
      <c r="P239" s="67"/>
      <c r="Q239" s="67"/>
      <c r="R239" s="67"/>
    </row>
    <row r="240" spans="1:18" s="65" customFormat="1">
      <c r="A240" s="66"/>
      <c r="C240" s="67"/>
      <c r="D240" s="67"/>
      <c r="E240" s="68"/>
      <c r="F240" s="69"/>
      <c r="G240" s="69"/>
      <c r="H240" s="69"/>
      <c r="I240" s="67"/>
      <c r="K240" s="67"/>
      <c r="L240" s="67"/>
      <c r="M240" s="67"/>
      <c r="N240" s="67"/>
      <c r="O240" s="67"/>
      <c r="P240" s="67"/>
      <c r="Q240" s="67"/>
      <c r="R240" s="67"/>
    </row>
    <row r="241" spans="1:18" s="65" customFormat="1">
      <c r="A241" s="66"/>
      <c r="C241" s="67"/>
      <c r="D241" s="67"/>
      <c r="E241" s="68"/>
      <c r="F241" s="69"/>
      <c r="G241" s="69"/>
      <c r="H241" s="69"/>
      <c r="I241" s="67"/>
      <c r="K241" s="67"/>
      <c r="L241" s="67"/>
      <c r="M241" s="67"/>
      <c r="N241" s="67"/>
      <c r="O241" s="67"/>
      <c r="P241" s="67"/>
      <c r="Q241" s="67"/>
      <c r="R241" s="67"/>
    </row>
    <row r="242" spans="1:18" s="65" customFormat="1">
      <c r="A242" s="66"/>
      <c r="C242" s="67"/>
      <c r="D242" s="67"/>
      <c r="E242" s="68"/>
      <c r="F242" s="69"/>
      <c r="G242" s="69"/>
      <c r="H242" s="69"/>
      <c r="I242" s="67"/>
      <c r="K242" s="67"/>
      <c r="L242" s="67"/>
      <c r="M242" s="67"/>
      <c r="N242" s="67"/>
      <c r="O242" s="67"/>
      <c r="P242" s="67"/>
      <c r="Q242" s="67"/>
      <c r="R242" s="67"/>
    </row>
    <row r="243" spans="1:18" s="65" customFormat="1">
      <c r="A243" s="66"/>
      <c r="C243" s="67"/>
      <c r="D243" s="67"/>
      <c r="E243" s="68"/>
      <c r="F243" s="69"/>
      <c r="G243" s="69"/>
      <c r="H243" s="69"/>
      <c r="I243" s="67"/>
      <c r="K243" s="67"/>
      <c r="L243" s="67"/>
      <c r="M243" s="67"/>
      <c r="N243" s="67"/>
      <c r="O243" s="67"/>
      <c r="P243" s="67"/>
      <c r="Q243" s="67"/>
      <c r="R243" s="67"/>
    </row>
    <row r="244" spans="1:18" s="65" customFormat="1">
      <c r="A244" s="66"/>
      <c r="C244" s="67"/>
      <c r="D244" s="67"/>
      <c r="E244" s="68"/>
      <c r="F244" s="69"/>
      <c r="G244" s="69"/>
      <c r="H244" s="69"/>
      <c r="I244" s="67"/>
      <c r="K244" s="67"/>
      <c r="L244" s="67"/>
      <c r="M244" s="67"/>
      <c r="N244" s="67"/>
      <c r="O244" s="67"/>
      <c r="P244" s="67"/>
      <c r="Q244" s="67"/>
      <c r="R244" s="67"/>
    </row>
    <row r="245" spans="1:18" s="65" customFormat="1">
      <c r="A245" s="66"/>
      <c r="C245" s="67"/>
      <c r="D245" s="67"/>
      <c r="E245" s="68"/>
      <c r="F245" s="69"/>
      <c r="G245" s="69"/>
      <c r="H245" s="69"/>
      <c r="I245" s="67"/>
      <c r="K245" s="67"/>
      <c r="L245" s="67"/>
      <c r="M245" s="67"/>
      <c r="N245" s="67"/>
      <c r="O245" s="67"/>
      <c r="P245" s="67"/>
      <c r="Q245" s="67"/>
      <c r="R245" s="67"/>
    </row>
    <row r="246" spans="1:18" s="65" customFormat="1">
      <c r="A246" s="66"/>
      <c r="C246" s="67"/>
      <c r="D246" s="67"/>
      <c r="E246" s="68"/>
      <c r="F246" s="69"/>
      <c r="G246" s="69"/>
      <c r="H246" s="69"/>
      <c r="I246" s="67"/>
      <c r="K246" s="67"/>
      <c r="L246" s="67"/>
      <c r="M246" s="67"/>
      <c r="N246" s="67"/>
      <c r="O246" s="67"/>
      <c r="P246" s="67"/>
      <c r="Q246" s="67"/>
      <c r="R246" s="67"/>
    </row>
    <row r="247" spans="1:18" s="65" customFormat="1">
      <c r="A247" s="66"/>
      <c r="C247" s="67"/>
      <c r="D247" s="67"/>
      <c r="E247" s="68"/>
      <c r="F247" s="69"/>
      <c r="G247" s="69"/>
      <c r="H247" s="69"/>
      <c r="I247" s="67"/>
      <c r="K247" s="67"/>
      <c r="L247" s="67"/>
      <c r="M247" s="67"/>
      <c r="N247" s="67"/>
      <c r="O247" s="67"/>
      <c r="P247" s="67"/>
      <c r="Q247" s="67"/>
      <c r="R247" s="67"/>
    </row>
    <row r="248" spans="1:18" s="65" customFormat="1">
      <c r="A248" s="66"/>
      <c r="C248" s="67"/>
      <c r="D248" s="67"/>
      <c r="E248" s="68"/>
      <c r="F248" s="69"/>
      <c r="G248" s="69"/>
      <c r="H248" s="69"/>
      <c r="I248" s="67"/>
      <c r="K248" s="67"/>
      <c r="L248" s="67"/>
      <c r="M248" s="67"/>
      <c r="N248" s="67"/>
      <c r="O248" s="67"/>
      <c r="P248" s="67"/>
      <c r="Q248" s="67"/>
      <c r="R248" s="67"/>
    </row>
    <row r="249" spans="1:18" s="65" customFormat="1">
      <c r="A249" s="66"/>
      <c r="C249" s="67"/>
      <c r="D249" s="67"/>
      <c r="E249" s="68"/>
      <c r="F249" s="69"/>
      <c r="G249" s="69"/>
      <c r="H249" s="69"/>
      <c r="I249" s="67"/>
      <c r="K249" s="67"/>
      <c r="L249" s="67"/>
      <c r="M249" s="67"/>
      <c r="N249" s="67"/>
      <c r="O249" s="67"/>
      <c r="P249" s="67"/>
      <c r="Q249" s="67"/>
      <c r="R249" s="67"/>
    </row>
    <row r="250" spans="1:18" s="65" customFormat="1">
      <c r="A250" s="66"/>
      <c r="C250" s="67"/>
      <c r="D250" s="67"/>
      <c r="E250" s="68"/>
      <c r="F250" s="69"/>
      <c r="G250" s="69"/>
      <c r="H250" s="69"/>
      <c r="I250" s="67"/>
      <c r="K250" s="67"/>
      <c r="L250" s="67"/>
      <c r="M250" s="67"/>
      <c r="N250" s="67"/>
      <c r="O250" s="67"/>
      <c r="P250" s="67"/>
      <c r="Q250" s="67"/>
      <c r="R250" s="67"/>
    </row>
    <row r="251" spans="1:18" s="65" customFormat="1">
      <c r="A251" s="66"/>
      <c r="C251" s="67"/>
      <c r="D251" s="67"/>
      <c r="E251" s="68"/>
      <c r="F251" s="69"/>
      <c r="G251" s="69"/>
      <c r="H251" s="69"/>
      <c r="I251" s="67"/>
      <c r="K251" s="67"/>
      <c r="L251" s="67"/>
      <c r="M251" s="67"/>
      <c r="N251" s="67"/>
      <c r="O251" s="67"/>
      <c r="P251" s="67"/>
      <c r="Q251" s="67"/>
      <c r="R251" s="67"/>
    </row>
    <row r="252" spans="1:18" s="65" customFormat="1">
      <c r="A252" s="66"/>
      <c r="C252" s="67"/>
      <c r="D252" s="67"/>
      <c r="E252" s="68"/>
      <c r="F252" s="69"/>
      <c r="G252" s="69"/>
      <c r="H252" s="69"/>
      <c r="I252" s="67"/>
      <c r="K252" s="67"/>
      <c r="L252" s="67"/>
      <c r="M252" s="67"/>
      <c r="N252" s="67"/>
      <c r="O252" s="67"/>
      <c r="P252" s="67"/>
      <c r="Q252" s="67"/>
      <c r="R252" s="67"/>
    </row>
    <row r="253" spans="1:18" s="65" customFormat="1">
      <c r="A253" s="66"/>
      <c r="C253" s="67"/>
      <c r="D253" s="67"/>
      <c r="E253" s="68"/>
      <c r="F253" s="69"/>
      <c r="G253" s="69"/>
      <c r="H253" s="69"/>
      <c r="I253" s="67"/>
      <c r="K253" s="67"/>
      <c r="L253" s="67"/>
      <c r="M253" s="67"/>
      <c r="N253" s="67"/>
      <c r="O253" s="67"/>
      <c r="P253" s="67"/>
      <c r="Q253" s="67"/>
      <c r="R253" s="67"/>
    </row>
    <row r="254" spans="1:18" s="65" customFormat="1">
      <c r="A254" s="66"/>
      <c r="C254" s="67"/>
      <c r="D254" s="67"/>
      <c r="E254" s="68"/>
      <c r="F254" s="69"/>
      <c r="G254" s="69"/>
      <c r="H254" s="69"/>
      <c r="I254" s="67"/>
      <c r="K254" s="67"/>
      <c r="L254" s="67"/>
      <c r="M254" s="67"/>
      <c r="N254" s="67"/>
      <c r="O254" s="67"/>
      <c r="P254" s="67"/>
      <c r="Q254" s="67"/>
      <c r="R254" s="67"/>
    </row>
    <row r="255" spans="1:18" s="65" customFormat="1">
      <c r="A255" s="66"/>
      <c r="C255" s="67"/>
      <c r="D255" s="67"/>
      <c r="E255" s="68"/>
      <c r="F255" s="69"/>
      <c r="G255" s="69"/>
      <c r="H255" s="69"/>
      <c r="I255" s="67"/>
      <c r="K255" s="67"/>
      <c r="L255" s="67"/>
      <c r="M255" s="67"/>
      <c r="N255" s="67"/>
      <c r="O255" s="67"/>
      <c r="P255" s="67"/>
      <c r="Q255" s="67"/>
      <c r="R255" s="67"/>
    </row>
    <row r="256" spans="1:18" s="65" customFormat="1">
      <c r="A256" s="66"/>
      <c r="C256" s="67"/>
      <c r="D256" s="67"/>
      <c r="E256" s="68"/>
      <c r="F256" s="69"/>
      <c r="G256" s="69"/>
      <c r="H256" s="69"/>
      <c r="I256" s="67"/>
      <c r="K256" s="67"/>
      <c r="L256" s="67"/>
      <c r="M256" s="67"/>
      <c r="N256" s="67"/>
      <c r="O256" s="67"/>
      <c r="P256" s="67"/>
      <c r="Q256" s="67"/>
      <c r="R256" s="67"/>
    </row>
    <row r="257" spans="1:18" s="65" customFormat="1">
      <c r="A257" s="66"/>
      <c r="C257" s="67"/>
      <c r="D257" s="67"/>
      <c r="E257" s="68"/>
      <c r="F257" s="69"/>
      <c r="G257" s="69"/>
      <c r="H257" s="69"/>
      <c r="I257" s="67"/>
      <c r="K257" s="67"/>
      <c r="L257" s="67"/>
      <c r="M257" s="67"/>
      <c r="N257" s="67"/>
      <c r="O257" s="67"/>
      <c r="P257" s="67"/>
      <c r="Q257" s="67"/>
      <c r="R257" s="67"/>
    </row>
    <row r="258" spans="1:18" s="65" customFormat="1">
      <c r="A258" s="66"/>
      <c r="C258" s="67"/>
      <c r="D258" s="67"/>
      <c r="E258" s="68"/>
      <c r="F258" s="69"/>
      <c r="G258" s="69"/>
      <c r="H258" s="69"/>
      <c r="I258" s="67"/>
      <c r="K258" s="67"/>
      <c r="L258" s="67"/>
      <c r="M258" s="67"/>
      <c r="N258" s="67"/>
      <c r="O258" s="67"/>
      <c r="P258" s="67"/>
      <c r="Q258" s="67"/>
      <c r="R258" s="67"/>
    </row>
    <row r="259" spans="1:18" s="65" customFormat="1">
      <c r="A259" s="66"/>
      <c r="C259" s="67"/>
      <c r="D259" s="67"/>
      <c r="E259" s="68"/>
      <c r="F259" s="69"/>
      <c r="G259" s="69"/>
      <c r="H259" s="69"/>
      <c r="I259" s="67"/>
      <c r="K259" s="67"/>
      <c r="L259" s="67"/>
      <c r="M259" s="67"/>
      <c r="N259" s="67"/>
      <c r="O259" s="67"/>
      <c r="P259" s="67"/>
      <c r="Q259" s="67"/>
      <c r="R259" s="67"/>
    </row>
    <row r="260" spans="1:18" s="65" customFormat="1">
      <c r="A260" s="66"/>
      <c r="C260" s="67"/>
      <c r="D260" s="67"/>
      <c r="E260" s="68"/>
      <c r="F260" s="69"/>
      <c r="G260" s="69"/>
      <c r="H260" s="69"/>
      <c r="I260" s="67"/>
      <c r="K260" s="67"/>
      <c r="L260" s="67"/>
      <c r="M260" s="67"/>
      <c r="N260" s="67"/>
      <c r="O260" s="67"/>
      <c r="P260" s="67"/>
      <c r="Q260" s="67"/>
      <c r="R260" s="67"/>
    </row>
    <row r="261" spans="1:18" s="65" customFormat="1">
      <c r="A261" s="66"/>
      <c r="C261" s="67"/>
      <c r="D261" s="67"/>
      <c r="E261" s="68"/>
      <c r="F261" s="69"/>
      <c r="G261" s="69"/>
      <c r="H261" s="69"/>
      <c r="I261" s="67"/>
      <c r="K261" s="67"/>
      <c r="L261" s="67"/>
      <c r="M261" s="67"/>
      <c r="N261" s="67"/>
      <c r="O261" s="67"/>
      <c r="P261" s="67"/>
      <c r="Q261" s="67"/>
      <c r="R261" s="67"/>
    </row>
    <row r="262" spans="1:18" s="65" customFormat="1">
      <c r="A262" s="66"/>
      <c r="C262" s="67"/>
      <c r="D262" s="67"/>
      <c r="E262" s="68"/>
      <c r="F262" s="69"/>
      <c r="G262" s="69"/>
      <c r="H262" s="69"/>
      <c r="I262" s="67"/>
      <c r="K262" s="67"/>
      <c r="L262" s="67"/>
      <c r="M262" s="67"/>
      <c r="N262" s="67"/>
      <c r="O262" s="67"/>
      <c r="P262" s="67"/>
      <c r="Q262" s="67"/>
      <c r="R262" s="67"/>
    </row>
    <row r="263" spans="1:18" s="65" customFormat="1">
      <c r="A263" s="66"/>
      <c r="C263" s="67"/>
      <c r="D263" s="67"/>
      <c r="E263" s="68"/>
      <c r="F263" s="69"/>
      <c r="G263" s="69"/>
      <c r="H263" s="69"/>
      <c r="I263" s="67"/>
      <c r="K263" s="67"/>
      <c r="L263" s="67"/>
      <c r="M263" s="67"/>
      <c r="N263" s="67"/>
      <c r="O263" s="67"/>
      <c r="P263" s="67"/>
      <c r="Q263" s="67"/>
      <c r="R263" s="67"/>
    </row>
    <row r="264" spans="1:18" s="65" customFormat="1">
      <c r="A264" s="66"/>
      <c r="C264" s="67"/>
      <c r="D264" s="67"/>
      <c r="E264" s="68"/>
      <c r="F264" s="69"/>
      <c r="G264" s="69"/>
      <c r="H264" s="69"/>
      <c r="I264" s="67"/>
      <c r="K264" s="67"/>
      <c r="L264" s="67"/>
      <c r="M264" s="67"/>
      <c r="N264" s="67"/>
      <c r="O264" s="67"/>
      <c r="P264" s="67"/>
      <c r="Q264" s="67"/>
      <c r="R264" s="67"/>
    </row>
    <row r="265" spans="1:18" s="65" customFormat="1">
      <c r="A265" s="66"/>
      <c r="C265" s="67"/>
      <c r="D265" s="67"/>
      <c r="E265" s="68"/>
      <c r="F265" s="69"/>
      <c r="G265" s="69"/>
      <c r="H265" s="69"/>
      <c r="I265" s="67"/>
      <c r="K265" s="67"/>
      <c r="L265" s="67"/>
      <c r="M265" s="67"/>
      <c r="N265" s="67"/>
      <c r="O265" s="67"/>
      <c r="P265" s="67"/>
      <c r="Q265" s="67"/>
      <c r="R265" s="67"/>
    </row>
    <row r="266" spans="1:18" s="65" customFormat="1">
      <c r="A266" s="66"/>
      <c r="C266" s="67"/>
      <c r="D266" s="67"/>
      <c r="E266" s="68"/>
      <c r="F266" s="69"/>
      <c r="G266" s="69"/>
      <c r="H266" s="69"/>
      <c r="I266" s="67"/>
      <c r="K266" s="67"/>
      <c r="L266" s="67"/>
      <c r="M266" s="67"/>
      <c r="N266" s="67"/>
      <c r="O266" s="67"/>
      <c r="P266" s="67"/>
      <c r="Q266" s="67"/>
      <c r="R266" s="67"/>
    </row>
    <row r="267" spans="1:18" s="65" customFormat="1">
      <c r="A267" s="66"/>
      <c r="C267" s="67"/>
      <c r="D267" s="67"/>
      <c r="E267" s="68"/>
      <c r="F267" s="69"/>
      <c r="G267" s="69"/>
      <c r="H267" s="69"/>
      <c r="I267" s="67"/>
      <c r="K267" s="67"/>
      <c r="L267" s="67"/>
      <c r="M267" s="67"/>
      <c r="N267" s="67"/>
      <c r="O267" s="67"/>
      <c r="P267" s="67"/>
      <c r="Q267" s="67"/>
      <c r="R267" s="67"/>
    </row>
    <row r="268" spans="1:18" s="65" customFormat="1">
      <c r="A268" s="66"/>
      <c r="C268" s="67"/>
      <c r="D268" s="67"/>
      <c r="E268" s="68"/>
      <c r="F268" s="69"/>
      <c r="G268" s="69"/>
      <c r="H268" s="69"/>
      <c r="I268" s="67"/>
      <c r="K268" s="67"/>
      <c r="L268" s="67"/>
      <c r="M268" s="67"/>
      <c r="N268" s="67"/>
      <c r="O268" s="67"/>
      <c r="P268" s="67"/>
      <c r="Q268" s="67"/>
      <c r="R268" s="67"/>
    </row>
    <row r="269" spans="1:18" s="65" customFormat="1">
      <c r="A269" s="66"/>
      <c r="C269" s="67"/>
      <c r="D269" s="67"/>
      <c r="E269" s="68"/>
      <c r="F269" s="69"/>
      <c r="G269" s="69"/>
      <c r="H269" s="69"/>
      <c r="I269" s="67"/>
      <c r="K269" s="67"/>
      <c r="L269" s="67"/>
      <c r="M269" s="67"/>
      <c r="N269" s="67"/>
      <c r="O269" s="67"/>
      <c r="P269" s="67"/>
      <c r="Q269" s="67"/>
      <c r="R269" s="67"/>
    </row>
    <row r="270" spans="1:18" s="65" customFormat="1">
      <c r="A270" s="66"/>
      <c r="C270" s="67"/>
      <c r="D270" s="67"/>
      <c r="E270" s="68"/>
      <c r="F270" s="69"/>
      <c r="G270" s="69"/>
      <c r="H270" s="69"/>
      <c r="I270" s="67"/>
      <c r="K270" s="67"/>
      <c r="L270" s="67"/>
      <c r="M270" s="67"/>
      <c r="N270" s="67"/>
      <c r="O270" s="67"/>
      <c r="P270" s="67"/>
      <c r="Q270" s="67"/>
      <c r="R270" s="67"/>
    </row>
    <row r="271" spans="1:18" s="65" customFormat="1">
      <c r="A271" s="66"/>
      <c r="C271" s="67"/>
      <c r="D271" s="67"/>
      <c r="E271" s="68"/>
      <c r="F271" s="69"/>
      <c r="G271" s="69"/>
      <c r="H271" s="69"/>
      <c r="I271" s="67"/>
      <c r="K271" s="67"/>
      <c r="L271" s="67"/>
      <c r="M271" s="67"/>
      <c r="N271" s="67"/>
      <c r="O271" s="67"/>
      <c r="P271" s="67"/>
      <c r="Q271" s="67"/>
      <c r="R271" s="67"/>
    </row>
    <row r="272" spans="1:18" s="65" customFormat="1">
      <c r="A272" s="66"/>
      <c r="C272" s="67"/>
      <c r="D272" s="67"/>
      <c r="E272" s="68"/>
      <c r="F272" s="69"/>
      <c r="G272" s="69"/>
      <c r="H272" s="69"/>
      <c r="I272" s="67"/>
      <c r="K272" s="67"/>
      <c r="L272" s="67"/>
      <c r="M272" s="67"/>
      <c r="N272" s="67"/>
      <c r="O272" s="67"/>
      <c r="P272" s="67"/>
      <c r="Q272" s="67"/>
      <c r="R272" s="67"/>
    </row>
    <row r="273" spans="1:18" s="65" customFormat="1">
      <c r="A273" s="66"/>
      <c r="C273" s="67"/>
      <c r="D273" s="67"/>
      <c r="E273" s="68"/>
      <c r="F273" s="69"/>
      <c r="G273" s="69"/>
      <c r="H273" s="69"/>
      <c r="I273" s="67"/>
      <c r="K273" s="67"/>
      <c r="L273" s="67"/>
      <c r="M273" s="67"/>
      <c r="N273" s="67"/>
      <c r="O273" s="67"/>
      <c r="P273" s="67"/>
      <c r="Q273" s="67"/>
      <c r="R273" s="67"/>
    </row>
    <row r="274" spans="1:18" s="65" customFormat="1">
      <c r="A274" s="66"/>
      <c r="C274" s="67"/>
      <c r="D274" s="67"/>
      <c r="E274" s="68"/>
      <c r="F274" s="69"/>
      <c r="G274" s="69"/>
      <c r="H274" s="69"/>
      <c r="I274" s="67"/>
      <c r="K274" s="67"/>
      <c r="L274" s="67"/>
      <c r="M274" s="67"/>
      <c r="N274" s="67"/>
      <c r="O274" s="67"/>
      <c r="P274" s="67"/>
      <c r="Q274" s="67"/>
      <c r="R274" s="67"/>
    </row>
    <row r="275" spans="1:18" s="65" customFormat="1">
      <c r="A275" s="66"/>
      <c r="C275" s="67"/>
      <c r="D275" s="67"/>
      <c r="E275" s="68"/>
      <c r="F275" s="69"/>
      <c r="G275" s="69"/>
      <c r="H275" s="69"/>
      <c r="I275" s="67"/>
      <c r="K275" s="67"/>
      <c r="L275" s="67"/>
      <c r="M275" s="67"/>
      <c r="N275" s="67"/>
      <c r="O275" s="67"/>
      <c r="P275" s="67"/>
      <c r="Q275" s="67"/>
      <c r="R275" s="67"/>
    </row>
    <row r="276" spans="1:18" s="65" customFormat="1">
      <c r="A276" s="66"/>
      <c r="C276" s="67"/>
      <c r="D276" s="67"/>
      <c r="E276" s="68"/>
      <c r="F276" s="69"/>
      <c r="G276" s="69"/>
      <c r="H276" s="69"/>
      <c r="I276" s="67"/>
      <c r="K276" s="67"/>
      <c r="L276" s="67"/>
      <c r="M276" s="67"/>
      <c r="N276" s="67"/>
      <c r="O276" s="67"/>
      <c r="P276" s="67"/>
      <c r="Q276" s="67"/>
      <c r="R276" s="67"/>
    </row>
    <row r="277" spans="1:18" s="65" customFormat="1">
      <c r="A277" s="66"/>
      <c r="C277" s="67"/>
      <c r="D277" s="67"/>
      <c r="E277" s="68"/>
      <c r="F277" s="69"/>
      <c r="G277" s="69"/>
      <c r="H277" s="69"/>
      <c r="I277" s="67"/>
      <c r="K277" s="67"/>
      <c r="L277" s="67"/>
      <c r="M277" s="67"/>
      <c r="N277" s="67"/>
      <c r="O277" s="67"/>
      <c r="P277" s="67"/>
      <c r="Q277" s="67"/>
      <c r="R277" s="67"/>
    </row>
    <row r="278" spans="1:18" s="65" customFormat="1">
      <c r="A278" s="66"/>
      <c r="C278" s="67"/>
      <c r="D278" s="67"/>
      <c r="E278" s="68"/>
      <c r="F278" s="69"/>
      <c r="G278" s="69"/>
      <c r="H278" s="69"/>
      <c r="I278" s="67"/>
      <c r="K278" s="67"/>
      <c r="L278" s="67"/>
      <c r="M278" s="67"/>
      <c r="N278" s="67"/>
      <c r="O278" s="67"/>
      <c r="P278" s="67"/>
      <c r="Q278" s="67"/>
      <c r="R278" s="67"/>
    </row>
    <row r="279" spans="1:18" s="65" customFormat="1">
      <c r="A279" s="66"/>
      <c r="C279" s="67"/>
      <c r="D279" s="67"/>
      <c r="E279" s="68"/>
      <c r="F279" s="69"/>
      <c r="G279" s="69"/>
      <c r="H279" s="69"/>
      <c r="I279" s="67"/>
      <c r="K279" s="67"/>
      <c r="L279" s="67"/>
      <c r="M279" s="67"/>
      <c r="N279" s="67"/>
      <c r="O279" s="67"/>
      <c r="P279" s="67"/>
      <c r="Q279" s="67"/>
      <c r="R279" s="67"/>
    </row>
    <row r="280" spans="1:18" s="65" customFormat="1">
      <c r="A280" s="66"/>
      <c r="C280" s="67"/>
      <c r="D280" s="67"/>
      <c r="E280" s="68"/>
      <c r="F280" s="69"/>
      <c r="G280" s="69"/>
      <c r="H280" s="69"/>
      <c r="I280" s="67"/>
      <c r="K280" s="67"/>
      <c r="L280" s="67"/>
      <c r="M280" s="67"/>
      <c r="N280" s="67"/>
      <c r="O280" s="67"/>
      <c r="P280" s="67"/>
      <c r="Q280" s="67"/>
      <c r="R280" s="67"/>
    </row>
    <row r="281" spans="1:18" s="65" customFormat="1">
      <c r="A281" s="66"/>
      <c r="C281" s="67"/>
      <c r="D281" s="67"/>
      <c r="E281" s="68"/>
      <c r="F281" s="69"/>
      <c r="G281" s="69"/>
      <c r="H281" s="69"/>
      <c r="I281" s="67"/>
      <c r="K281" s="67"/>
      <c r="L281" s="67"/>
      <c r="M281" s="67"/>
      <c r="N281" s="67"/>
      <c r="O281" s="67"/>
      <c r="P281" s="67"/>
      <c r="Q281" s="67"/>
      <c r="R281" s="67"/>
    </row>
    <row r="282" spans="1:18" s="65" customFormat="1">
      <c r="A282" s="66"/>
      <c r="C282" s="67"/>
      <c r="D282" s="67"/>
      <c r="E282" s="68"/>
      <c r="F282" s="69"/>
      <c r="G282" s="69"/>
      <c r="H282" s="69"/>
      <c r="I282" s="67"/>
      <c r="K282" s="67"/>
      <c r="L282" s="67"/>
      <c r="M282" s="67"/>
      <c r="N282" s="67"/>
      <c r="O282" s="67"/>
      <c r="P282" s="67"/>
      <c r="Q282" s="67"/>
      <c r="R282" s="67"/>
    </row>
    <row r="283" spans="1:18" s="65" customFormat="1">
      <c r="A283" s="66"/>
      <c r="C283" s="67"/>
      <c r="D283" s="67"/>
      <c r="E283" s="68"/>
      <c r="F283" s="69"/>
      <c r="G283" s="69"/>
      <c r="H283" s="69"/>
      <c r="I283" s="67"/>
      <c r="K283" s="67"/>
      <c r="L283" s="67"/>
      <c r="M283" s="67"/>
      <c r="N283" s="67"/>
      <c r="O283" s="67"/>
      <c r="P283" s="67"/>
      <c r="Q283" s="67"/>
      <c r="R283" s="67"/>
    </row>
    <row r="284" spans="1:18" s="65" customFormat="1">
      <c r="A284" s="66"/>
      <c r="C284" s="67"/>
      <c r="D284" s="67"/>
      <c r="E284" s="68"/>
      <c r="F284" s="69"/>
      <c r="G284" s="69"/>
      <c r="H284" s="69"/>
      <c r="I284" s="67"/>
      <c r="K284" s="67"/>
      <c r="L284" s="67"/>
      <c r="M284" s="67"/>
      <c r="N284" s="67"/>
      <c r="O284" s="67"/>
      <c r="P284" s="67"/>
      <c r="Q284" s="67"/>
      <c r="R284" s="67"/>
    </row>
    <row r="285" spans="1:18" s="65" customFormat="1">
      <c r="A285" s="66"/>
      <c r="C285" s="67"/>
      <c r="D285" s="67"/>
      <c r="E285" s="68"/>
      <c r="F285" s="69"/>
      <c r="G285" s="69"/>
      <c r="H285" s="69"/>
      <c r="I285" s="67"/>
      <c r="K285" s="67"/>
      <c r="L285" s="67"/>
      <c r="M285" s="67"/>
      <c r="N285" s="67"/>
      <c r="O285" s="67"/>
      <c r="P285" s="67"/>
      <c r="Q285" s="67"/>
      <c r="R285" s="67"/>
    </row>
    <row r="286" spans="1:18" s="65" customFormat="1">
      <c r="A286" s="66"/>
      <c r="C286" s="67"/>
      <c r="D286" s="67"/>
      <c r="E286" s="68"/>
      <c r="F286" s="69"/>
      <c r="G286" s="69"/>
      <c r="H286" s="69"/>
      <c r="I286" s="67"/>
      <c r="K286" s="67"/>
      <c r="L286" s="67"/>
      <c r="M286" s="67"/>
      <c r="N286" s="67"/>
      <c r="O286" s="67"/>
      <c r="P286" s="67"/>
      <c r="Q286" s="67"/>
      <c r="R286" s="67"/>
    </row>
    <row r="287" spans="1:18" s="65" customFormat="1">
      <c r="A287" s="66"/>
      <c r="C287" s="67"/>
      <c r="D287" s="67"/>
      <c r="E287" s="68"/>
      <c r="F287" s="69"/>
      <c r="G287" s="69"/>
      <c r="H287" s="69"/>
      <c r="I287" s="67"/>
      <c r="K287" s="67"/>
      <c r="L287" s="67"/>
      <c r="M287" s="67"/>
      <c r="N287" s="67"/>
      <c r="O287" s="67"/>
      <c r="P287" s="67"/>
      <c r="Q287" s="67"/>
      <c r="R287" s="67"/>
    </row>
    <row r="288" spans="1:18" s="65" customFormat="1">
      <c r="A288" s="71"/>
      <c r="C288" s="67"/>
      <c r="D288" s="67"/>
      <c r="E288" s="68"/>
      <c r="F288" s="69"/>
      <c r="G288" s="69"/>
      <c r="H288" s="69"/>
      <c r="I288" s="67"/>
      <c r="K288" s="67"/>
      <c r="L288" s="67"/>
      <c r="M288" s="67"/>
      <c r="N288" s="67"/>
      <c r="O288" s="67"/>
      <c r="P288" s="67"/>
      <c r="Q288" s="67"/>
      <c r="R288" s="67"/>
    </row>
    <row r="289" spans="1:18" s="65" customFormat="1">
      <c r="A289" s="66"/>
      <c r="C289" s="67"/>
      <c r="D289" s="67"/>
      <c r="E289" s="68"/>
      <c r="F289" s="69"/>
      <c r="G289" s="69"/>
      <c r="H289" s="69"/>
      <c r="I289" s="67"/>
      <c r="K289" s="67"/>
      <c r="L289" s="67"/>
      <c r="M289" s="67"/>
      <c r="N289" s="67"/>
      <c r="O289" s="67"/>
      <c r="P289" s="67"/>
      <c r="Q289" s="67"/>
      <c r="R289" s="67"/>
    </row>
    <row r="290" spans="1:18" s="65" customFormat="1">
      <c r="A290" s="66"/>
      <c r="C290" s="67"/>
      <c r="D290" s="67"/>
      <c r="E290" s="68"/>
      <c r="F290" s="69"/>
      <c r="G290" s="69"/>
      <c r="H290" s="69"/>
      <c r="I290" s="67"/>
      <c r="K290" s="67"/>
      <c r="L290" s="67"/>
      <c r="M290" s="67"/>
      <c r="N290" s="67"/>
      <c r="O290" s="67"/>
      <c r="P290" s="67"/>
      <c r="Q290" s="67"/>
      <c r="R290" s="67"/>
    </row>
    <row r="291" spans="1:18" s="65" customFormat="1">
      <c r="A291" s="71"/>
      <c r="C291" s="67"/>
      <c r="D291" s="67"/>
      <c r="E291" s="68"/>
      <c r="F291" s="69"/>
      <c r="G291" s="69"/>
      <c r="H291" s="69"/>
      <c r="I291" s="67"/>
      <c r="K291" s="67"/>
      <c r="L291" s="67"/>
      <c r="M291" s="67"/>
      <c r="N291" s="67"/>
      <c r="O291" s="67"/>
      <c r="P291" s="67"/>
      <c r="Q291" s="67"/>
      <c r="R291" s="67"/>
    </row>
    <row r="292" spans="1:18" s="65" customFormat="1">
      <c r="A292" s="71"/>
      <c r="C292" s="67"/>
      <c r="D292" s="67"/>
      <c r="E292" s="68"/>
      <c r="F292" s="69"/>
      <c r="G292" s="69"/>
      <c r="H292" s="69"/>
      <c r="I292" s="67"/>
      <c r="K292" s="67"/>
      <c r="L292" s="67"/>
      <c r="M292" s="67"/>
      <c r="N292" s="67"/>
      <c r="O292" s="67"/>
      <c r="P292" s="67"/>
      <c r="Q292" s="67"/>
      <c r="R292" s="67"/>
    </row>
    <row r="293" spans="1:18" s="65" customFormat="1">
      <c r="A293" s="66"/>
      <c r="C293" s="67"/>
      <c r="D293" s="67"/>
      <c r="E293" s="68"/>
      <c r="F293" s="69"/>
      <c r="G293" s="69"/>
      <c r="H293" s="69"/>
      <c r="I293" s="67"/>
      <c r="K293" s="67"/>
      <c r="L293" s="67"/>
      <c r="M293" s="67"/>
      <c r="N293" s="67"/>
      <c r="O293" s="67"/>
      <c r="P293" s="67"/>
      <c r="Q293" s="67"/>
      <c r="R293" s="67"/>
    </row>
    <row r="294" spans="1:18" s="65" customFormat="1">
      <c r="A294" s="66"/>
      <c r="C294" s="67"/>
      <c r="D294" s="67"/>
      <c r="E294" s="68"/>
      <c r="F294" s="69"/>
      <c r="G294" s="69"/>
      <c r="H294" s="69"/>
      <c r="I294" s="67"/>
      <c r="K294" s="67"/>
      <c r="L294" s="67"/>
      <c r="M294" s="67"/>
      <c r="N294" s="67"/>
      <c r="O294" s="67"/>
      <c r="P294" s="67"/>
      <c r="Q294" s="67"/>
      <c r="R294" s="67"/>
    </row>
    <row r="295" spans="1:18" s="65" customFormat="1">
      <c r="A295" s="66"/>
      <c r="C295" s="67"/>
      <c r="D295" s="67"/>
      <c r="E295" s="68"/>
      <c r="F295" s="69"/>
      <c r="G295" s="69"/>
      <c r="H295" s="69"/>
      <c r="I295" s="67"/>
      <c r="K295" s="67"/>
      <c r="L295" s="67"/>
      <c r="M295" s="67"/>
      <c r="N295" s="67"/>
      <c r="O295" s="67"/>
      <c r="P295" s="67"/>
      <c r="Q295" s="67"/>
      <c r="R295" s="67"/>
    </row>
    <row r="296" spans="1:18" s="65" customFormat="1">
      <c r="A296" s="66"/>
      <c r="C296" s="67"/>
      <c r="D296" s="67"/>
      <c r="E296" s="68"/>
      <c r="F296" s="69"/>
      <c r="G296" s="69"/>
      <c r="H296" s="69"/>
      <c r="I296" s="67"/>
      <c r="K296" s="67"/>
      <c r="L296" s="67"/>
      <c r="M296" s="67"/>
      <c r="N296" s="67"/>
      <c r="O296" s="67"/>
      <c r="P296" s="67"/>
      <c r="Q296" s="67"/>
      <c r="R296" s="67"/>
    </row>
    <row r="297" spans="1:18" s="65" customFormat="1">
      <c r="A297" s="72"/>
      <c r="C297" s="67"/>
      <c r="D297" s="67"/>
      <c r="E297" s="68"/>
      <c r="F297" s="69"/>
      <c r="G297" s="69"/>
      <c r="H297" s="69"/>
      <c r="I297" s="67"/>
      <c r="K297" s="67"/>
      <c r="L297" s="67"/>
      <c r="M297" s="67"/>
      <c r="N297" s="67"/>
      <c r="O297" s="67"/>
      <c r="P297" s="67"/>
      <c r="Q297" s="67"/>
      <c r="R297" s="67"/>
    </row>
    <row r="298" spans="1:18" s="65" customFormat="1">
      <c r="A298" s="66"/>
      <c r="C298" s="67"/>
      <c r="D298" s="67"/>
      <c r="E298" s="68"/>
      <c r="F298" s="69"/>
      <c r="G298" s="69"/>
      <c r="H298" s="69"/>
      <c r="I298" s="67"/>
      <c r="K298" s="67"/>
      <c r="L298" s="67"/>
      <c r="M298" s="67"/>
      <c r="N298" s="67"/>
      <c r="O298" s="67"/>
      <c r="P298" s="67"/>
      <c r="Q298" s="67"/>
      <c r="R298" s="67"/>
    </row>
    <row r="299" spans="1:18" s="65" customFormat="1">
      <c r="A299" s="73"/>
      <c r="C299" s="67"/>
      <c r="D299" s="67"/>
      <c r="E299" s="68"/>
      <c r="F299" s="69"/>
      <c r="G299" s="69"/>
      <c r="H299" s="69"/>
      <c r="I299" s="67"/>
      <c r="K299" s="67"/>
      <c r="L299" s="67"/>
      <c r="M299" s="67"/>
      <c r="N299" s="67"/>
      <c r="O299" s="67"/>
      <c r="P299" s="67"/>
      <c r="Q299" s="67"/>
      <c r="R299" s="67"/>
    </row>
    <row r="300" spans="1:18" s="65" customFormat="1">
      <c r="A300" s="73"/>
      <c r="C300" s="67"/>
      <c r="D300" s="67"/>
      <c r="E300" s="68"/>
      <c r="F300" s="69"/>
      <c r="G300" s="69"/>
      <c r="H300" s="69"/>
      <c r="I300" s="67"/>
      <c r="K300" s="67"/>
      <c r="L300" s="67"/>
      <c r="M300" s="67"/>
      <c r="N300" s="67"/>
      <c r="O300" s="67"/>
      <c r="P300" s="67"/>
      <c r="Q300" s="67"/>
      <c r="R300" s="67"/>
    </row>
    <row r="301" spans="1:18" s="65" customFormat="1">
      <c r="A301" s="66"/>
      <c r="C301" s="67"/>
      <c r="D301" s="67"/>
      <c r="E301" s="68"/>
      <c r="F301" s="69"/>
      <c r="G301" s="69"/>
      <c r="H301" s="69"/>
      <c r="I301" s="67"/>
      <c r="K301" s="67"/>
      <c r="L301" s="67"/>
      <c r="M301" s="67"/>
      <c r="N301" s="67"/>
      <c r="O301" s="67"/>
      <c r="P301" s="67"/>
      <c r="Q301" s="67"/>
      <c r="R301" s="67"/>
    </row>
    <row r="302" spans="1:18" s="65" customFormat="1">
      <c r="A302" s="73"/>
      <c r="C302" s="67"/>
      <c r="D302" s="67"/>
      <c r="E302" s="68"/>
      <c r="F302" s="69"/>
      <c r="G302" s="69"/>
      <c r="H302" s="69"/>
      <c r="I302" s="67"/>
      <c r="K302" s="67"/>
      <c r="L302" s="67"/>
      <c r="M302" s="67"/>
      <c r="N302" s="67"/>
      <c r="O302" s="67"/>
      <c r="P302" s="67"/>
      <c r="Q302" s="67"/>
      <c r="R302" s="67"/>
    </row>
    <row r="303" spans="1:18" s="65" customFormat="1">
      <c r="A303" s="147"/>
      <c r="C303" s="67"/>
      <c r="D303" s="67"/>
      <c r="E303" s="68"/>
      <c r="F303" s="69"/>
      <c r="G303" s="69"/>
      <c r="H303" s="69"/>
      <c r="I303" s="67"/>
      <c r="K303" s="67"/>
      <c r="L303" s="67"/>
      <c r="M303" s="67"/>
      <c r="N303" s="67"/>
      <c r="O303" s="67"/>
      <c r="P303" s="67"/>
      <c r="Q303" s="67"/>
      <c r="R303" s="67"/>
    </row>
    <row r="304" spans="1:18" s="65" customFormat="1">
      <c r="A304" s="147"/>
      <c r="C304" s="67"/>
      <c r="D304" s="67"/>
      <c r="E304" s="68"/>
      <c r="F304" s="69"/>
      <c r="G304" s="69"/>
      <c r="H304" s="69"/>
      <c r="I304" s="67"/>
      <c r="K304" s="67"/>
      <c r="L304" s="67"/>
      <c r="M304" s="67"/>
      <c r="N304" s="67"/>
      <c r="O304" s="67"/>
      <c r="P304" s="67"/>
      <c r="Q304" s="67"/>
      <c r="R304" s="67"/>
    </row>
    <row r="305" spans="1:18" s="65" customFormat="1">
      <c r="A305" s="66"/>
      <c r="C305" s="67"/>
      <c r="D305" s="67"/>
      <c r="E305" s="68"/>
      <c r="F305" s="69"/>
      <c r="G305" s="69"/>
      <c r="H305" s="69"/>
      <c r="I305" s="67"/>
      <c r="K305" s="67"/>
      <c r="L305" s="67"/>
      <c r="M305" s="67"/>
      <c r="N305" s="67"/>
      <c r="O305" s="67"/>
      <c r="P305" s="67"/>
      <c r="Q305" s="67"/>
      <c r="R305" s="67"/>
    </row>
    <row r="306" spans="1:18" s="65" customFormat="1">
      <c r="A306" s="148"/>
      <c r="C306" s="67"/>
      <c r="D306" s="67"/>
      <c r="E306" s="68"/>
      <c r="F306" s="69"/>
      <c r="G306" s="69"/>
      <c r="H306" s="69"/>
      <c r="I306" s="67"/>
      <c r="K306" s="67"/>
      <c r="L306" s="67"/>
      <c r="M306" s="67"/>
      <c r="N306" s="67"/>
      <c r="O306" s="67"/>
      <c r="P306" s="67"/>
      <c r="Q306" s="67"/>
      <c r="R306" s="67"/>
    </row>
    <row r="307" spans="1:18" s="65" customFormat="1">
      <c r="A307" s="148"/>
      <c r="C307" s="67"/>
      <c r="D307" s="67"/>
      <c r="E307" s="68"/>
      <c r="F307" s="69"/>
      <c r="G307" s="69"/>
      <c r="H307" s="69"/>
      <c r="I307" s="67"/>
      <c r="K307" s="67"/>
      <c r="L307" s="67"/>
      <c r="M307" s="67"/>
      <c r="N307" s="67"/>
      <c r="O307" s="67"/>
      <c r="P307" s="67"/>
      <c r="Q307" s="67"/>
      <c r="R307" s="67"/>
    </row>
    <row r="308" spans="1:18" s="65" customFormat="1">
      <c r="A308" s="71"/>
      <c r="C308" s="67"/>
      <c r="D308" s="67"/>
      <c r="E308" s="68"/>
      <c r="F308" s="69"/>
      <c r="G308" s="69"/>
      <c r="H308" s="69"/>
      <c r="I308" s="67"/>
      <c r="K308" s="67"/>
      <c r="L308" s="67"/>
      <c r="M308" s="67"/>
      <c r="N308" s="67"/>
      <c r="O308" s="67"/>
      <c r="P308" s="67"/>
      <c r="Q308" s="67"/>
      <c r="R308" s="67"/>
    </row>
    <row r="309" spans="1:18" s="65" customFormat="1">
      <c r="A309" s="72"/>
      <c r="C309" s="67"/>
      <c r="D309" s="67"/>
      <c r="E309" s="68"/>
      <c r="F309" s="69"/>
      <c r="G309" s="69"/>
      <c r="H309" s="69"/>
      <c r="I309" s="67"/>
      <c r="K309" s="67"/>
      <c r="L309" s="67"/>
      <c r="M309" s="67"/>
      <c r="N309" s="67"/>
      <c r="O309" s="67"/>
      <c r="P309" s="67"/>
      <c r="Q309" s="67"/>
      <c r="R309" s="67"/>
    </row>
    <row r="310" spans="1:18" s="65" customFormat="1">
      <c r="A310" s="66"/>
      <c r="C310" s="67"/>
      <c r="D310" s="67"/>
      <c r="E310" s="68"/>
      <c r="F310" s="69"/>
      <c r="G310" s="69"/>
      <c r="H310" s="69"/>
      <c r="I310" s="67"/>
      <c r="K310" s="67"/>
      <c r="L310" s="67"/>
      <c r="M310" s="67"/>
      <c r="N310" s="67"/>
      <c r="O310" s="67"/>
      <c r="P310" s="67"/>
      <c r="Q310" s="67"/>
      <c r="R310" s="67"/>
    </row>
    <row r="311" spans="1:18" s="65" customFormat="1">
      <c r="A311" s="73"/>
      <c r="C311" s="67"/>
      <c r="D311" s="67"/>
      <c r="E311" s="68"/>
      <c r="F311" s="69"/>
      <c r="G311" s="69"/>
      <c r="H311" s="69"/>
      <c r="I311" s="67"/>
      <c r="K311" s="67"/>
      <c r="L311" s="67"/>
      <c r="M311" s="67"/>
      <c r="N311" s="67"/>
      <c r="O311" s="67"/>
      <c r="P311" s="67"/>
      <c r="Q311" s="67"/>
      <c r="R311" s="67"/>
    </row>
    <row r="312" spans="1:18" s="65" customFormat="1">
      <c r="A312" s="73"/>
      <c r="C312" s="67"/>
      <c r="D312" s="67"/>
      <c r="E312" s="68"/>
      <c r="F312" s="69"/>
      <c r="G312" s="69"/>
      <c r="H312" s="69"/>
      <c r="I312" s="67"/>
      <c r="K312" s="67"/>
      <c r="L312" s="67"/>
      <c r="M312" s="67"/>
      <c r="N312" s="67"/>
      <c r="O312" s="67"/>
      <c r="P312" s="67"/>
      <c r="Q312" s="67"/>
      <c r="R312" s="67"/>
    </row>
    <row r="313" spans="1:18" s="65" customFormat="1">
      <c r="A313" s="66"/>
      <c r="C313" s="67"/>
      <c r="D313" s="67"/>
      <c r="E313" s="68"/>
      <c r="F313" s="69"/>
      <c r="G313" s="69"/>
      <c r="H313" s="69"/>
      <c r="I313" s="67"/>
      <c r="K313" s="67"/>
      <c r="L313" s="67"/>
      <c r="M313" s="67"/>
      <c r="N313" s="67"/>
      <c r="O313" s="67"/>
      <c r="P313" s="67"/>
      <c r="Q313" s="67"/>
      <c r="R313" s="67"/>
    </row>
    <row r="314" spans="1:18" s="65" customFormat="1">
      <c r="A314" s="66"/>
      <c r="C314" s="67"/>
      <c r="D314" s="67"/>
      <c r="E314" s="68"/>
      <c r="F314" s="69"/>
      <c r="G314" s="69"/>
      <c r="H314" s="69"/>
      <c r="I314" s="67"/>
      <c r="K314" s="67"/>
      <c r="L314" s="67"/>
      <c r="M314" s="67"/>
      <c r="N314" s="67"/>
      <c r="O314" s="67"/>
      <c r="P314" s="67"/>
      <c r="Q314" s="67"/>
      <c r="R314" s="67"/>
    </row>
    <row r="315" spans="1:18" s="65" customFormat="1">
      <c r="A315" s="66"/>
      <c r="C315" s="67"/>
      <c r="D315" s="67"/>
      <c r="E315" s="68"/>
      <c r="F315" s="69"/>
      <c r="G315" s="69"/>
      <c r="H315" s="69"/>
      <c r="I315" s="67"/>
      <c r="K315" s="67"/>
      <c r="L315" s="67"/>
      <c r="M315" s="67"/>
      <c r="N315" s="67"/>
      <c r="O315" s="67"/>
      <c r="P315" s="67"/>
      <c r="Q315" s="67"/>
      <c r="R315" s="67"/>
    </row>
    <row r="316" spans="1:18" s="65" customFormat="1">
      <c r="A316" s="148"/>
      <c r="C316" s="67"/>
      <c r="D316" s="67"/>
      <c r="E316" s="68"/>
      <c r="F316" s="69"/>
      <c r="G316" s="69"/>
      <c r="H316" s="69"/>
      <c r="I316" s="67"/>
      <c r="K316" s="67"/>
      <c r="L316" s="67"/>
      <c r="M316" s="67"/>
      <c r="N316" s="67"/>
      <c r="O316" s="67"/>
      <c r="P316" s="67"/>
      <c r="Q316" s="67"/>
      <c r="R316" s="67"/>
    </row>
    <row r="317" spans="1:18" s="65" customFormat="1">
      <c r="A317" s="149"/>
      <c r="C317" s="67"/>
      <c r="D317" s="67"/>
      <c r="E317" s="68"/>
      <c r="F317" s="69"/>
      <c r="G317" s="69"/>
      <c r="H317" s="69"/>
      <c r="I317" s="67"/>
      <c r="K317" s="67"/>
      <c r="L317" s="67"/>
      <c r="M317" s="67"/>
      <c r="N317" s="67"/>
      <c r="O317" s="67"/>
      <c r="P317" s="67"/>
      <c r="Q317" s="67"/>
      <c r="R317" s="67"/>
    </row>
    <row r="318" spans="1:18" s="65" customFormat="1">
      <c r="A318" s="149"/>
      <c r="C318" s="67"/>
      <c r="D318" s="67"/>
      <c r="E318" s="68"/>
      <c r="F318" s="69"/>
      <c r="G318" s="69"/>
      <c r="H318" s="69"/>
      <c r="I318" s="67"/>
      <c r="K318" s="67"/>
      <c r="L318" s="67"/>
      <c r="M318" s="67"/>
      <c r="N318" s="67"/>
      <c r="O318" s="67"/>
      <c r="P318" s="67"/>
      <c r="Q318" s="67"/>
      <c r="R318" s="67"/>
    </row>
    <row r="319" spans="1:18" s="65" customFormat="1">
      <c r="A319" s="148"/>
      <c r="C319" s="67"/>
      <c r="D319" s="67"/>
      <c r="E319" s="68"/>
      <c r="F319" s="69"/>
      <c r="G319" s="69"/>
      <c r="H319" s="69"/>
      <c r="I319" s="67"/>
      <c r="K319" s="67"/>
      <c r="L319" s="67"/>
      <c r="M319" s="67"/>
      <c r="N319" s="67"/>
      <c r="O319" s="67"/>
      <c r="P319" s="67"/>
      <c r="Q319" s="67"/>
      <c r="R319" s="67"/>
    </row>
    <row r="320" spans="1:18">
      <c r="A320" s="149"/>
    </row>
    <row r="321" spans="1:1">
      <c r="A321" s="149"/>
    </row>
  </sheetData>
  <pageMargins left="0.7" right="0.7" top="0.75" bottom="0.75" header="0.3" footer="0.3"/>
  <pageSetup fitToHeight="4" pageOrder="overThenDown" orientation="portrait" r:id="rId1"/>
  <headerFooter>
    <oddFooter xml:space="preserve">&amp;L&amp;F - &amp;A
&amp;R&amp;P of &amp;N
</oddFooter>
  </headerFooter>
  <rowBreaks count="3" manualBreakCount="3">
    <brk id="65" max="9" man="1"/>
    <brk id="123" max="9" man="1"/>
    <brk id="173" max="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3"/>
  <sheetViews>
    <sheetView topLeftCell="A27" zoomScaleNormal="100" zoomScaleSheetLayoutView="85" workbookViewId="0">
      <selection activeCell="K25" sqref="K25"/>
    </sheetView>
  </sheetViews>
  <sheetFormatPr defaultRowHeight="15"/>
  <cols>
    <col min="3" max="3" width="31.140625" customWidth="1"/>
    <col min="4" max="4" width="13.85546875" customWidth="1"/>
    <col min="5" max="5" width="20.85546875" customWidth="1"/>
    <col min="6" max="6" width="16.28515625" customWidth="1"/>
    <col min="7" max="7" width="13.42578125" customWidth="1"/>
    <col min="8" max="8" width="38.140625" bestFit="1" customWidth="1"/>
    <col min="9" max="9" width="15.28515625" bestFit="1" customWidth="1"/>
    <col min="10" max="10" width="11.85546875" customWidth="1"/>
    <col min="12" max="13" width="15.28515625" bestFit="1" customWidth="1"/>
    <col min="14" max="14" width="13.42578125" bestFit="1" customWidth="1"/>
  </cols>
  <sheetData>
    <row r="1" spans="1:12" ht="15.75" thickBot="1">
      <c r="A1" s="157" t="s">
        <v>385</v>
      </c>
    </row>
    <row r="2" spans="1:12" ht="15.75" thickBot="1">
      <c r="A2" s="157" t="s">
        <v>386</v>
      </c>
      <c r="D2" s="216" t="s">
        <v>399</v>
      </c>
      <c r="E2" s="217"/>
      <c r="F2" s="217"/>
      <c r="G2" s="217"/>
      <c r="H2" s="217"/>
      <c r="I2" s="218"/>
    </row>
    <row r="3" spans="1:12">
      <c r="A3" s="157" t="s">
        <v>387</v>
      </c>
    </row>
    <row r="4" spans="1:12">
      <c r="A4" s="157"/>
    </row>
    <row r="5" spans="1:12">
      <c r="A5" s="281" t="s">
        <v>388</v>
      </c>
      <c r="B5" s="281"/>
      <c r="C5" s="281"/>
      <c r="D5" s="281"/>
      <c r="E5" s="281"/>
      <c r="F5" s="281"/>
      <c r="G5" s="281"/>
      <c r="H5" s="281"/>
    </row>
    <row r="6" spans="1:12">
      <c r="A6" s="281"/>
      <c r="B6" s="281"/>
      <c r="C6" s="281"/>
      <c r="D6" s="281"/>
      <c r="E6" s="281"/>
      <c r="F6" s="281"/>
      <c r="G6" s="281"/>
      <c r="H6" s="281"/>
    </row>
    <row r="7" spans="1:12">
      <c r="A7" s="281"/>
      <c r="B7" s="281"/>
      <c r="C7" s="281"/>
      <c r="D7" s="281"/>
      <c r="E7" s="281"/>
      <c r="F7" s="281"/>
      <c r="G7" s="281"/>
      <c r="H7" s="281"/>
    </row>
    <row r="8" spans="1:12">
      <c r="A8" s="157"/>
    </row>
    <row r="9" spans="1:12" ht="15.75" thickBot="1"/>
    <row r="10" spans="1:12">
      <c r="C10" s="278" t="s">
        <v>389</v>
      </c>
      <c r="D10" s="279"/>
      <c r="E10" s="279"/>
      <c r="F10" s="280"/>
      <c r="H10" s="278" t="s">
        <v>390</v>
      </c>
      <c r="I10" s="279"/>
      <c r="J10" s="280"/>
    </row>
    <row r="11" spans="1:12">
      <c r="C11" s="158"/>
      <c r="D11" s="159" t="s">
        <v>279</v>
      </c>
      <c r="E11" s="159" t="s">
        <v>280</v>
      </c>
      <c r="F11" s="160"/>
      <c r="H11" s="158" t="s">
        <v>281</v>
      </c>
      <c r="I11" s="161">
        <f>+'[16]Master IS (C)'!E150</f>
        <v>25898341</v>
      </c>
      <c r="J11" s="160"/>
    </row>
    <row r="12" spans="1:12">
      <c r="C12" s="162" t="s">
        <v>282</v>
      </c>
      <c r="D12" s="163">
        <f>+'[34]Waste Works Breakdown'!D4</f>
        <v>92024.240000000034</v>
      </c>
      <c r="E12" s="164">
        <f>+'[34]Waste Works Breakdown'!E4</f>
        <v>8234515.3400000026</v>
      </c>
      <c r="F12" s="165">
        <f>E12/D12</f>
        <v>89.482024953425309</v>
      </c>
      <c r="H12" s="158"/>
      <c r="I12" s="161"/>
      <c r="J12" s="160"/>
    </row>
    <row r="13" spans="1:12">
      <c r="C13" s="162" t="s">
        <v>283</v>
      </c>
      <c r="D13" s="163">
        <f>+'[34]Waste Works Breakdown'!D5</f>
        <v>0</v>
      </c>
      <c r="E13" s="164">
        <f>+'[34]Waste Works Breakdown'!E5</f>
        <v>7.1054273576010019E-15</v>
      </c>
      <c r="F13" s="160"/>
      <c r="H13" s="158" t="s">
        <v>284</v>
      </c>
      <c r="I13" s="161">
        <f>+E32</f>
        <v>8234515.3400000026</v>
      </c>
      <c r="J13" s="166"/>
    </row>
    <row r="14" spans="1:12">
      <c r="C14" s="162" t="s">
        <v>285</v>
      </c>
      <c r="D14" s="163">
        <f>+'[34]Waste Works Breakdown'!D6</f>
        <v>1957.53</v>
      </c>
      <c r="E14" s="164">
        <f>+'[34]Waste Works Breakdown'!E6</f>
        <v>70422.400000000009</v>
      </c>
      <c r="F14" s="165">
        <f>E14/D14</f>
        <v>35.975131926458346</v>
      </c>
      <c r="H14" s="158" t="s">
        <v>286</v>
      </c>
      <c r="I14" s="161">
        <f>+E33</f>
        <v>16362444.449999999</v>
      </c>
      <c r="J14" s="166"/>
      <c r="L14" s="167"/>
    </row>
    <row r="15" spans="1:12" ht="15.75" thickBot="1">
      <c r="C15" s="162"/>
      <c r="D15" s="168">
        <f>SUM(D12:D14)</f>
        <v>93981.770000000033</v>
      </c>
      <c r="E15" s="169">
        <f>SUM(E12:E14)</f>
        <v>8304937.740000003</v>
      </c>
      <c r="F15" s="160"/>
      <c r="H15" s="158" t="s">
        <v>287</v>
      </c>
      <c r="I15" s="170">
        <f>+E34</f>
        <v>1298721.94</v>
      </c>
      <c r="J15" s="166"/>
    </row>
    <row r="16" spans="1:12" ht="16.5" thickTop="1" thickBot="1">
      <c r="C16" s="158"/>
      <c r="D16" s="171"/>
      <c r="E16" s="161"/>
      <c r="F16" s="160"/>
      <c r="H16" s="158"/>
      <c r="I16" s="172">
        <f>SUM(I13:I15)</f>
        <v>25895681.730000004</v>
      </c>
      <c r="J16" s="160"/>
      <c r="L16" s="167"/>
    </row>
    <row r="17" spans="3:14" ht="15.75" thickTop="1">
      <c r="C17" s="158" t="s">
        <v>288</v>
      </c>
      <c r="D17" s="171">
        <f>+'[34]Waste Works Breakdown'!D9</f>
        <v>93981.770000000019</v>
      </c>
      <c r="E17" s="161">
        <f>+'[34]Waste Works Breakdown'!E9</f>
        <v>8304937.7400000049</v>
      </c>
      <c r="F17" s="160"/>
      <c r="H17" s="158" t="s">
        <v>290</v>
      </c>
      <c r="I17" s="161">
        <f>+I16-I11</f>
        <v>-2659.2699999958277</v>
      </c>
      <c r="J17" s="160"/>
      <c r="M17" s="173"/>
      <c r="N17" s="167"/>
    </row>
    <row r="18" spans="3:14">
      <c r="C18" s="158" t="s">
        <v>289</v>
      </c>
      <c r="D18" s="171">
        <f>+D17-D15</f>
        <v>0</v>
      </c>
      <c r="E18" s="171">
        <f>+E17-E15</f>
        <v>0</v>
      </c>
      <c r="F18" s="160"/>
      <c r="H18" s="174"/>
      <c r="I18" s="175">
        <f>I17/I16</f>
        <v>-1.0269163900462517E-4</v>
      </c>
      <c r="J18" s="176" t="s">
        <v>391</v>
      </c>
      <c r="M18" s="173"/>
      <c r="N18" s="167"/>
    </row>
    <row r="19" spans="3:14" ht="15.75" thickBot="1">
      <c r="C19" s="158"/>
      <c r="D19" s="171"/>
      <c r="E19" s="161"/>
      <c r="F19" s="160"/>
      <c r="H19" s="177"/>
      <c r="I19" s="178"/>
      <c r="J19" s="179"/>
      <c r="M19" s="173"/>
    </row>
    <row r="20" spans="3:14">
      <c r="C20" s="158"/>
      <c r="D20" s="171"/>
      <c r="E20" s="161"/>
      <c r="F20" s="160"/>
      <c r="H20" s="180"/>
      <c r="M20" s="167"/>
    </row>
    <row r="21" spans="3:14" ht="15.75" thickBot="1">
      <c r="C21" s="181" t="s">
        <v>374</v>
      </c>
      <c r="D21" s="182">
        <f>+'[34]Waste Works Breakdown'!D13</f>
        <v>165572.63</v>
      </c>
      <c r="E21" s="183">
        <f>+'[34]Waste Works Breakdown'!E13</f>
        <v>16362444.449999999</v>
      </c>
      <c r="F21" s="165">
        <f>E21/D21</f>
        <v>98.823365009059756</v>
      </c>
      <c r="K21" s="184"/>
    </row>
    <row r="22" spans="3:14">
      <c r="C22" s="181" t="s">
        <v>375</v>
      </c>
      <c r="D22" s="182">
        <f>+'[34]Waste Works Breakdown'!D14</f>
        <v>1132.8400000000001</v>
      </c>
      <c r="E22" s="183">
        <f>+'[34]Waste Works Breakdown'!E14</f>
        <v>96854.049999999988</v>
      </c>
      <c r="F22" s="165">
        <f>E22/D22</f>
        <v>85.496672080788088</v>
      </c>
      <c r="H22" s="278" t="s">
        <v>392</v>
      </c>
      <c r="I22" s="279"/>
      <c r="J22" s="280"/>
    </row>
    <row r="23" spans="3:14">
      <c r="C23" s="181" t="s">
        <v>373</v>
      </c>
      <c r="D23" s="182">
        <f>+'[34]Waste Works Breakdown'!D15</f>
        <v>12461.58</v>
      </c>
      <c r="E23" s="183">
        <f>+'[34]Waste Works Breakdown'!E15</f>
        <v>1055328.44</v>
      </c>
      <c r="F23" s="165">
        <f>E23/D23</f>
        <v>84.686567834897332</v>
      </c>
      <c r="H23" s="185" t="s">
        <v>292</v>
      </c>
      <c r="I23" s="167">
        <f>+'[16]Master IS (C)'!E29</f>
        <v>8455261.0300000012</v>
      </c>
      <c r="J23" s="160"/>
    </row>
    <row r="24" spans="3:14">
      <c r="C24" s="181" t="s">
        <v>291</v>
      </c>
      <c r="D24" s="182">
        <f>+'[34]Waste Works Breakdown'!D16</f>
        <v>2207.77</v>
      </c>
      <c r="E24" s="183">
        <f>+'[34]Waste Works Breakdown'!E16</f>
        <v>76117.049999999988</v>
      </c>
      <c r="F24" s="165">
        <f>E24/D24</f>
        <v>34.476892973452848</v>
      </c>
      <c r="H24" s="185" t="s">
        <v>293</v>
      </c>
      <c r="I24" s="167">
        <f>+E15</f>
        <v>8304937.740000003</v>
      </c>
      <c r="J24" s="160"/>
    </row>
    <row r="25" spans="3:14" ht="15.75" thickBot="1">
      <c r="C25" s="181"/>
      <c r="D25" s="186">
        <f>SUM(D21:D24)</f>
        <v>181374.81999999998</v>
      </c>
      <c r="E25" s="187">
        <f>SUM(E21:E24)</f>
        <v>17590743.990000002</v>
      </c>
      <c r="F25" s="160"/>
      <c r="H25" s="185" t="s">
        <v>294</v>
      </c>
      <c r="I25" s="167">
        <f>+I23-I24</f>
        <v>150323.28999999817</v>
      </c>
      <c r="J25" s="160"/>
    </row>
    <row r="26" spans="3:14" ht="16.5" thickTop="1" thickBot="1">
      <c r="C26" s="158"/>
      <c r="D26" s="171"/>
      <c r="E26" s="161"/>
      <c r="F26" s="160"/>
      <c r="H26" s="188"/>
      <c r="I26" s="189"/>
      <c r="J26" s="179"/>
    </row>
    <row r="27" spans="3:14">
      <c r="C27" s="158" t="s">
        <v>295</v>
      </c>
      <c r="D27" s="171">
        <f>+'[34]Waste Works Breakdown'!$D$19</f>
        <v>181374.82</v>
      </c>
      <c r="E27" s="161">
        <f>+'[34]Waste Works Breakdown'!$E$19</f>
        <v>17590743.989999998</v>
      </c>
      <c r="F27" s="160"/>
    </row>
    <row r="28" spans="3:14" ht="15.75" thickBot="1">
      <c r="C28" s="188" t="s">
        <v>289</v>
      </c>
      <c r="D28" s="190">
        <f>+D27-D25</f>
        <v>0</v>
      </c>
      <c r="E28" s="190">
        <f>+E27-E25</f>
        <v>0</v>
      </c>
      <c r="F28" s="179"/>
    </row>
    <row r="29" spans="3:14" ht="15.75" thickBot="1">
      <c r="D29" s="191"/>
      <c r="E29" s="173"/>
    </row>
    <row r="30" spans="3:14">
      <c r="C30" s="278" t="s">
        <v>386</v>
      </c>
      <c r="D30" s="279"/>
      <c r="E30" s="280"/>
    </row>
    <row r="31" spans="3:14">
      <c r="C31" s="158"/>
      <c r="D31" s="159" t="s">
        <v>279</v>
      </c>
      <c r="E31" s="192" t="s">
        <v>280</v>
      </c>
    </row>
    <row r="32" spans="3:14">
      <c r="C32" s="158" t="s">
        <v>393</v>
      </c>
      <c r="D32" s="171">
        <f>+D12</f>
        <v>92024.240000000034</v>
      </c>
      <c r="E32" s="165">
        <f>+E12</f>
        <v>8234515.3400000026</v>
      </c>
      <c r="G32" s="193"/>
    </row>
    <row r="33" spans="3:7">
      <c r="C33" s="158" t="s">
        <v>374</v>
      </c>
      <c r="D33" s="171">
        <f>+D21</f>
        <v>165572.63</v>
      </c>
      <c r="E33" s="165">
        <f>+E21</f>
        <v>16362444.449999999</v>
      </c>
      <c r="G33" s="193"/>
    </row>
    <row r="34" spans="3:7" ht="30">
      <c r="C34" s="194" t="s">
        <v>394</v>
      </c>
      <c r="D34" s="171">
        <f>+D13+D14+D22+D24+D23</f>
        <v>17759.72</v>
      </c>
      <c r="E34" s="165">
        <f>+E13+E14+E22+E24+E23</f>
        <v>1298721.94</v>
      </c>
    </row>
    <row r="35" spans="3:7" ht="15.75" thickBot="1">
      <c r="C35" s="158"/>
      <c r="D35" s="195">
        <f>SUM(D32:D34)</f>
        <v>275356.59000000008</v>
      </c>
      <c r="E35" s="196">
        <f>SUM(E32:E34)</f>
        <v>25895681.730000004</v>
      </c>
    </row>
    <row r="36" spans="3:7" ht="16.5" thickTop="1" thickBot="1">
      <c r="C36" s="188"/>
      <c r="D36" s="190"/>
      <c r="E36" s="197"/>
    </row>
    <row r="37" spans="3:7">
      <c r="D37" s="191"/>
      <c r="E37" s="173"/>
    </row>
    <row r="38" spans="3:7" ht="15.75" thickBot="1">
      <c r="D38" s="191"/>
      <c r="E38" s="173"/>
    </row>
    <row r="39" spans="3:7">
      <c r="C39" s="278" t="s">
        <v>395</v>
      </c>
      <c r="D39" s="279"/>
      <c r="E39" s="280"/>
    </row>
    <row r="40" spans="3:7">
      <c r="C40" s="185"/>
      <c r="D40" s="167"/>
      <c r="E40" s="160"/>
    </row>
    <row r="41" spans="3:7">
      <c r="C41" s="185" t="s">
        <v>396</v>
      </c>
      <c r="D41" s="198">
        <f>[35]Regulated!$D$134</f>
        <v>0.50161311277447396</v>
      </c>
      <c r="E41" s="160"/>
    </row>
    <row r="42" spans="3:7">
      <c r="C42" s="185" t="s">
        <v>237</v>
      </c>
      <c r="D42" s="198">
        <f>[35]Regulated!$D$135</f>
        <v>0.49838688722552604</v>
      </c>
      <c r="E42" s="160"/>
    </row>
    <row r="43" spans="3:7" ht="15.75" thickBot="1">
      <c r="C43" s="188"/>
      <c r="D43" s="199">
        <f>SUM(D41:D42)</f>
        <v>1</v>
      </c>
      <c r="E43" s="179"/>
    </row>
  </sheetData>
  <mergeCells count="6">
    <mergeCell ref="C39:E39"/>
    <mergeCell ref="A5:H7"/>
    <mergeCell ref="C10:F10"/>
    <mergeCell ref="H10:J10"/>
    <mergeCell ref="H22:J22"/>
    <mergeCell ref="C30:E30"/>
  </mergeCells>
  <pageMargins left="0.7" right="0.7" top="0.75" bottom="0.75" header="0.3" footer="0.3"/>
  <pageSetup scale="68" fitToHeight="3" orientation="landscape" r:id="rId1"/>
  <headerFooter>
    <oddFooter>&amp;R&amp;F - &amp;A -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2023-11-16T08:00:00+00:00</OpenedDate>
    <SignificantOrder xmlns="dc463f71-b30c-4ab2-9473-d307f9d35888">false</SignificantOrder>
    <Date1 xmlns="dc463f71-b30c-4ab2-9473-d307f9d35888">2023-11-16T08:00:00+00:00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Connections of Washington, Inc.</CaseCompanyNames>
    <Nickname xmlns="http://schemas.microsoft.com/sharepoint/v3" xsi:nil="true"/>
    <DocketNumber xmlns="dc463f71-b30c-4ab2-9473-d307f9d35888">230960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758935D773B424AA91A11CE73C763DD" ma:contentTypeVersion="24" ma:contentTypeDescription="" ma:contentTypeScope="" ma:versionID="7e0c4e1de22af193fcfff281ef390cf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CF9FA5-BF0D-45C6-8CA0-A42575E1F3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7AC9E1-DAD4-4464-90FA-606087AD8D7F}"/>
</file>

<file path=customXml/itemProps3.xml><?xml version="1.0" encoding="utf-8"?>
<ds:datastoreItem xmlns:ds="http://schemas.openxmlformats.org/officeDocument/2006/customXml" ds:itemID="{BB72FD09-7086-4088-BAF6-4EE8BA7149BD}">
  <ds:schemaRefs>
    <ds:schemaRef ds:uri="http://schemas.microsoft.com/office/2006/metadata/properties"/>
    <ds:schemaRef ds:uri="http://schemas.microsoft.com/office/infopath/2007/PartnerControls"/>
    <ds:schemaRef ds:uri="dc463f71-b30c-4ab2-9473-d307f9d35888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3DCA2EDC-68C6-414B-A5D4-B80A7FE755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References</vt:lpstr>
      <vt:lpstr>Regulated DF Calc</vt:lpstr>
      <vt:lpstr>Proposed Rates</vt:lpstr>
      <vt:lpstr>Disposal</vt:lpstr>
      <vt:lpstr>'Proposed Rates'!Print_Area</vt:lpstr>
      <vt:lpstr>References!Print_Area</vt:lpstr>
      <vt:lpstr>'Regulated DF Calc'!Print_Area</vt:lpstr>
      <vt:lpstr>'Proposed Rates'!Print_Titles</vt:lpstr>
      <vt:lpstr>'Regulated DF Calc'!Print_Titles</vt:lpstr>
    </vt:vector>
  </TitlesOfParts>
  <Company>R360 Environmental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Waldram</dc:creator>
  <cp:lastModifiedBy>Brian Vandenburg</cp:lastModifiedBy>
  <cp:lastPrinted>2023-11-16T20:16:21Z</cp:lastPrinted>
  <dcterms:created xsi:type="dcterms:W3CDTF">2017-11-03T16:52:48Z</dcterms:created>
  <dcterms:modified xsi:type="dcterms:W3CDTF">2023-11-16T20:24:21Z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0x0101006E56B4D1795A2E4DB2F0B01679ED314A006758935D773B424AA91A11CE73C763DD</vt:lpwstr>
  </property>
  <property fmtid="{D5CDD505-2E9C-101B-9397-08002B2CF9AE}" pid="3" name="_docset_NoMedatataSyncRequired">
    <vt:lpwstr>False</vt:lpwstr>
  </property>
</Properties>
</file>