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xhous10fps03rf\orport01fps01\PUBLIC\Evan Burmester\WUTC\"/>
    </mc:Choice>
  </mc:AlternateContent>
  <xr:revisionPtr revIDLastSave="0" documentId="13_ncr:1_{031BB27A-E080-4BF5-A5CC-72C3603896BA}" xr6:coauthVersionLast="47" xr6:coauthVersionMax="47" xr10:uidLastSave="{00000000-0000-0000-0000-000000000000}"/>
  <bookViews>
    <workbookView xWindow="-120" yWindow="-120" windowWidth="25440" windowHeight="15390" activeTab="2" xr2:uid="{00000000-000D-0000-FFFF-FFFF00000000}"/>
  </bookViews>
  <sheets>
    <sheet name="Revenue &amp; Expense Adj." sheetId="3" r:id="rId1"/>
    <sheet name="References" sheetId="5" r:id="rId2"/>
    <sheet name="Priceout" sheetId="6" r:id="rId3"/>
  </sheets>
  <definedNames>
    <definedName name="_xlnm.Print_Area" localSheetId="2">Priceout!$A$1:$R$76</definedName>
    <definedName name="_xlnm.Print_Area" localSheetId="0">'Revenue &amp; Expense Adj.'!$A$1:$K$34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7" i="6" l="1"/>
  <c r="P46" i="6"/>
  <c r="P45" i="6"/>
  <c r="P44" i="6"/>
  <c r="P43" i="6"/>
  <c r="P42" i="6"/>
  <c r="P41" i="6"/>
  <c r="B48" i="5"/>
  <c r="B59" i="5"/>
  <c r="E19" i="3" l="1"/>
  <c r="G29" i="6"/>
  <c r="G31" i="6"/>
  <c r="G30" i="6"/>
  <c r="G38" i="6"/>
  <c r="F38" i="6"/>
  <c r="E38" i="6"/>
  <c r="E10" i="6"/>
  <c r="F10" i="6" s="1"/>
  <c r="H10" i="6" s="1"/>
  <c r="G10" i="6"/>
  <c r="O10" i="6"/>
  <c r="H38" i="6" l="1"/>
  <c r="G69" i="6" l="1"/>
  <c r="H69" i="6" s="1"/>
  <c r="G68" i="6"/>
  <c r="H68" i="6" s="1"/>
  <c r="G55" i="6"/>
  <c r="H55" i="6" s="1"/>
  <c r="G44" i="6"/>
  <c r="H44" i="6" s="1"/>
  <c r="G45" i="6"/>
  <c r="H45" i="6" s="1"/>
  <c r="G46" i="6"/>
  <c r="H46" i="6" s="1"/>
  <c r="H29" i="6"/>
  <c r="O29" i="6"/>
  <c r="D15" i="6" l="1"/>
  <c r="D14" i="6"/>
  <c r="D13" i="6"/>
  <c r="G11" i="6"/>
  <c r="O11" i="6"/>
  <c r="E11" i="6"/>
  <c r="F11" i="6" s="1"/>
  <c r="H11" i="6" l="1"/>
  <c r="G12" i="3" l="1"/>
  <c r="O2" i="6" l="1"/>
  <c r="G28" i="6" l="1"/>
  <c r="G27" i="6"/>
  <c r="G18" i="6"/>
  <c r="G59" i="6"/>
  <c r="G58" i="6"/>
  <c r="G62" i="6"/>
  <c r="G63" i="6"/>
  <c r="G57" i="6"/>
  <c r="G43" i="6" l="1"/>
  <c r="H43" i="6" s="1"/>
  <c r="G42" i="6"/>
  <c r="H42" i="6" s="1"/>
  <c r="G41" i="6"/>
  <c r="H41" i="6" s="1"/>
  <c r="H63" i="6"/>
  <c r="H62" i="6"/>
  <c r="H57" i="6"/>
  <c r="G65" i="6"/>
  <c r="H65" i="6" s="1"/>
  <c r="G64" i="6"/>
  <c r="H64" i="6" s="1"/>
  <c r="G73" i="6"/>
  <c r="H73" i="6" s="1"/>
  <c r="G72" i="6"/>
  <c r="H72" i="6" s="1"/>
  <c r="G71" i="6"/>
  <c r="H71" i="6" s="1"/>
  <c r="G70" i="6"/>
  <c r="H70" i="6" s="1"/>
  <c r="G56" i="6"/>
  <c r="H56" i="6" s="1"/>
  <c r="H58" i="6"/>
  <c r="G49" i="6"/>
  <c r="H49" i="6" s="1"/>
  <c r="G50" i="6"/>
  <c r="H50" i="6" s="1"/>
  <c r="G51" i="6"/>
  <c r="H51" i="6" s="1"/>
  <c r="G52" i="6"/>
  <c r="G53" i="6"/>
  <c r="G54" i="6"/>
  <c r="H54" i="6" s="1"/>
  <c r="G48" i="6"/>
  <c r="G61" i="6"/>
  <c r="G60" i="6"/>
  <c r="G47" i="6"/>
  <c r="G37" i="6"/>
  <c r="H52" i="6" l="1"/>
  <c r="H53" i="6"/>
  <c r="H47" i="6"/>
  <c r="H59" i="6"/>
  <c r="H60" i="6"/>
  <c r="H61" i="6"/>
  <c r="H48" i="6"/>
  <c r="G67" i="6"/>
  <c r="H67" i="6" s="1"/>
  <c r="G66" i="6"/>
  <c r="H66" i="6" s="1"/>
  <c r="G26" i="6" l="1"/>
  <c r="G25" i="6"/>
  <c r="G24" i="6"/>
  <c r="G23" i="6"/>
  <c r="G22" i="6"/>
  <c r="G21" i="6"/>
  <c r="G20" i="6"/>
  <c r="G19" i="6"/>
  <c r="G16" i="6" l="1"/>
  <c r="G14" i="6"/>
  <c r="G15" i="6"/>
  <c r="G13" i="6"/>
  <c r="G12" i="6"/>
  <c r="G7" i="6"/>
  <c r="G8" i="6"/>
  <c r="G9" i="6"/>
  <c r="G6" i="6"/>
  <c r="G5" i="6"/>
  <c r="G3" i="6"/>
  <c r="G2" i="6"/>
  <c r="O14" i="6"/>
  <c r="O15" i="6"/>
  <c r="O13" i="6" l="1"/>
  <c r="D32" i="6" l="1"/>
  <c r="O12" i="6"/>
  <c r="O8" i="6"/>
  <c r="O3" i="6"/>
  <c r="D17" i="6"/>
  <c r="B49" i="5"/>
  <c r="B52" i="5" s="1"/>
  <c r="C48" i="5"/>
  <c r="C47" i="5"/>
  <c r="B9" i="5"/>
  <c r="E9" i="5" s="1"/>
  <c r="B8" i="5"/>
  <c r="H8" i="5" s="1"/>
  <c r="B7" i="5"/>
  <c r="B6" i="5"/>
  <c r="G6" i="5" s="1"/>
  <c r="B5" i="5"/>
  <c r="F5" i="5" s="1"/>
  <c r="B4" i="5"/>
  <c r="F4" i="5" s="1"/>
  <c r="B3" i="5"/>
  <c r="F3" i="5" s="1"/>
  <c r="H6" i="5" l="1"/>
  <c r="G50" i="5"/>
  <c r="G52" i="5" s="1"/>
  <c r="J12" i="3" s="1"/>
  <c r="E6" i="5"/>
  <c r="C49" i="5"/>
  <c r="C5" i="5"/>
  <c r="H5" i="5"/>
  <c r="F9" i="5"/>
  <c r="E16" i="6"/>
  <c r="F16" i="6" s="1"/>
  <c r="H16" i="6" s="1"/>
  <c r="E3" i="6"/>
  <c r="F3" i="6" s="1"/>
  <c r="E2" i="6"/>
  <c r="F2" i="6" s="1"/>
  <c r="H2" i="6" s="1"/>
  <c r="G9" i="5"/>
  <c r="G5" i="5"/>
  <c r="E3" i="5"/>
  <c r="D5" i="5"/>
  <c r="C7" i="5"/>
  <c r="E37" i="6"/>
  <c r="F37" i="6" s="1"/>
  <c r="H37" i="6" s="1"/>
  <c r="E7" i="6"/>
  <c r="F7" i="6" s="1"/>
  <c r="H7" i="6" s="1"/>
  <c r="E8" i="6"/>
  <c r="F8" i="6" s="1"/>
  <c r="H8" i="6" s="1"/>
  <c r="E9" i="6"/>
  <c r="F9" i="6" s="1"/>
  <c r="H9" i="6" s="1"/>
  <c r="E12" i="6"/>
  <c r="F12" i="6" s="1"/>
  <c r="H12" i="6" s="1"/>
  <c r="E4" i="6"/>
  <c r="F4" i="6" s="1"/>
  <c r="H4" i="6" s="1"/>
  <c r="E13" i="6"/>
  <c r="F13" i="6" s="1"/>
  <c r="H13" i="6" s="1"/>
  <c r="E15" i="6"/>
  <c r="F15" i="6" s="1"/>
  <c r="H15" i="6" s="1"/>
  <c r="E5" i="6"/>
  <c r="F5" i="6" s="1"/>
  <c r="H5" i="6" s="1"/>
  <c r="E14" i="6"/>
  <c r="F14" i="6" s="1"/>
  <c r="H14" i="6" s="1"/>
  <c r="E6" i="6"/>
  <c r="F6" i="6" s="1"/>
  <c r="H6" i="6" s="1"/>
  <c r="C9" i="5"/>
  <c r="H9" i="5"/>
  <c r="E5" i="5"/>
  <c r="D6" i="5"/>
  <c r="E7" i="5"/>
  <c r="D9" i="5"/>
  <c r="D33" i="6"/>
  <c r="H3" i="6"/>
  <c r="O4" i="6"/>
  <c r="O9" i="6"/>
  <c r="O16" i="6"/>
  <c r="O6" i="6"/>
  <c r="O7" i="6"/>
  <c r="O5" i="6"/>
  <c r="F8" i="5"/>
  <c r="C4" i="5"/>
  <c r="G4" i="5"/>
  <c r="F7" i="5"/>
  <c r="G8" i="5"/>
  <c r="C3" i="5"/>
  <c r="G3" i="5"/>
  <c r="D4" i="5"/>
  <c r="H4" i="5"/>
  <c r="F6" i="5"/>
  <c r="G7" i="5"/>
  <c r="D8" i="5"/>
  <c r="D3" i="5"/>
  <c r="H3" i="5"/>
  <c r="E4" i="5"/>
  <c r="C6" i="5"/>
  <c r="D7" i="5"/>
  <c r="H7" i="5"/>
  <c r="E8" i="5"/>
  <c r="C8" i="5"/>
  <c r="G28" i="3"/>
  <c r="H28" i="3" s="1"/>
  <c r="H29" i="3" s="1"/>
  <c r="F28" i="3"/>
  <c r="F29" i="3" s="1"/>
  <c r="O18" i="6"/>
  <c r="D13" i="3"/>
  <c r="D20" i="3"/>
  <c r="D29" i="3"/>
  <c r="F19" i="3"/>
  <c r="F20" i="3" s="1"/>
  <c r="F12" i="3"/>
  <c r="F13" i="3" s="1"/>
  <c r="H12" i="3"/>
  <c r="H13" i="3" s="1"/>
  <c r="D22" i="3" l="1"/>
  <c r="O17" i="6"/>
  <c r="B53" i="5"/>
  <c r="G19" i="3"/>
  <c r="H19" i="3" s="1"/>
  <c r="H20" i="3" s="1"/>
  <c r="B54" i="5"/>
  <c r="C82" i="6" s="1"/>
  <c r="C83" i="6" s="1"/>
  <c r="D32" i="3"/>
  <c r="I28" i="3"/>
  <c r="I12" i="3"/>
  <c r="I13" i="3" s="1"/>
  <c r="F22" i="3"/>
  <c r="F32" i="3" s="1"/>
  <c r="H18" i="6"/>
  <c r="F17" i="6"/>
  <c r="H17" i="6"/>
  <c r="B55" i="5" l="1"/>
  <c r="I19" i="3"/>
  <c r="I20" i="3" s="1"/>
  <c r="I22" i="3" s="1"/>
  <c r="O30" i="6"/>
  <c r="H30" i="6"/>
  <c r="O22" i="6"/>
  <c r="H22" i="6"/>
  <c r="H22" i="3"/>
  <c r="H32" i="3" s="1"/>
  <c r="O28" i="6"/>
  <c r="H28" i="6"/>
  <c r="H19" i="6"/>
  <c r="O27" i="6"/>
  <c r="H27" i="6"/>
  <c r="O25" i="6"/>
  <c r="H25" i="6"/>
  <c r="O26" i="6"/>
  <c r="H26" i="6"/>
  <c r="K28" i="3"/>
  <c r="I29" i="3"/>
  <c r="H31" i="6"/>
  <c r="O31" i="6"/>
  <c r="O21" i="6"/>
  <c r="H21" i="6"/>
  <c r="O23" i="6"/>
  <c r="H23" i="6"/>
  <c r="I32" i="3" l="1"/>
  <c r="O19" i="6"/>
  <c r="K29" i="3"/>
  <c r="O20" i="6"/>
  <c r="H20" i="6"/>
  <c r="F32" i="6"/>
  <c r="F33" i="6" s="1"/>
  <c r="C84" i="6" s="1"/>
  <c r="O24" i="6"/>
  <c r="H24" i="6"/>
  <c r="H32" i="6" l="1"/>
  <c r="H33" i="6" s="1"/>
  <c r="C85" i="6" s="1"/>
  <c r="I38" i="6" s="1"/>
  <c r="J38" i="6" s="1"/>
  <c r="K38" i="6" s="1"/>
  <c r="L38" i="6" s="1"/>
  <c r="N38" i="6" s="1"/>
  <c r="T38" i="6" s="1"/>
  <c r="O32" i="6"/>
  <c r="O33" i="6" s="1"/>
  <c r="I69" i="6" l="1"/>
  <c r="J69" i="6" s="1"/>
  <c r="K69" i="6" s="1"/>
  <c r="L69" i="6" s="1"/>
  <c r="N69" i="6" s="1"/>
  <c r="T69" i="6" s="1"/>
  <c r="I10" i="6"/>
  <c r="J10" i="6" s="1"/>
  <c r="K10" i="6" s="1"/>
  <c r="L10" i="6" s="1"/>
  <c r="N10" i="6" s="1"/>
  <c r="I55" i="6"/>
  <c r="J55" i="6" s="1"/>
  <c r="K55" i="6" s="1"/>
  <c r="L55" i="6" s="1"/>
  <c r="N55" i="6" s="1"/>
  <c r="T55" i="6" s="1"/>
  <c r="I68" i="6"/>
  <c r="J68" i="6" s="1"/>
  <c r="K68" i="6" s="1"/>
  <c r="L68" i="6" s="1"/>
  <c r="N68" i="6" s="1"/>
  <c r="T68" i="6" s="1"/>
  <c r="I46" i="6"/>
  <c r="J46" i="6" s="1"/>
  <c r="K46" i="6" s="1"/>
  <c r="L46" i="6" s="1"/>
  <c r="N46" i="6" s="1"/>
  <c r="T46" i="6" s="1"/>
  <c r="I45" i="6"/>
  <c r="J45" i="6" s="1"/>
  <c r="K45" i="6" s="1"/>
  <c r="L45" i="6" s="1"/>
  <c r="N45" i="6" s="1"/>
  <c r="T45" i="6" s="1"/>
  <c r="I44" i="6"/>
  <c r="J44" i="6" s="1"/>
  <c r="K44" i="6" s="1"/>
  <c r="L44" i="6" s="1"/>
  <c r="N44" i="6" s="1"/>
  <c r="T44" i="6" s="1"/>
  <c r="I11" i="6"/>
  <c r="J11" i="6" s="1"/>
  <c r="K11" i="6" s="1"/>
  <c r="L11" i="6" s="1"/>
  <c r="N11" i="6" s="1"/>
  <c r="I29" i="6"/>
  <c r="J29" i="6" s="1"/>
  <c r="K29" i="6" s="1"/>
  <c r="L29" i="6" s="1"/>
  <c r="N29" i="6" s="1"/>
  <c r="T29" i="6" s="1"/>
  <c r="I43" i="6"/>
  <c r="J43" i="6" s="1"/>
  <c r="K43" i="6" s="1"/>
  <c r="L43" i="6" s="1"/>
  <c r="N43" i="6" s="1"/>
  <c r="T43" i="6" s="1"/>
  <c r="I41" i="6"/>
  <c r="I42" i="6"/>
  <c r="J42" i="6" s="1"/>
  <c r="K42" i="6" s="1"/>
  <c r="L42" i="6" s="1"/>
  <c r="N42" i="6" s="1"/>
  <c r="T42" i="6" s="1"/>
  <c r="I65" i="6"/>
  <c r="J65" i="6" s="1"/>
  <c r="K65" i="6" s="1"/>
  <c r="L65" i="6" s="1"/>
  <c r="N65" i="6" s="1"/>
  <c r="T65" i="6" s="1"/>
  <c r="I62" i="6"/>
  <c r="J62" i="6" s="1"/>
  <c r="K62" i="6" s="1"/>
  <c r="L62" i="6" s="1"/>
  <c r="N62" i="6" s="1"/>
  <c r="T62" i="6" s="1"/>
  <c r="I57" i="6"/>
  <c r="J57" i="6" s="1"/>
  <c r="K57" i="6" s="1"/>
  <c r="L57" i="6" s="1"/>
  <c r="N57" i="6" s="1"/>
  <c r="T57" i="6" s="1"/>
  <c r="I63" i="6"/>
  <c r="J63" i="6" s="1"/>
  <c r="K63" i="6" s="1"/>
  <c r="L63" i="6" s="1"/>
  <c r="N63" i="6" s="1"/>
  <c r="T63" i="6" s="1"/>
  <c r="I64" i="6"/>
  <c r="J64" i="6" s="1"/>
  <c r="K64" i="6" s="1"/>
  <c r="L64" i="6" s="1"/>
  <c r="N64" i="6" s="1"/>
  <c r="T64" i="6" s="1"/>
  <c r="I73" i="6"/>
  <c r="J73" i="6" s="1"/>
  <c r="K73" i="6" s="1"/>
  <c r="L73" i="6" s="1"/>
  <c r="N73" i="6" s="1"/>
  <c r="T73" i="6" s="1"/>
  <c r="I70" i="6"/>
  <c r="J70" i="6" s="1"/>
  <c r="K70" i="6" s="1"/>
  <c r="L70" i="6" s="1"/>
  <c r="N70" i="6" s="1"/>
  <c r="T70" i="6" s="1"/>
  <c r="I71" i="6"/>
  <c r="J71" i="6" s="1"/>
  <c r="K71" i="6" s="1"/>
  <c r="L71" i="6" s="1"/>
  <c r="N71" i="6" s="1"/>
  <c r="T71" i="6" s="1"/>
  <c r="I72" i="6"/>
  <c r="J72" i="6" s="1"/>
  <c r="K72" i="6" s="1"/>
  <c r="L72" i="6" s="1"/>
  <c r="N72" i="6" s="1"/>
  <c r="T72" i="6" s="1"/>
  <c r="I58" i="6"/>
  <c r="J58" i="6" s="1"/>
  <c r="K58" i="6" s="1"/>
  <c r="L58" i="6" s="1"/>
  <c r="N58" i="6" s="1"/>
  <c r="T58" i="6" s="1"/>
  <c r="I56" i="6"/>
  <c r="J56" i="6" s="1"/>
  <c r="K56" i="6" s="1"/>
  <c r="L56" i="6" s="1"/>
  <c r="N56" i="6" s="1"/>
  <c r="T56" i="6" s="1"/>
  <c r="I50" i="6"/>
  <c r="J50" i="6" s="1"/>
  <c r="K50" i="6" s="1"/>
  <c r="L50" i="6" s="1"/>
  <c r="N50" i="6" s="1"/>
  <c r="T50" i="6" s="1"/>
  <c r="I52" i="6"/>
  <c r="J52" i="6" s="1"/>
  <c r="K52" i="6" s="1"/>
  <c r="L52" i="6" s="1"/>
  <c r="N52" i="6" s="1"/>
  <c r="T52" i="6" s="1"/>
  <c r="I54" i="6"/>
  <c r="J54" i="6" s="1"/>
  <c r="K54" i="6" s="1"/>
  <c r="L54" i="6" s="1"/>
  <c r="N54" i="6" s="1"/>
  <c r="T54" i="6" s="1"/>
  <c r="I53" i="6"/>
  <c r="J53" i="6" s="1"/>
  <c r="K53" i="6" s="1"/>
  <c r="L53" i="6" s="1"/>
  <c r="N53" i="6" s="1"/>
  <c r="T53" i="6" s="1"/>
  <c r="I51" i="6"/>
  <c r="J51" i="6" s="1"/>
  <c r="K51" i="6" s="1"/>
  <c r="L51" i="6" s="1"/>
  <c r="N51" i="6" s="1"/>
  <c r="T51" i="6" s="1"/>
  <c r="I49" i="6"/>
  <c r="J49" i="6" s="1"/>
  <c r="K49" i="6" s="1"/>
  <c r="L49" i="6" s="1"/>
  <c r="N49" i="6" s="1"/>
  <c r="T49" i="6" s="1"/>
  <c r="I37" i="6"/>
  <c r="J37" i="6" s="1"/>
  <c r="K37" i="6" s="1"/>
  <c r="L37" i="6" s="1"/>
  <c r="N37" i="6" s="1"/>
  <c r="T37" i="6" s="1"/>
  <c r="I48" i="6"/>
  <c r="J48" i="6" s="1"/>
  <c r="K48" i="6" s="1"/>
  <c r="L48" i="6" s="1"/>
  <c r="N48" i="6" s="1"/>
  <c r="T48" i="6" s="1"/>
  <c r="I59" i="6"/>
  <c r="J59" i="6" s="1"/>
  <c r="K59" i="6" s="1"/>
  <c r="L59" i="6" s="1"/>
  <c r="N59" i="6" s="1"/>
  <c r="T59" i="6" s="1"/>
  <c r="I61" i="6"/>
  <c r="J61" i="6" s="1"/>
  <c r="K61" i="6" s="1"/>
  <c r="L61" i="6" s="1"/>
  <c r="N61" i="6" s="1"/>
  <c r="T61" i="6" s="1"/>
  <c r="I47" i="6"/>
  <c r="J47" i="6" s="1"/>
  <c r="K47" i="6" s="1"/>
  <c r="L47" i="6" s="1"/>
  <c r="N47" i="6" s="1"/>
  <c r="T47" i="6" s="1"/>
  <c r="I60" i="6"/>
  <c r="J60" i="6" s="1"/>
  <c r="K60" i="6" s="1"/>
  <c r="L60" i="6" s="1"/>
  <c r="N60" i="6" s="1"/>
  <c r="T60" i="6" s="1"/>
  <c r="I23" i="6"/>
  <c r="J23" i="6" s="1"/>
  <c r="K23" i="6" s="1"/>
  <c r="L23" i="6" s="1"/>
  <c r="N23" i="6" s="1"/>
  <c r="T23" i="6" s="1"/>
  <c r="I24" i="6"/>
  <c r="J24" i="6" s="1"/>
  <c r="K24" i="6" s="1"/>
  <c r="L24" i="6" s="1"/>
  <c r="N24" i="6" s="1"/>
  <c r="T24" i="6" s="1"/>
  <c r="I12" i="6"/>
  <c r="J12" i="6" s="1"/>
  <c r="K12" i="6" s="1"/>
  <c r="L12" i="6" s="1"/>
  <c r="N12" i="6" s="1"/>
  <c r="T12" i="6" s="1"/>
  <c r="I67" i="6"/>
  <c r="I6" i="6"/>
  <c r="J6" i="6" s="1"/>
  <c r="K6" i="6" s="1"/>
  <c r="L6" i="6" s="1"/>
  <c r="N6" i="6" s="1"/>
  <c r="T6" i="6" s="1"/>
  <c r="I66" i="6"/>
  <c r="I9" i="6"/>
  <c r="J9" i="6" s="1"/>
  <c r="K9" i="6" s="1"/>
  <c r="L9" i="6" s="1"/>
  <c r="N9" i="6" s="1"/>
  <c r="T9" i="6" s="1"/>
  <c r="I4" i="6"/>
  <c r="J4" i="6" s="1"/>
  <c r="K4" i="6" s="1"/>
  <c r="L4" i="6" s="1"/>
  <c r="N4" i="6" s="1"/>
  <c r="T4" i="6" s="1"/>
  <c r="I26" i="6"/>
  <c r="J26" i="6" s="1"/>
  <c r="K26" i="6" s="1"/>
  <c r="L26" i="6" s="1"/>
  <c r="N26" i="6" s="1"/>
  <c r="T26" i="6" s="1"/>
  <c r="I16" i="6"/>
  <c r="J16" i="6" s="1"/>
  <c r="K16" i="6" s="1"/>
  <c r="L16" i="6" s="1"/>
  <c r="N16" i="6" s="1"/>
  <c r="T16" i="6" s="1"/>
  <c r="I15" i="6"/>
  <c r="J15" i="6" s="1"/>
  <c r="K15" i="6" s="1"/>
  <c r="L15" i="6" s="1"/>
  <c r="N15" i="6" s="1"/>
  <c r="T15" i="6" s="1"/>
  <c r="I28" i="6"/>
  <c r="J28" i="6" s="1"/>
  <c r="K28" i="6" s="1"/>
  <c r="L28" i="6" s="1"/>
  <c r="N28" i="6" s="1"/>
  <c r="T28" i="6" s="1"/>
  <c r="I22" i="6"/>
  <c r="J22" i="6" s="1"/>
  <c r="K22" i="6" s="1"/>
  <c r="L22" i="6" s="1"/>
  <c r="N22" i="6" s="1"/>
  <c r="T22" i="6" s="1"/>
  <c r="I3" i="6"/>
  <c r="J3" i="6" s="1"/>
  <c r="K3" i="6" s="1"/>
  <c r="L3" i="6" s="1"/>
  <c r="N3" i="6" s="1"/>
  <c r="T3" i="6" s="1"/>
  <c r="I19" i="6"/>
  <c r="J19" i="6" s="1"/>
  <c r="K19" i="6" s="1"/>
  <c r="L19" i="6" s="1"/>
  <c r="N19" i="6" s="1"/>
  <c r="T19" i="6" s="1"/>
  <c r="I18" i="6"/>
  <c r="J18" i="6" s="1"/>
  <c r="K18" i="6" s="1"/>
  <c r="L18" i="6" s="1"/>
  <c r="N18" i="6" s="1"/>
  <c r="T18" i="6" s="1"/>
  <c r="I14" i="6"/>
  <c r="J14" i="6" s="1"/>
  <c r="K14" i="6" s="1"/>
  <c r="L14" i="6" s="1"/>
  <c r="N14" i="6" s="1"/>
  <c r="T14" i="6" s="1"/>
  <c r="I21" i="6"/>
  <c r="J21" i="6" s="1"/>
  <c r="K21" i="6" s="1"/>
  <c r="L21" i="6" s="1"/>
  <c r="N21" i="6" s="1"/>
  <c r="T21" i="6" s="1"/>
  <c r="I30" i="6"/>
  <c r="J30" i="6" s="1"/>
  <c r="K30" i="6" s="1"/>
  <c r="L30" i="6" s="1"/>
  <c r="N30" i="6" s="1"/>
  <c r="T30" i="6" s="1"/>
  <c r="I20" i="6"/>
  <c r="J20" i="6" s="1"/>
  <c r="K20" i="6" s="1"/>
  <c r="L20" i="6" s="1"/>
  <c r="N20" i="6" s="1"/>
  <c r="T20" i="6" s="1"/>
  <c r="I7" i="6"/>
  <c r="J7" i="6" s="1"/>
  <c r="K7" i="6" s="1"/>
  <c r="L7" i="6" s="1"/>
  <c r="N7" i="6" s="1"/>
  <c r="T7" i="6" s="1"/>
  <c r="I2" i="6"/>
  <c r="I8" i="6"/>
  <c r="J8" i="6" s="1"/>
  <c r="K8" i="6" s="1"/>
  <c r="L8" i="6" s="1"/>
  <c r="N8" i="6" s="1"/>
  <c r="T8" i="6" s="1"/>
  <c r="I5" i="6"/>
  <c r="J5" i="6" s="1"/>
  <c r="K5" i="6" s="1"/>
  <c r="L5" i="6" s="1"/>
  <c r="N5" i="6" s="1"/>
  <c r="T5" i="6" s="1"/>
  <c r="I13" i="6"/>
  <c r="J13" i="6" s="1"/>
  <c r="K13" i="6" s="1"/>
  <c r="L13" i="6" s="1"/>
  <c r="N13" i="6" s="1"/>
  <c r="T13" i="6" s="1"/>
  <c r="I31" i="6"/>
  <c r="J31" i="6" s="1"/>
  <c r="K31" i="6" s="1"/>
  <c r="L31" i="6" s="1"/>
  <c r="N31" i="6" s="1"/>
  <c r="T31" i="6" s="1"/>
  <c r="I25" i="6"/>
  <c r="J25" i="6" s="1"/>
  <c r="K25" i="6" s="1"/>
  <c r="L25" i="6" s="1"/>
  <c r="N25" i="6" s="1"/>
  <c r="T25" i="6" s="1"/>
  <c r="I27" i="6"/>
  <c r="T10" i="6" l="1"/>
  <c r="P10" i="6"/>
  <c r="Q10" i="6"/>
  <c r="R10" i="6" s="1"/>
  <c r="P11" i="6"/>
  <c r="T11" i="6"/>
  <c r="Q11" i="6"/>
  <c r="R11" i="6" s="1"/>
  <c r="P29" i="6"/>
  <c r="Q29" i="6"/>
  <c r="R29" i="6" s="1"/>
  <c r="P21" i="6"/>
  <c r="Q21" i="6"/>
  <c r="R21" i="6" s="1"/>
  <c r="P24" i="6"/>
  <c r="Q24" i="6"/>
  <c r="R24" i="6" s="1"/>
  <c r="P14" i="6"/>
  <c r="Q14" i="6"/>
  <c r="R14" i="6" s="1"/>
  <c r="P31" i="6"/>
  <c r="Q31" i="6"/>
  <c r="R31" i="6" s="1"/>
  <c r="P16" i="6"/>
  <c r="Q16" i="6"/>
  <c r="R16" i="6" s="1"/>
  <c r="P7" i="6"/>
  <c r="Q7" i="6"/>
  <c r="R7" i="6" s="1"/>
  <c r="P22" i="6"/>
  <c r="Q22" i="6"/>
  <c r="R22" i="6" s="1"/>
  <c r="P6" i="6"/>
  <c r="Q6" i="6"/>
  <c r="R6" i="6" s="1"/>
  <c r="P5" i="6"/>
  <c r="Q5" i="6"/>
  <c r="R5" i="6" s="1"/>
  <c r="P20" i="6"/>
  <c r="Q20" i="6"/>
  <c r="R20" i="6" s="1"/>
  <c r="P18" i="6"/>
  <c r="Q18" i="6"/>
  <c r="R18" i="6" s="1"/>
  <c r="P28" i="6"/>
  <c r="Q28" i="6"/>
  <c r="R28" i="6" s="1"/>
  <c r="P4" i="6"/>
  <c r="Q4" i="6"/>
  <c r="R4" i="6" s="1"/>
  <c r="P23" i="6"/>
  <c r="Q23" i="6"/>
  <c r="R23" i="6" s="1"/>
  <c r="P3" i="6"/>
  <c r="Q3" i="6"/>
  <c r="R3" i="6" s="1"/>
  <c r="P13" i="6"/>
  <c r="Q13" i="6"/>
  <c r="R13" i="6" s="1"/>
  <c r="P26" i="6"/>
  <c r="Q26" i="6"/>
  <c r="R26" i="6" s="1"/>
  <c r="P25" i="6"/>
  <c r="Q25" i="6"/>
  <c r="R25" i="6" s="1"/>
  <c r="P8" i="6"/>
  <c r="Q8" i="6"/>
  <c r="R8" i="6" s="1"/>
  <c r="P30" i="6"/>
  <c r="Q30" i="6"/>
  <c r="R30" i="6" s="1"/>
  <c r="P19" i="6"/>
  <c r="Q19" i="6"/>
  <c r="R19" i="6" s="1"/>
  <c r="P15" i="6"/>
  <c r="Q15" i="6"/>
  <c r="R15" i="6" s="1"/>
  <c r="P9" i="6"/>
  <c r="Q9" i="6"/>
  <c r="R9" i="6" s="1"/>
  <c r="P12" i="6"/>
  <c r="Q12" i="6"/>
  <c r="R12" i="6" s="1"/>
  <c r="J41" i="6"/>
  <c r="K41" i="6" s="1"/>
  <c r="L41" i="6" s="1"/>
  <c r="N41" i="6" s="1"/>
  <c r="T41" i="6" s="1"/>
  <c r="J66" i="6"/>
  <c r="K66" i="6" s="1"/>
  <c r="L66" i="6" s="1"/>
  <c r="N66" i="6" s="1"/>
  <c r="T66" i="6" s="1"/>
  <c r="J67" i="6"/>
  <c r="K67" i="6" s="1"/>
  <c r="L67" i="6" s="1"/>
  <c r="N67" i="6" s="1"/>
  <c r="T67" i="6" s="1"/>
  <c r="J2" i="6"/>
  <c r="K2" i="6" s="1"/>
  <c r="L2" i="6" s="1"/>
  <c r="N2" i="6" s="1"/>
  <c r="T2" i="6" s="1"/>
  <c r="I17" i="6"/>
  <c r="I32" i="6"/>
  <c r="J27" i="6"/>
  <c r="K27" i="6" s="1"/>
  <c r="L27" i="6" s="1"/>
  <c r="N27" i="6" s="1"/>
  <c r="T27" i="6" s="1"/>
  <c r="P2" i="6" l="1"/>
  <c r="Q2" i="6"/>
  <c r="P27" i="6"/>
  <c r="Q27" i="6"/>
  <c r="R27" i="6" s="1"/>
  <c r="I33" i="6"/>
  <c r="R32" i="6" l="1"/>
  <c r="T32" i="6" s="1"/>
  <c r="Q32" i="6"/>
  <c r="Q17" i="6"/>
  <c r="R2" i="6"/>
  <c r="R17" i="6" s="1"/>
  <c r="T17" i="6" s="1"/>
  <c r="R33" i="6" l="1"/>
  <c r="T33" i="6" s="1"/>
  <c r="Q33" i="6"/>
  <c r="K12" i="3" l="1"/>
  <c r="K13" i="3" s="1"/>
  <c r="J19" i="3"/>
  <c r="K19" i="3" s="1"/>
  <c r="K20" i="3" s="1"/>
  <c r="K22" i="3" l="1"/>
  <c r="K32" i="3" s="1"/>
</calcChain>
</file>

<file path=xl/sharedStrings.xml><?xml version="1.0" encoding="utf-8"?>
<sst xmlns="http://schemas.openxmlformats.org/spreadsheetml/2006/main" count="235" uniqueCount="181">
  <si>
    <t>Waste Management - Seattle/South Sound</t>
  </si>
  <si>
    <t>Pro Forma</t>
  </si>
  <si>
    <t>Proposed</t>
  </si>
  <si>
    <t>Revenue</t>
  </si>
  <si>
    <t>Rate</t>
  </si>
  <si>
    <t>Tons</t>
  </si>
  <si>
    <t>TG-140471</t>
  </si>
  <si>
    <t>Extras</t>
  </si>
  <si>
    <t>Regulated Revenue and Expense Adjustment</t>
  </si>
  <si>
    <t>Regulated</t>
  </si>
  <si>
    <t>Expense</t>
  </si>
  <si>
    <t>Gross up</t>
  </si>
  <si>
    <t>Cost</t>
  </si>
  <si>
    <t>Adj.</t>
  </si>
  <si>
    <t>Factor</t>
  </si>
  <si>
    <t>Commercial</t>
  </si>
  <si>
    <t>King County</t>
  </si>
  <si>
    <t>Residential</t>
  </si>
  <si>
    <t>Roll Off</t>
  </si>
  <si>
    <t>Per Ton</t>
  </si>
  <si>
    <t>Per Pound</t>
  </si>
  <si>
    <t>Gross Up Factors</t>
  </si>
  <si>
    <t xml:space="preserve">Current Rate </t>
  </si>
  <si>
    <t>B&amp;O tax</t>
  </si>
  <si>
    <t>New Rate per ton</t>
  </si>
  <si>
    <t>WUTC fees</t>
  </si>
  <si>
    <t>Increase</t>
  </si>
  <si>
    <t>Bad Debts</t>
  </si>
  <si>
    <t>Transfer Station</t>
  </si>
  <si>
    <t>Increase per ton</t>
  </si>
  <si>
    <t>Grossed Up Increase per ton</t>
  </si>
  <si>
    <t>Total</t>
  </si>
  <si>
    <t>Tons Collected</t>
  </si>
  <si>
    <t>Disposal Fee Revenue Increase</t>
  </si>
  <si>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</si>
  <si>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</si>
  <si>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</si>
  <si>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</si>
  <si>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</si>
  <si>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</si>
  <si>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</si>
  <si>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</si>
  <si>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</si>
  <si>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</si>
  <si>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</si>
  <si>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</si>
  <si>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</si>
  <si>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</si>
  <si>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</si>
  <si>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</si>
  <si>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Meeks Weights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</si>
  <si>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</si>
  <si>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</si>
  <si>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</si>
  <si>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</si>
  <si>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</si>
  <si>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</si>
  <si>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</si>
  <si>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</si>
  <si>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</si>
  <si>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n/a</t>
  </si>
  <si>
    <t>5 cans</t>
  </si>
  <si>
    <t>6 cans</t>
  </si>
  <si>
    <t>35 gallon Can</t>
  </si>
  <si>
    <t>*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</si>
  <si>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</si>
  <si>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</si>
  <si>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</si>
  <si>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</si>
  <si>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</si>
  <si>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</si>
  <si>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</si>
  <si>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</si>
  <si>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</si>
  <si>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</si>
  <si>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</si>
  <si>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</si>
  <si>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1 yd packer/compactor</t>
  </si>
  <si>
    <t>1.5 yd packer/compactor</t>
  </si>
  <si>
    <t>2 yd packer/compactor</t>
  </si>
  <si>
    <t>3 yd packer/compactor</t>
  </si>
  <si>
    <t>4 yd packer/compactor</t>
  </si>
  <si>
    <t>5 yd packer/compactor</t>
  </si>
  <si>
    <t>6 yd packer/compactor</t>
  </si>
  <si>
    <t>8 yd packer/compactor</t>
  </si>
  <si>
    <t>Yards</t>
  </si>
  <si>
    <t>* not on meeks - calculated by staff</t>
  </si>
  <si>
    <t>Tariff Page</t>
  </si>
  <si>
    <t>Line of Service</t>
  </si>
  <si>
    <t>Monthly Customers</t>
  </si>
  <si>
    <t>Monthly Frequency</t>
  </si>
  <si>
    <t>Annual PU's</t>
  </si>
  <si>
    <t>Calculated Annual Pounds</t>
  </si>
  <si>
    <t>Adjusted Annual Pounds</t>
  </si>
  <si>
    <t>Gross Up</t>
  </si>
  <si>
    <t>Tariff Rate Increase</t>
  </si>
  <si>
    <t>Company Current Tariff</t>
  </si>
  <si>
    <t>Company Current Revenue</t>
  </si>
  <si>
    <t>Revised Tariff Rate</t>
  </si>
  <si>
    <t>Revised Revenue</t>
  </si>
  <si>
    <t>Revised Revenue Increase</t>
  </si>
  <si>
    <t>Mini-Can Weekly</t>
  </si>
  <si>
    <t>1 Can Monthly</t>
  </si>
  <si>
    <t>1 Can Weekly</t>
  </si>
  <si>
    <t>2 Can Weekly</t>
  </si>
  <si>
    <t>3 Can Weekly</t>
  </si>
  <si>
    <t>4 Can Weekly</t>
  </si>
  <si>
    <t>20 Gal. Cart Weekly</t>
  </si>
  <si>
    <t>35 Gal. Cart Weekly</t>
  </si>
  <si>
    <t>64 Gal. Cart Weekly</t>
  </si>
  <si>
    <t>96 Gal. Cart Weekly</t>
  </si>
  <si>
    <t>Extra Can/Bag</t>
  </si>
  <si>
    <t>32 Gal Can</t>
  </si>
  <si>
    <t>35 Gal Cart</t>
  </si>
  <si>
    <t>64 Gal Cart</t>
  </si>
  <si>
    <t>96 Gal Cart</t>
  </si>
  <si>
    <t>1 Yd</t>
  </si>
  <si>
    <t>1.5 Yd</t>
  </si>
  <si>
    <t>2 Yd</t>
  </si>
  <si>
    <t>3 Yd</t>
  </si>
  <si>
    <t>4 Yd</t>
  </si>
  <si>
    <t>6 Yd</t>
  </si>
  <si>
    <t>8 Yd</t>
  </si>
  <si>
    <t>3 Yd Compact</t>
  </si>
  <si>
    <t>6 Yd Compact</t>
  </si>
  <si>
    <t>Totals</t>
  </si>
  <si>
    <t>No Current Customers</t>
  </si>
  <si>
    <t>5 Cans Weekly</t>
  </si>
  <si>
    <t>4 Yd Compact</t>
  </si>
  <si>
    <t>Adjustment Factor Calculation</t>
  </si>
  <si>
    <t>Total Tonnage</t>
  </si>
  <si>
    <t>Total Pounds</t>
  </si>
  <si>
    <t>Total Pick Ups</t>
  </si>
  <si>
    <t>Adjustment factor</t>
  </si>
  <si>
    <t>Mini-Can Monthly</t>
  </si>
  <si>
    <t>Micro-Can Weekly</t>
  </si>
  <si>
    <t>3 Yd Temp</t>
  </si>
  <si>
    <t>4 Yd Temp</t>
  </si>
  <si>
    <t>6 Yd Temp</t>
  </si>
  <si>
    <t>5 Yd Compact</t>
  </si>
  <si>
    <t>8 Yd Temp</t>
  </si>
  <si>
    <t>35 Gal Cart Spec</t>
  </si>
  <si>
    <t>64 Gal Cart Spec</t>
  </si>
  <si>
    <t>96 Gal Cart Spec</t>
  </si>
  <si>
    <t>1 Yd Spec</t>
  </si>
  <si>
    <t>1.5 Yd Spec</t>
  </si>
  <si>
    <t>2 Yd Spec</t>
  </si>
  <si>
    <t>3 Yd Spec</t>
  </si>
  <si>
    <t>4 Yd Spec</t>
  </si>
  <si>
    <t>6 Yd Spec</t>
  </si>
  <si>
    <t>8 Yd Spec</t>
  </si>
  <si>
    <t>20 Gal Can Spec</t>
  </si>
  <si>
    <t>32 Gal Can Spec</t>
  </si>
  <si>
    <t>3 Yd Compact Spec</t>
  </si>
  <si>
    <t>4 Yd Compact Spec</t>
  </si>
  <si>
    <t>5 Yd Compact Spec</t>
  </si>
  <si>
    <t>6 Yd Compact Spec</t>
  </si>
  <si>
    <t>20 Gal Commercial Pickup</t>
  </si>
  <si>
    <t>20 Gal Commercial Minimum Charge</t>
  </si>
  <si>
    <t>20 Gal Commercial Temp</t>
  </si>
  <si>
    <t>32 Gal Commercial Pickup</t>
  </si>
  <si>
    <t>32 Gal Commercial Minimum Charge</t>
  </si>
  <si>
    <t>32 Gal Commercial Temp</t>
  </si>
  <si>
    <t>1 Yd Temp</t>
  </si>
  <si>
    <t>1.5 Yd Temp</t>
  </si>
  <si>
    <t>2 Yd Temp</t>
  </si>
  <si>
    <t>Multi-Family / Commercial</t>
  </si>
  <si>
    <t>Loose/Bulky Material Per Yd</t>
  </si>
  <si>
    <t>From TG-140471</t>
  </si>
  <si>
    <t>Company Calculated Rate</t>
  </si>
  <si>
    <t>Seattle/South Sound</t>
  </si>
  <si>
    <t>26 and 36</t>
  </si>
  <si>
    <t>26 and 37</t>
  </si>
  <si>
    <t>25 and 36</t>
  </si>
  <si>
    <t>20 Gal. Cart Monthly</t>
  </si>
  <si>
    <t>35 Gal. Cart Monthly</t>
  </si>
  <si>
    <t>2 Yd Compact</t>
  </si>
  <si>
    <t>2 Yd Compact Spec</t>
  </si>
  <si>
    <t>King County Tonnage Fee</t>
  </si>
  <si>
    <t>per ton</t>
  </si>
  <si>
    <t>King County Fixed Annual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</si>
</sst>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  <numFmt numFmtId="167" formatCode="0.0000%"/>
    <numFmt numFmtId="168" formatCode="_(&quot;$&quot;* #,##0.000000_);_(&quot;$&quot;* \(#,##0.000000\);_(&quot;$&quot;* &quot;-&quot;??_);_(@_)"/>
    <numFmt numFmtId="169" formatCode="0.000000"/>
    <numFmt numFmtId="170" formatCode="0.0000"/>
    <numFmt numFmtId="171" formatCode="0.0000000%"/>
    <numFmt numFmtId="172" formatCode="0.00000%"/>
    <numFmt numFmtId="173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u val="singleAccounting"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u val="singleAccounting"/>
      <sz val="10"/>
      <name val="Arial"/>
      <family val="2"/>
    </font>
    <font>
      <b/>
      <u val="double"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rgb="FFFF0000"/>
      <name val="Calibri"/>
      <family val="2"/>
      <scheme val="minor"/>
    </font>
    <font>
      <sz val="9"/>
      <color indexed="10"/>
      <name val="Helv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sz val="10"/>
      <color theme="3" tint="0.39997558519241921"/>
      <name val="Arial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</cellStyleXfs>
  <cellXfs count="176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/>
    <xf numFmtId="0" fontId="0" fillId="0" borderId="0" xfId="0" applyBorder="1"/>
    <xf numFmtId="0" fontId="5" fillId="0" borderId="0" xfId="0" applyFont="1" applyAlignment="1">
      <alignment horizontal="left"/>
    </xf>
    <xf numFmtId="0" fontId="3" fillId="0" borderId="0" xfId="0" applyFont="1"/>
    <xf numFmtId="43" fontId="8" fillId="0" borderId="0" xfId="5" applyFont="1" applyBorder="1"/>
    <xf numFmtId="44" fontId="3" fillId="0" borderId="0" xfId="7" applyFont="1" applyBorder="1"/>
    <xf numFmtId="165" fontId="8" fillId="0" borderId="0" xfId="2" applyNumberFormat="1" applyFont="1" applyBorder="1"/>
    <xf numFmtId="165" fontId="9" fillId="0" borderId="0" xfId="0" applyNumberFormat="1" applyFont="1"/>
    <xf numFmtId="165" fontId="9" fillId="0" borderId="0" xfId="2" applyNumberFormat="1" applyFont="1"/>
    <xf numFmtId="43" fontId="7" fillId="0" borderId="0" xfId="0" applyNumberFormat="1" applyFont="1" applyBorder="1"/>
    <xf numFmtId="44" fontId="6" fillId="0" borderId="0" xfId="7" applyFont="1" applyBorder="1"/>
    <xf numFmtId="165" fontId="7" fillId="0" borderId="0" xfId="7" applyNumberFormat="1" applyFont="1" applyBorder="1"/>
    <xf numFmtId="44" fontId="7" fillId="0" borderId="0" xfId="7" applyFont="1" applyBorder="1"/>
    <xf numFmtId="0" fontId="1" fillId="0" borderId="0" xfId="0" applyFont="1" applyBorder="1"/>
    <xf numFmtId="165" fontId="0" fillId="0" borderId="0" xfId="0" applyNumberFormat="1" applyBorder="1"/>
    <xf numFmtId="165" fontId="8" fillId="0" borderId="0" xfId="5" applyNumberFormat="1" applyFont="1" applyBorder="1"/>
    <xf numFmtId="43" fontId="10" fillId="0" borderId="0" xfId="0" applyNumberFormat="1" applyFont="1" applyBorder="1"/>
    <xf numFmtId="165" fontId="10" fillId="0" borderId="0" xfId="2" applyNumberFormat="1" applyFont="1" applyBorder="1"/>
    <xf numFmtId="2" fontId="0" fillId="0" borderId="0" xfId="0" applyNumberFormat="1"/>
    <xf numFmtId="43" fontId="11" fillId="0" borderId="0" xfId="0" applyNumberFormat="1" applyFont="1" applyBorder="1"/>
    <xf numFmtId="44" fontId="11" fillId="0" borderId="0" xfId="7" applyFont="1" applyBorder="1"/>
    <xf numFmtId="165" fontId="11" fillId="0" borderId="0" xfId="0" applyNumberFormat="1" applyFont="1" applyBorder="1"/>
    <xf numFmtId="165" fontId="11" fillId="0" borderId="0" xfId="7" applyNumberFormat="1" applyFont="1" applyBorder="1"/>
    <xf numFmtId="0" fontId="11" fillId="0" borderId="0" xfId="0" applyFont="1"/>
    <xf numFmtId="0" fontId="12" fillId="0" borderId="0" xfId="0" applyFont="1"/>
    <xf numFmtId="43" fontId="12" fillId="0" borderId="0" xfId="0" applyNumberFormat="1" applyFont="1"/>
    <xf numFmtId="165" fontId="12" fillId="0" borderId="0" xfId="2" applyNumberFormat="1" applyFont="1"/>
    <xf numFmtId="0" fontId="0" fillId="0" borderId="0" xfId="0" applyFont="1"/>
    <xf numFmtId="0" fontId="2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44" fontId="1" fillId="0" borderId="0" xfId="2" applyFont="1" applyFill="1"/>
    <xf numFmtId="166" fontId="1" fillId="0" borderId="0" xfId="2" applyNumberFormat="1" applyFont="1" applyFill="1"/>
    <xf numFmtId="167" fontId="1" fillId="0" borderId="0" xfId="3" applyNumberFormat="1" applyFont="1"/>
    <xf numFmtId="166" fontId="1" fillId="0" borderId="1" xfId="2" applyNumberFormat="1" applyFont="1" applyFill="1" applyBorder="1"/>
    <xf numFmtId="167" fontId="1" fillId="0" borderId="0" xfId="3" applyNumberFormat="1" applyFont="1" applyBorder="1"/>
    <xf numFmtId="0" fontId="0" fillId="0" borderId="0" xfId="0" applyFont="1" applyAlignment="1">
      <alignment horizontal="left" indent="1"/>
    </xf>
    <xf numFmtId="168" fontId="1" fillId="0" borderId="0" xfId="2" applyNumberFormat="1" applyFont="1" applyFill="1"/>
    <xf numFmtId="0" fontId="0" fillId="2" borderId="1" xfId="0" applyFont="1" applyFill="1" applyBorder="1"/>
    <xf numFmtId="44" fontId="0" fillId="0" borderId="0" xfId="0" applyNumberFormat="1" applyFont="1"/>
    <xf numFmtId="169" fontId="0" fillId="0" borderId="0" xfId="0" applyNumberFormat="1" applyFont="1"/>
    <xf numFmtId="170" fontId="0" fillId="0" borderId="0" xfId="0" applyNumberFormat="1"/>
    <xf numFmtId="0" fontId="13" fillId="0" borderId="0" xfId="0" applyFont="1"/>
    <xf numFmtId="0" fontId="14" fillId="0" borderId="0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3" fontId="1" fillId="0" borderId="0" xfId="1" applyFont="1"/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/>
    <xf numFmtId="43" fontId="1" fillId="0" borderId="0" xfId="1" applyFont="1" applyAlignment="1">
      <alignment horizontal="center"/>
    </xf>
    <xf numFmtId="164" fontId="1" fillId="0" borderId="0" xfId="1" applyNumberFormat="1" applyFont="1"/>
    <xf numFmtId="0" fontId="0" fillId="3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44" fontId="1" fillId="4" borderId="1" xfId="2" applyFont="1" applyFill="1" applyBorder="1"/>
    <xf numFmtId="167" fontId="0" fillId="0" borderId="0" xfId="0" applyNumberFormat="1" applyFont="1"/>
    <xf numFmtId="44" fontId="2" fillId="0" borderId="0" xfId="0" applyNumberFormat="1" applyFont="1"/>
    <xf numFmtId="43" fontId="3" fillId="0" borderId="0" xfId="9" applyFont="1" applyFill="1"/>
    <xf numFmtId="164" fontId="3" fillId="0" borderId="0" xfId="1" applyNumberFormat="1" applyFont="1" applyFill="1"/>
    <xf numFmtId="164" fontId="3" fillId="0" borderId="0" xfId="1" applyNumberFormat="1" applyFont="1" applyFill="1" applyBorder="1"/>
    <xf numFmtId="43" fontId="3" fillId="0" borderId="0" xfId="9" applyFont="1" applyFill="1" applyBorder="1"/>
    <xf numFmtId="172" fontId="16" fillId="0" borderId="1" xfId="6" applyNumberFormat="1" applyFont="1" applyBorder="1" applyProtection="1"/>
    <xf numFmtId="165" fontId="8" fillId="4" borderId="0" xfId="7" applyNumberFormat="1" applyFont="1" applyFill="1" applyBorder="1"/>
    <xf numFmtId="165" fontId="8" fillId="4" borderId="0" xfId="5" applyNumberFormat="1" applyFont="1" applyFill="1" applyBorder="1"/>
    <xf numFmtId="165" fontId="10" fillId="4" borderId="0" xfId="2" applyNumberFormat="1" applyFont="1" applyFill="1" applyBorder="1"/>
    <xf numFmtId="164" fontId="1" fillId="4" borderId="1" xfId="1" applyNumberFormat="1" applyFont="1" applyFill="1" applyBorder="1"/>
    <xf numFmtId="0" fontId="17" fillId="2" borderId="1" xfId="0" applyFont="1" applyFill="1" applyBorder="1"/>
    <xf numFmtId="0" fontId="17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164" fontId="17" fillId="2" borderId="1" xfId="1" applyNumberFormat="1" applyFont="1" applyFill="1" applyBorder="1" applyAlignment="1">
      <alignment horizontal="center" wrapText="1"/>
    </xf>
    <xf numFmtId="0" fontId="17" fillId="2" borderId="1" xfId="0" applyFont="1" applyFill="1" applyBorder="1" applyAlignment="1">
      <alignment wrapText="1"/>
    </xf>
    <xf numFmtId="0" fontId="18" fillId="0" borderId="0" xfId="0" applyFont="1"/>
    <xf numFmtId="0" fontId="18" fillId="0" borderId="0" xfId="0" applyFont="1" applyFill="1" applyBorder="1" applyAlignment="1">
      <alignment horizontal="center" vertical="center"/>
    </xf>
    <xf numFmtId="164" fontId="18" fillId="0" borderId="0" xfId="1" applyNumberFormat="1" applyFont="1" applyFill="1" applyBorder="1"/>
    <xf numFmtId="43" fontId="3" fillId="0" borderId="0" xfId="1" applyNumberFormat="1" applyFont="1" applyFill="1" applyBorder="1"/>
    <xf numFmtId="164" fontId="18" fillId="0" borderId="0" xfId="1" applyNumberFormat="1" applyFont="1" applyFill="1" applyBorder="1" applyAlignment="1">
      <alignment horizontal="center" wrapText="1"/>
    </xf>
    <xf numFmtId="44" fontId="18" fillId="0" borderId="0" xfId="2" applyFont="1" applyFill="1" applyBorder="1"/>
    <xf numFmtId="44" fontId="18" fillId="7" borderId="0" xfId="2" applyFont="1" applyFill="1" applyBorder="1"/>
    <xf numFmtId="165" fontId="18" fillId="0" borderId="0" xfId="2" applyNumberFormat="1" applyFont="1" applyFill="1" applyBorder="1"/>
    <xf numFmtId="44" fontId="18" fillId="5" borderId="0" xfId="2" applyFont="1" applyFill="1" applyBorder="1"/>
    <xf numFmtId="0" fontId="18" fillId="0" borderId="0" xfId="0" applyFont="1" applyFill="1" applyBorder="1" applyAlignment="1">
      <alignment horizontal="center" vertical="center" textRotation="90"/>
    </xf>
    <xf numFmtId="0" fontId="18" fillId="2" borderId="1" xfId="0" applyFont="1" applyFill="1" applyBorder="1" applyAlignment="1">
      <alignment vertical="center" textRotation="90"/>
    </xf>
    <xf numFmtId="44" fontId="18" fillId="2" borderId="1" xfId="2" applyFont="1" applyFill="1" applyBorder="1"/>
    <xf numFmtId="0" fontId="6" fillId="2" borderId="1" xfId="10" applyFont="1" applyFill="1" applyBorder="1" applyAlignment="1">
      <alignment horizontal="left"/>
    </xf>
    <xf numFmtId="3" fontId="17" fillId="2" borderId="1" xfId="0" applyNumberFormat="1" applyFont="1" applyFill="1" applyBorder="1" applyAlignment="1">
      <alignment horizontal="right"/>
    </xf>
    <xf numFmtId="43" fontId="18" fillId="2" borderId="1" xfId="1" applyFont="1" applyFill="1" applyBorder="1"/>
    <xf numFmtId="164" fontId="17" fillId="2" borderId="1" xfId="0" applyNumberFormat="1" applyFont="1" applyFill="1" applyBorder="1"/>
    <xf numFmtId="43" fontId="18" fillId="2" borderId="1" xfId="0" applyNumberFormat="1" applyFont="1" applyFill="1" applyBorder="1"/>
    <xf numFmtId="3" fontId="17" fillId="2" borderId="1" xfId="0" applyNumberFormat="1" applyFont="1" applyFill="1" applyBorder="1"/>
    <xf numFmtId="164" fontId="17" fillId="2" borderId="1" xfId="1" applyNumberFormat="1" applyFont="1" applyFill="1" applyBorder="1"/>
    <xf numFmtId="165" fontId="17" fillId="4" borderId="1" xfId="2" applyNumberFormat="1" applyFont="1" applyFill="1" applyBorder="1"/>
    <xf numFmtId="44" fontId="17" fillId="2" borderId="1" xfId="2" applyFont="1" applyFill="1" applyBorder="1"/>
    <xf numFmtId="43" fontId="18" fillId="0" borderId="0" xfId="1" applyNumberFormat="1" applyFont="1" applyFill="1" applyBorder="1"/>
    <xf numFmtId="0" fontId="18" fillId="0" borderId="0" xfId="0" applyFont="1" applyFill="1"/>
    <xf numFmtId="43" fontId="18" fillId="0" borderId="0" xfId="2" applyNumberFormat="1" applyFont="1" applyFill="1" applyBorder="1"/>
    <xf numFmtId="0" fontId="18" fillId="0" borderId="0" xfId="0" applyFont="1" applyBorder="1"/>
    <xf numFmtId="0" fontId="6" fillId="0" borderId="0" xfId="10" applyFont="1" applyFill="1" applyBorder="1" applyAlignment="1">
      <alignment horizontal="left"/>
    </xf>
    <xf numFmtId="164" fontId="17" fillId="0" borderId="0" xfId="1" applyNumberFormat="1" applyFont="1" applyBorder="1" applyAlignment="1">
      <alignment horizontal="right"/>
    </xf>
    <xf numFmtId="44" fontId="17" fillId="0" borderId="0" xfId="2" applyFont="1" applyBorder="1" applyAlignment="1">
      <alignment horizontal="right"/>
    </xf>
    <xf numFmtId="165" fontId="17" fillId="0" borderId="0" xfId="2" applyNumberFormat="1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164" fontId="18" fillId="0" borderId="0" xfId="1" applyNumberFormat="1" applyFont="1" applyBorder="1"/>
    <xf numFmtId="44" fontId="18" fillId="0" borderId="0" xfId="1" applyNumberFormat="1" applyFont="1" applyFill="1" applyBorder="1"/>
    <xf numFmtId="0" fontId="18" fillId="6" borderId="0" xfId="0" applyFont="1" applyFill="1" applyBorder="1"/>
    <xf numFmtId="0" fontId="17" fillId="6" borderId="0" xfId="0" applyFont="1" applyFill="1" applyBorder="1"/>
    <xf numFmtId="0" fontId="18" fillId="6" borderId="0" xfId="0" applyFont="1" applyFill="1" applyBorder="1" applyAlignment="1">
      <alignment horizontal="right"/>
    </xf>
    <xf numFmtId="164" fontId="18" fillId="6" borderId="0" xfId="1" applyNumberFormat="1" applyFont="1" applyFill="1" applyBorder="1"/>
    <xf numFmtId="44" fontId="18" fillId="6" borderId="0" xfId="1" applyNumberFormat="1" applyFont="1" applyFill="1" applyBorder="1"/>
    <xf numFmtId="0" fontId="18" fillId="0" borderId="0" xfId="0" applyFont="1" applyFill="1" applyBorder="1"/>
    <xf numFmtId="164" fontId="18" fillId="0" borderId="0" xfId="1" applyNumberFormat="1" applyFont="1" applyFill="1" applyBorder="1" applyAlignment="1">
      <alignment horizontal="right"/>
    </xf>
    <xf numFmtId="171" fontId="18" fillId="0" borderId="0" xfId="3" applyNumberFormat="1" applyFont="1" applyFill="1" applyBorder="1"/>
    <xf numFmtId="0" fontId="18" fillId="0" borderId="0" xfId="0" applyFont="1" applyFill="1" applyBorder="1" applyAlignment="1">
      <alignment horizontal="center"/>
    </xf>
    <xf numFmtId="44" fontId="18" fillId="0" borderId="0" xfId="0" applyNumberFormat="1" applyFont="1" applyFill="1" applyBorder="1"/>
    <xf numFmtId="164" fontId="18" fillId="0" borderId="0" xfId="0" applyNumberFormat="1" applyFont="1"/>
    <xf numFmtId="0" fontId="18" fillId="0" borderId="3" xfId="0" applyFont="1" applyFill="1" applyBorder="1" applyAlignment="1">
      <alignment horizontal="center"/>
    </xf>
    <xf numFmtId="0" fontId="3" fillId="0" borderId="1" xfId="11" applyFont="1" applyFill="1" applyBorder="1"/>
    <xf numFmtId="164" fontId="18" fillId="0" borderId="1" xfId="1" applyNumberFormat="1" applyFont="1" applyFill="1" applyBorder="1" applyAlignment="1">
      <alignment horizontal="right"/>
    </xf>
    <xf numFmtId="43" fontId="18" fillId="0" borderId="1" xfId="1" applyNumberFormat="1" applyFont="1" applyFill="1" applyBorder="1"/>
    <xf numFmtId="164" fontId="18" fillId="0" borderId="1" xfId="1" applyNumberFormat="1" applyFont="1" applyFill="1" applyBorder="1"/>
    <xf numFmtId="44" fontId="18" fillId="0" borderId="1" xfId="2" applyFont="1" applyFill="1" applyBorder="1"/>
    <xf numFmtId="0" fontId="18" fillId="0" borderId="0" xfId="0" applyFont="1" applyFill="1" applyBorder="1" applyAlignment="1"/>
    <xf numFmtId="0" fontId="18" fillId="0" borderId="3" xfId="0" applyFont="1" applyBorder="1"/>
    <xf numFmtId="0" fontId="18" fillId="0" borderId="1" xfId="0" applyFont="1" applyBorder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vertical="center" textRotation="90"/>
    </xf>
    <xf numFmtId="0" fontId="18" fillId="0" borderId="0" xfId="0" applyFont="1" applyBorder="1" applyAlignment="1">
      <alignment horizontal="center"/>
    </xf>
    <xf numFmtId="0" fontId="19" fillId="0" borderId="0" xfId="12" applyFont="1" applyBorder="1" applyAlignment="1">
      <alignment horizontal="left"/>
    </xf>
    <xf numFmtId="0" fontId="18" fillId="2" borderId="0" xfId="0" applyFont="1" applyFill="1" applyBorder="1" applyAlignment="1"/>
    <xf numFmtId="0" fontId="18" fillId="2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164" fontId="17" fillId="0" borderId="1" xfId="1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43" fontId="18" fillId="0" borderId="0" xfId="0" applyNumberFormat="1" applyFont="1" applyBorder="1"/>
    <xf numFmtId="164" fontId="20" fillId="4" borderId="2" xfId="14" applyNumberFormat="1" applyFont="1" applyFill="1" applyBorder="1"/>
    <xf numFmtId="164" fontId="3" fillId="0" borderId="0" xfId="1" applyNumberFormat="1" applyFont="1" applyFill="1" applyBorder="1" applyAlignment="1">
      <alignment horizontal="left"/>
    </xf>
    <xf numFmtId="0" fontId="18" fillId="0" borderId="0" xfId="1" applyNumberFormat="1" applyFont="1" applyFill="1" applyBorder="1"/>
    <xf numFmtId="164" fontId="18" fillId="0" borderId="0" xfId="1" applyNumberFormat="1" applyFont="1" applyBorder="1" applyAlignment="1">
      <alignment horizontal="right"/>
    </xf>
    <xf numFmtId="0" fontId="21" fillId="0" borderId="0" xfId="1" applyNumberFormat="1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10" fontId="18" fillId="0" borderId="0" xfId="3" applyNumberFormat="1" applyFont="1" applyFill="1" applyBorder="1" applyAlignment="1">
      <alignment horizontal="right"/>
    </xf>
    <xf numFmtId="10" fontId="18" fillId="0" borderId="0" xfId="3" applyNumberFormat="1" applyFont="1" applyBorder="1" applyAlignment="1">
      <alignment horizontal="right"/>
    </xf>
    <xf numFmtId="10" fontId="18" fillId="0" borderId="0" xfId="3" applyNumberFormat="1" applyFont="1" applyBorder="1"/>
    <xf numFmtId="0" fontId="18" fillId="0" borderId="0" xfId="0" applyFont="1" applyBorder="1" applyAlignment="1">
      <alignment horizontal="right" wrapText="1"/>
    </xf>
    <xf numFmtId="0" fontId="18" fillId="0" borderId="0" xfId="0" applyFont="1" applyBorder="1" applyAlignment="1">
      <alignment horizontal="center" wrapText="1"/>
    </xf>
    <xf numFmtId="0" fontId="3" fillId="0" borderId="0" xfId="10" applyFont="1" applyFill="1" applyBorder="1" applyAlignment="1">
      <alignment horizontal="left"/>
    </xf>
    <xf numFmtId="43" fontId="18" fillId="0" borderId="0" xfId="1" applyFont="1" applyBorder="1"/>
    <xf numFmtId="44" fontId="18" fillId="0" borderId="0" xfId="0" applyNumberFormat="1" applyFont="1" applyBorder="1"/>
    <xf numFmtId="165" fontId="18" fillId="0" borderId="0" xfId="2" applyNumberFormat="1" applyFont="1" applyBorder="1"/>
    <xf numFmtId="165" fontId="18" fillId="0" borderId="0" xfId="0" applyNumberFormat="1" applyFont="1" applyBorder="1"/>
    <xf numFmtId="44" fontId="18" fillId="0" borderId="0" xfId="2" applyFont="1" applyBorder="1" applyAlignment="1">
      <alignment horizontal="right"/>
    </xf>
    <xf numFmtId="166" fontId="18" fillId="0" borderId="0" xfId="2" applyNumberFormat="1" applyFont="1" applyBorder="1"/>
    <xf numFmtId="10" fontId="18" fillId="0" borderId="0" xfId="3" applyNumberFormat="1" applyFont="1"/>
    <xf numFmtId="44" fontId="18" fillId="0" borderId="0" xfId="0" applyNumberFormat="1" applyFont="1"/>
    <xf numFmtId="44" fontId="19" fillId="0" borderId="0" xfId="7" applyFont="1" applyFill="1"/>
    <xf numFmtId="44" fontId="19" fillId="0" borderId="0" xfId="2" applyFont="1" applyFill="1" applyBorder="1"/>
    <xf numFmtId="0" fontId="19" fillId="0" borderId="0" xfId="0" applyFont="1" applyFill="1"/>
    <xf numFmtId="44" fontId="19" fillId="0" borderId="1" xfId="2" applyFont="1" applyFill="1" applyBorder="1"/>
    <xf numFmtId="0" fontId="19" fillId="0" borderId="0" xfId="0" applyFont="1"/>
    <xf numFmtId="165" fontId="17" fillId="2" borderId="1" xfId="2" applyNumberFormat="1" applyFont="1" applyFill="1" applyBorder="1" applyAlignment="1">
      <alignment horizontal="center" wrapText="1"/>
    </xf>
    <xf numFmtId="165" fontId="18" fillId="5" borderId="0" xfId="2" applyNumberFormat="1" applyFont="1" applyFill="1" applyBorder="1"/>
    <xf numFmtId="165" fontId="17" fillId="2" borderId="1" xfId="2" applyNumberFormat="1" applyFont="1" applyFill="1" applyBorder="1"/>
    <xf numFmtId="165" fontId="18" fillId="0" borderId="0" xfId="2" applyNumberFormat="1" applyFont="1"/>
    <xf numFmtId="10" fontId="17" fillId="0" borderId="0" xfId="3" applyNumberFormat="1" applyFont="1"/>
    <xf numFmtId="173" fontId="18" fillId="0" borderId="0" xfId="3" applyNumberFormat="1" applyFont="1"/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textRotation="90"/>
    </xf>
    <xf numFmtId="0" fontId="18" fillId="0" borderId="2" xfId="0" applyFont="1" applyFill="1" applyBorder="1" applyAlignment="1">
      <alignment horizontal="center" vertical="center" textRotation="90"/>
    </xf>
  </cellXfs>
  <cellStyles count="15">
    <cellStyle name="Comma" xfId="1" builtinId="3"/>
    <cellStyle name="Comma 10" xfId="9" xr:uid="{00000000-0005-0000-0000-000001000000}"/>
    <cellStyle name="Comma 2 6 2 2" xfId="5" xr:uid="{00000000-0005-0000-0000-000002000000}"/>
    <cellStyle name="Comma 20" xfId="14" xr:uid="{00000000-0005-0000-0000-000003000000}"/>
    <cellStyle name="Currency" xfId="2" builtinId="4"/>
    <cellStyle name="Currency 2 6 2 2" xfId="7" xr:uid="{00000000-0005-0000-0000-000005000000}"/>
    <cellStyle name="Normal" xfId="0" builtinId="0"/>
    <cellStyle name="Normal 10 2" xfId="4" xr:uid="{00000000-0005-0000-0000-000007000000}"/>
    <cellStyle name="Normal 2" xfId="8" xr:uid="{00000000-0005-0000-0000-000008000000}"/>
    <cellStyle name="Normal 84 2" xfId="11" xr:uid="{00000000-0005-0000-0000-000009000000}"/>
    <cellStyle name="Normal 87" xfId="13" xr:uid="{00000000-0005-0000-0000-00000A000000}"/>
    <cellStyle name="Normal 90" xfId="12" xr:uid="{00000000-0005-0000-0000-00000B000000}"/>
    <cellStyle name="Normal_Price out" xfId="10" xr:uid="{00000000-0005-0000-0000-00000C000000}"/>
    <cellStyle name="Percent" xfId="3" builtinId="5"/>
    <cellStyle name="Percent 2 6 2 2" xfId="6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2"/>
  <sheetViews>
    <sheetView workbookViewId="0">
      <selection activeCell="E29" sqref="E29"/>
    </sheetView>
  </sheetViews>
  <sheetFormatPr defaultRowHeight="15" x14ac:dyDescent="0.25"/>
  <cols>
    <col min="4" max="4" width="10.28515625" bestFit="1" customWidth="1"/>
    <col min="6" max="6" width="11.5703125" bestFit="1" customWidth="1"/>
    <col min="8" max="8" width="11.5703125" bestFit="1" customWidth="1"/>
    <col min="9" max="9" width="10.5703125" bestFit="1" customWidth="1"/>
    <col min="11" max="11" width="10.5703125" bestFit="1" customWidth="1"/>
  </cols>
  <sheetData>
    <row r="1" spans="1:11" ht="23.25" x14ac:dyDescent="0.35">
      <c r="A1" s="50" t="s">
        <v>0</v>
      </c>
    </row>
    <row r="2" spans="1:11" ht="18.75" x14ac:dyDescent="0.3">
      <c r="A2" s="49" t="s">
        <v>8</v>
      </c>
    </row>
    <row r="3" spans="1:11" ht="15.75" x14ac:dyDescent="0.25">
      <c r="A3" s="1" t="s">
        <v>6</v>
      </c>
    </row>
    <row r="6" spans="1:11" x14ac:dyDescent="0.25">
      <c r="D6" s="2"/>
      <c r="E6" s="2"/>
      <c r="F6" s="2"/>
      <c r="H6" s="2"/>
      <c r="I6" s="3" t="s">
        <v>1</v>
      </c>
      <c r="K6" s="3" t="s">
        <v>1</v>
      </c>
    </row>
    <row r="7" spans="1:11" x14ac:dyDescent="0.25">
      <c r="D7" s="3" t="s">
        <v>9</v>
      </c>
      <c r="E7" s="2"/>
      <c r="F7" s="2"/>
      <c r="G7" s="4" t="s">
        <v>2</v>
      </c>
      <c r="H7" s="3" t="s">
        <v>1</v>
      </c>
      <c r="I7" s="3" t="s">
        <v>10</v>
      </c>
      <c r="J7" s="4" t="s">
        <v>11</v>
      </c>
      <c r="K7" s="3" t="s">
        <v>3</v>
      </c>
    </row>
    <row r="8" spans="1:11" x14ac:dyDescent="0.25">
      <c r="D8" s="5" t="s">
        <v>5</v>
      </c>
      <c r="E8" s="5" t="s">
        <v>4</v>
      </c>
      <c r="F8" s="5" t="s">
        <v>12</v>
      </c>
      <c r="G8" s="5" t="s">
        <v>4</v>
      </c>
      <c r="H8" s="5" t="s">
        <v>12</v>
      </c>
      <c r="I8" s="5" t="s">
        <v>13</v>
      </c>
      <c r="J8" s="6" t="s">
        <v>14</v>
      </c>
      <c r="K8" s="5" t="s">
        <v>13</v>
      </c>
    </row>
    <row r="9" spans="1:11" x14ac:dyDescent="0.25">
      <c r="A9" s="7" t="s">
        <v>15</v>
      </c>
      <c r="D9" s="8"/>
      <c r="E9" s="8"/>
      <c r="F9" s="8"/>
      <c r="G9" s="8"/>
      <c r="H9" s="8"/>
    </row>
    <row r="10" spans="1:11" x14ac:dyDescent="0.25">
      <c r="A10" s="7"/>
      <c r="D10" s="8"/>
      <c r="E10" s="8"/>
      <c r="F10" s="8"/>
      <c r="G10" s="8"/>
      <c r="H10" s="8"/>
    </row>
    <row r="11" spans="1:11" x14ac:dyDescent="0.25">
      <c r="A11" s="9" t="s">
        <v>16</v>
      </c>
      <c r="B11" s="9"/>
      <c r="C11" s="9"/>
      <c r="D11" s="8"/>
      <c r="E11" s="8"/>
      <c r="F11" s="8"/>
      <c r="G11" s="8"/>
      <c r="H11" s="8"/>
    </row>
    <row r="12" spans="1:11" ht="17.25" x14ac:dyDescent="0.4">
      <c r="B12" s="10" t="s">
        <v>170</v>
      </c>
      <c r="D12" s="11">
        <v>11057.79</v>
      </c>
      <c r="E12" s="12">
        <v>154.02000000000001</v>
      </c>
      <c r="F12" s="69">
        <f>+D12*E12</f>
        <v>1703120.8158000002</v>
      </c>
      <c r="G12" s="12">
        <f>+References!B48</f>
        <v>185.28000000000003</v>
      </c>
      <c r="H12" s="13">
        <f>+G12*D12</f>
        <v>2048787.3312000006</v>
      </c>
      <c r="I12" s="14">
        <f>+H12-F12</f>
        <v>345666.51540000038</v>
      </c>
      <c r="J12" s="48">
        <f>+References!G52</f>
        <v>0.97273753102907079</v>
      </c>
      <c r="K12" s="15">
        <f>+I12/J12</f>
        <v>355354.35240615788</v>
      </c>
    </row>
    <row r="13" spans="1:11" s="7" customFormat="1" ht="12.75" x14ac:dyDescent="0.2">
      <c r="D13" s="16">
        <f>SUM(D12:D12)</f>
        <v>11057.79</v>
      </c>
      <c r="E13" s="17"/>
      <c r="F13" s="18">
        <f>SUM(F12:F12)</f>
        <v>1703120.8158000002</v>
      </c>
      <c r="G13" s="19"/>
      <c r="H13" s="18">
        <f>SUM(H12:H12)</f>
        <v>2048787.3312000006</v>
      </c>
      <c r="I13" s="18">
        <f>SUM(I12:I12)</f>
        <v>345666.51540000038</v>
      </c>
      <c r="K13" s="18">
        <f>SUM(K12:K12)</f>
        <v>355354.35240615788</v>
      </c>
    </row>
    <row r="14" spans="1:11" x14ac:dyDescent="0.25">
      <c r="D14" s="8"/>
      <c r="E14" s="20"/>
      <c r="F14" s="21"/>
      <c r="G14" s="8"/>
      <c r="H14" s="8"/>
    </row>
    <row r="15" spans="1:11" x14ac:dyDescent="0.25">
      <c r="D15" s="8"/>
      <c r="E15" s="20"/>
      <c r="F15" s="21"/>
      <c r="G15" s="8"/>
      <c r="H15" s="8"/>
    </row>
    <row r="16" spans="1:11" x14ac:dyDescent="0.25">
      <c r="A16" s="7" t="s">
        <v>17</v>
      </c>
      <c r="D16" s="8"/>
      <c r="E16" s="20"/>
      <c r="F16" s="21"/>
      <c r="G16" s="8"/>
      <c r="H16" s="8"/>
    </row>
    <row r="17" spans="1:11" x14ac:dyDescent="0.25">
      <c r="A17" s="7"/>
      <c r="D17" s="8"/>
      <c r="E17" s="20"/>
      <c r="F17" s="21"/>
      <c r="G17" s="8"/>
      <c r="H17" s="8"/>
    </row>
    <row r="18" spans="1:11" x14ac:dyDescent="0.25">
      <c r="A18" s="9" t="s">
        <v>16</v>
      </c>
      <c r="D18" s="8"/>
      <c r="E18" s="20"/>
      <c r="F18" s="21"/>
      <c r="G18" s="8"/>
      <c r="H18" s="8"/>
    </row>
    <row r="19" spans="1:11" ht="17.25" x14ac:dyDescent="0.4">
      <c r="B19" s="10" t="s">
        <v>170</v>
      </c>
      <c r="D19" s="11">
        <v>12487.24</v>
      </c>
      <c r="E19" s="12">
        <f>+E12</f>
        <v>154.02000000000001</v>
      </c>
      <c r="F19" s="70">
        <f>+E19*D19</f>
        <v>1923284.7048000002</v>
      </c>
      <c r="G19" s="12">
        <f>+G12</f>
        <v>185.28000000000003</v>
      </c>
      <c r="H19" s="13">
        <f>+G19*D19</f>
        <v>2313635.8272000002</v>
      </c>
      <c r="I19" s="14">
        <f>+H19-F19</f>
        <v>390351.12239999999</v>
      </c>
      <c r="J19">
        <f>+J12</f>
        <v>0.97273753102907079</v>
      </c>
      <c r="K19" s="15">
        <f>+I19/J19</f>
        <v>401291.31440733332</v>
      </c>
    </row>
    <row r="20" spans="1:11" s="7" customFormat="1" ht="12.75" x14ac:dyDescent="0.2">
      <c r="D20" s="16">
        <f>SUM(D19:D19)</f>
        <v>12487.24</v>
      </c>
      <c r="E20" s="17"/>
      <c r="F20" s="18">
        <f>SUM(F19:F19)</f>
        <v>1923284.7048000002</v>
      </c>
      <c r="G20" s="19"/>
      <c r="H20" s="18">
        <f>SUM(H19:H19)</f>
        <v>2313635.8272000002</v>
      </c>
      <c r="I20" s="18">
        <f>SUM(I19:I19)</f>
        <v>390351.12239999999</v>
      </c>
      <c r="K20" s="18">
        <f>SUM(K19:K19)</f>
        <v>401291.31440733332</v>
      </c>
    </row>
    <row r="21" spans="1:11" x14ac:dyDescent="0.25">
      <c r="D21" s="8"/>
      <c r="E21" s="20"/>
      <c r="F21" s="21"/>
      <c r="G21" s="8"/>
      <c r="H21" s="8"/>
    </row>
    <row r="22" spans="1:11" ht="17.25" x14ac:dyDescent="0.4">
      <c r="D22" s="23">
        <f>+D20+D13</f>
        <v>23545.03</v>
      </c>
      <c r="E22" s="23"/>
      <c r="F22" s="71">
        <f t="shared" ref="F22:I22" si="0">+F20+F13</f>
        <v>3626405.5206000004</v>
      </c>
      <c r="G22" s="24"/>
      <c r="H22" s="24">
        <f t="shared" si="0"/>
        <v>4362423.158400001</v>
      </c>
      <c r="I22" s="24">
        <f t="shared" si="0"/>
        <v>736017.63780000038</v>
      </c>
      <c r="K22" s="24">
        <f>+K20+K13</f>
        <v>756645.66681349115</v>
      </c>
    </row>
    <row r="23" spans="1:11" x14ac:dyDescent="0.25">
      <c r="D23" s="8"/>
      <c r="E23" s="20"/>
      <c r="F23" s="21"/>
      <c r="G23" s="8"/>
      <c r="H23" s="8"/>
    </row>
    <row r="24" spans="1:11" x14ac:dyDescent="0.25">
      <c r="D24" s="8"/>
      <c r="E24" s="20"/>
      <c r="F24" s="21"/>
      <c r="G24" s="8"/>
      <c r="H24" s="8"/>
    </row>
    <row r="25" spans="1:11" x14ac:dyDescent="0.25">
      <c r="A25" s="7" t="s">
        <v>18</v>
      </c>
      <c r="D25" s="8"/>
      <c r="E25" s="20"/>
      <c r="F25" s="21"/>
      <c r="G25" s="8"/>
      <c r="H25" s="8"/>
    </row>
    <row r="26" spans="1:11" x14ac:dyDescent="0.25">
      <c r="A26" s="7"/>
      <c r="D26" s="8"/>
      <c r="E26" s="20"/>
      <c r="F26" s="21"/>
      <c r="G26" s="8"/>
      <c r="H26" s="8"/>
    </row>
    <row r="27" spans="1:11" x14ac:dyDescent="0.25">
      <c r="A27" s="9" t="s">
        <v>16</v>
      </c>
      <c r="D27" s="8"/>
      <c r="E27" s="20"/>
      <c r="F27" s="21"/>
      <c r="G27" s="8"/>
      <c r="H27" s="8"/>
    </row>
    <row r="28" spans="1:11" ht="17.25" x14ac:dyDescent="0.4">
      <c r="B28" s="10" t="s">
        <v>170</v>
      </c>
      <c r="D28" s="11">
        <v>4222.854372971623</v>
      </c>
      <c r="E28" s="12">
        <v>154.02000000000001</v>
      </c>
      <c r="F28" s="22">
        <f>+E28*D28</f>
        <v>650404.03052508936</v>
      </c>
      <c r="G28" s="12">
        <f>+G12</f>
        <v>185.28000000000003</v>
      </c>
      <c r="H28" s="13">
        <f>+G28*D28</f>
        <v>782410.45822418248</v>
      </c>
      <c r="I28" s="14">
        <f>+H28-F28</f>
        <v>132006.42769909312</v>
      </c>
      <c r="J28" s="25">
        <v>1</v>
      </c>
      <c r="K28" s="15">
        <f>+I28/J28</f>
        <v>132006.42769909312</v>
      </c>
    </row>
    <row r="29" spans="1:11" s="7" customFormat="1" x14ac:dyDescent="0.35">
      <c r="D29" s="26">
        <f>SUM(D28:D28)</f>
        <v>4222.854372971623</v>
      </c>
      <c r="E29" s="27"/>
      <c r="F29" s="28">
        <f>SUM(F28:F28)</f>
        <v>650404.03052508936</v>
      </c>
      <c r="G29" s="27"/>
      <c r="H29" s="29">
        <f>SUM(H28:H28)</f>
        <v>782410.45822418248</v>
      </c>
      <c r="I29" s="29">
        <f>SUM(I28:I28)</f>
        <v>132006.42769909312</v>
      </c>
      <c r="J29" s="30"/>
      <c r="K29" s="29">
        <f>SUM(K28:K28)</f>
        <v>132006.42769909312</v>
      </c>
    </row>
    <row r="30" spans="1:11" x14ac:dyDescent="0.25">
      <c r="D30" s="8"/>
      <c r="E30" s="8"/>
      <c r="F30" s="21"/>
      <c r="H30" s="8"/>
    </row>
    <row r="31" spans="1:11" x14ac:dyDescent="0.25">
      <c r="A31" s="9"/>
      <c r="D31" s="8"/>
      <c r="E31" s="8"/>
      <c r="F31" s="21"/>
      <c r="H31" s="8"/>
    </row>
    <row r="32" spans="1:11" s="31" customFormat="1" ht="12.75" x14ac:dyDescent="0.2">
      <c r="D32" s="32">
        <f>+D29+D22</f>
        <v>27767.884372971621</v>
      </c>
      <c r="E32" s="32"/>
      <c r="F32" s="33">
        <f t="shared" ref="F32:K32" si="1">+F29+F22</f>
        <v>4276809.5511250896</v>
      </c>
      <c r="G32" s="32"/>
      <c r="H32" s="33">
        <f t="shared" si="1"/>
        <v>5144833.616624184</v>
      </c>
      <c r="I32" s="33">
        <f t="shared" si="1"/>
        <v>868024.0654990935</v>
      </c>
      <c r="J32" s="33"/>
      <c r="K32" s="33">
        <f t="shared" si="1"/>
        <v>888652.09451258427</v>
      </c>
    </row>
  </sheetData>
  <pageMargins left="0.7" right="0.7" top="0.5" bottom="0.5" header="0.3" footer="0.3"/>
  <pageSetup orientation="landscape" verticalDpi="599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H59"/>
  <sheetViews>
    <sheetView topLeftCell="A28" workbookViewId="0">
      <selection activeCell="B49" sqref="B49"/>
    </sheetView>
  </sheetViews>
  <sheetFormatPr defaultRowHeight="15" x14ac:dyDescent="0.25"/>
  <cols>
    <col min="1" max="1" width="36.28515625" bestFit="1" customWidth="1"/>
    <col min="2" max="2" width="19" bestFit="1" customWidth="1"/>
    <col min="3" max="3" width="16" customWidth="1"/>
    <col min="4" max="5" width="7" bestFit="1" customWidth="1"/>
    <col min="6" max="6" width="11.42578125" bestFit="1" customWidth="1"/>
    <col min="7" max="7" width="11.140625" customWidth="1"/>
  </cols>
  <sheetData>
    <row r="1" spans="1:8" x14ac:dyDescent="0.25">
      <c r="A1" s="171" t="s">
        <v>34</v>
      </c>
      <c r="B1" s="171"/>
      <c r="C1" s="171"/>
      <c r="D1" s="171"/>
      <c r="E1" s="171"/>
      <c r="F1" s="171"/>
      <c r="G1" s="171"/>
      <c r="H1" s="171"/>
    </row>
    <row r="2" spans="1:8" x14ac:dyDescent="0.25">
      <c r="A2" s="34" t="s">
        <v>35</v>
      </c>
      <c r="B2" s="51" t="s">
        <v>36</v>
      </c>
      <c r="C2" s="51" t="s">
        <v>37</v>
      </c>
      <c r="D2" s="51" t="s">
        <v>38</v>
      </c>
      <c r="E2" s="52" t="s">
        <v>39</v>
      </c>
      <c r="F2" s="52" t="s">
        <v>40</v>
      </c>
      <c r="G2" s="52" t="s">
        <v>41</v>
      </c>
      <c r="H2" s="51" t="s">
        <v>42</v>
      </c>
    </row>
    <row r="3" spans="1:8" x14ac:dyDescent="0.25">
      <c r="A3" s="34" t="s">
        <v>43</v>
      </c>
      <c r="B3" s="53">
        <f>52*5/12</f>
        <v>21.666666666666668</v>
      </c>
      <c r="C3" s="54">
        <f>$B$3*2</f>
        <v>43.333333333333336</v>
      </c>
      <c r="D3" s="54">
        <f>$B$3*3</f>
        <v>65</v>
      </c>
      <c r="E3" s="54">
        <f>$B$3*4</f>
        <v>86.666666666666671</v>
      </c>
      <c r="F3" s="54">
        <f>$B$3*5</f>
        <v>108.33333333333334</v>
      </c>
      <c r="G3" s="54">
        <f>$B$3*6</f>
        <v>130</v>
      </c>
      <c r="H3" s="54">
        <f>$B$3*7</f>
        <v>151.66666666666669</v>
      </c>
    </row>
    <row r="4" spans="1:8" x14ac:dyDescent="0.25">
      <c r="A4" s="34" t="s">
        <v>44</v>
      </c>
      <c r="B4" s="53">
        <f>52*4/12</f>
        <v>17.333333333333332</v>
      </c>
      <c r="C4" s="54">
        <f>$B$4*2</f>
        <v>34.666666666666664</v>
      </c>
      <c r="D4" s="54">
        <f>$B$4*3</f>
        <v>52</v>
      </c>
      <c r="E4" s="54">
        <f>$B$4*4</f>
        <v>69.333333333333329</v>
      </c>
      <c r="F4" s="54">
        <f>$B$4*5</f>
        <v>86.666666666666657</v>
      </c>
      <c r="G4" s="54">
        <f>$B$4*6</f>
        <v>104</v>
      </c>
      <c r="H4" s="54">
        <f>$B$4*7</f>
        <v>121.33333333333333</v>
      </c>
    </row>
    <row r="5" spans="1:8" x14ac:dyDescent="0.25">
      <c r="A5" s="34" t="s">
        <v>45</v>
      </c>
      <c r="B5" s="53">
        <f>52*3/12</f>
        <v>13</v>
      </c>
      <c r="C5" s="54">
        <f>$B$5*2</f>
        <v>26</v>
      </c>
      <c r="D5" s="54">
        <f>$B$5*3</f>
        <v>39</v>
      </c>
      <c r="E5" s="54">
        <f>$B$5*4</f>
        <v>52</v>
      </c>
      <c r="F5" s="54">
        <f>$B$5*5</f>
        <v>65</v>
      </c>
      <c r="G5" s="54">
        <f>$B$5*6</f>
        <v>78</v>
      </c>
      <c r="H5" s="54">
        <f>$B$5*7</f>
        <v>91</v>
      </c>
    </row>
    <row r="6" spans="1:8" x14ac:dyDescent="0.25">
      <c r="A6" s="34" t="s">
        <v>46</v>
      </c>
      <c r="B6" s="53">
        <f>52*2/12</f>
        <v>8.6666666666666661</v>
      </c>
      <c r="C6" s="55">
        <f>$B$6*2</f>
        <v>17.333333333333332</v>
      </c>
      <c r="D6" s="55">
        <f>$B$6*3</f>
        <v>26</v>
      </c>
      <c r="E6" s="55">
        <f>$B$6*4</f>
        <v>34.666666666666664</v>
      </c>
      <c r="F6" s="55">
        <f>$B$6*5</f>
        <v>43.333333333333329</v>
      </c>
      <c r="G6" s="55">
        <f>$B$6*6</f>
        <v>52</v>
      </c>
      <c r="H6" s="55">
        <f>$B$6*7</f>
        <v>60.666666666666664</v>
      </c>
    </row>
    <row r="7" spans="1:8" x14ac:dyDescent="0.25">
      <c r="A7" s="34" t="s">
        <v>47</v>
      </c>
      <c r="B7" s="53">
        <f>52/12</f>
        <v>4.333333333333333</v>
      </c>
      <c r="C7" s="55">
        <f>$B$7*2</f>
        <v>8.6666666666666661</v>
      </c>
      <c r="D7" s="55">
        <f>$B$7*3</f>
        <v>13</v>
      </c>
      <c r="E7" s="55">
        <f>$B$7*4</f>
        <v>17.333333333333332</v>
      </c>
      <c r="F7" s="55">
        <f>$B$7*5</f>
        <v>21.666666666666664</v>
      </c>
      <c r="G7" s="55">
        <f>$B$7*6</f>
        <v>26</v>
      </c>
      <c r="H7" s="55">
        <f>$B$7*7</f>
        <v>30.333333333333332</v>
      </c>
    </row>
    <row r="8" spans="1:8" x14ac:dyDescent="0.25">
      <c r="A8" s="34" t="s">
        <v>48</v>
      </c>
      <c r="B8" s="53">
        <f>26/12</f>
        <v>2.1666666666666665</v>
      </c>
      <c r="C8" s="55">
        <f>$B$8*2</f>
        <v>4.333333333333333</v>
      </c>
      <c r="D8" s="55">
        <f>$B$8*3</f>
        <v>6.5</v>
      </c>
      <c r="E8" s="55">
        <f>$B$8*4</f>
        <v>8.6666666666666661</v>
      </c>
      <c r="F8" s="55">
        <f>$B$8*5</f>
        <v>10.833333333333332</v>
      </c>
      <c r="G8" s="55">
        <f>$B$8*6</f>
        <v>13</v>
      </c>
      <c r="H8" s="55">
        <f>$B$8*7</f>
        <v>15.166666666666666</v>
      </c>
    </row>
    <row r="9" spans="1:8" x14ac:dyDescent="0.25">
      <c r="A9" s="34" t="s">
        <v>49</v>
      </c>
      <c r="B9" s="53">
        <f>12/12</f>
        <v>1</v>
      </c>
      <c r="C9" s="55">
        <f>$B$9*2</f>
        <v>2</v>
      </c>
      <c r="D9" s="55">
        <f>$B$9*3</f>
        <v>3</v>
      </c>
      <c r="E9" s="55">
        <f>$B$9*4</f>
        <v>4</v>
      </c>
      <c r="F9" s="55">
        <f>$B$9*5</f>
        <v>5</v>
      </c>
      <c r="G9" s="55">
        <f>$B$9*6</f>
        <v>6</v>
      </c>
      <c r="H9" s="55">
        <f>$B$9*7</f>
        <v>7</v>
      </c>
    </row>
    <row r="10" spans="1:8" x14ac:dyDescent="0.25">
      <c r="A10" s="34"/>
      <c r="B10" s="53"/>
      <c r="C10" s="55"/>
      <c r="D10" s="55"/>
      <c r="E10" s="55"/>
      <c r="F10" s="55"/>
      <c r="G10" s="55"/>
      <c r="H10" s="55"/>
    </row>
    <row r="11" spans="1:8" x14ac:dyDescent="0.25">
      <c r="A11" s="171" t="s">
        <v>50</v>
      </c>
      <c r="B11" s="171"/>
      <c r="C11" s="55"/>
      <c r="D11" s="55"/>
      <c r="E11" s="55"/>
      <c r="F11" s="55"/>
      <c r="G11" s="55"/>
      <c r="H11" s="55"/>
    </row>
    <row r="12" spans="1:8" x14ac:dyDescent="0.25">
      <c r="A12" s="4" t="s">
        <v>51</v>
      </c>
      <c r="B12" s="56" t="s">
        <v>52</v>
      </c>
      <c r="C12" s="55"/>
      <c r="D12" s="55"/>
      <c r="E12" s="55"/>
      <c r="F12" s="55"/>
      <c r="G12" s="55"/>
      <c r="H12" s="55"/>
    </row>
    <row r="13" spans="1:8" x14ac:dyDescent="0.25">
      <c r="A13" s="43" t="s">
        <v>53</v>
      </c>
      <c r="B13" s="57">
        <v>20</v>
      </c>
      <c r="C13" s="55"/>
      <c r="D13" s="55"/>
      <c r="E13" s="55"/>
      <c r="F13" s="55"/>
      <c r="G13" s="55"/>
      <c r="H13" s="55"/>
    </row>
    <row r="14" spans="1:8" x14ac:dyDescent="0.25">
      <c r="A14" s="43" t="s">
        <v>54</v>
      </c>
      <c r="B14" s="57">
        <v>34</v>
      </c>
      <c r="C14" s="55"/>
      <c r="D14" s="55"/>
      <c r="E14" s="55"/>
      <c r="F14" s="55"/>
      <c r="G14" s="55"/>
      <c r="H14" s="55"/>
    </row>
    <row r="15" spans="1:8" x14ac:dyDescent="0.25">
      <c r="A15" s="43" t="s">
        <v>55</v>
      </c>
      <c r="B15" s="57">
        <v>51</v>
      </c>
      <c r="C15" s="55"/>
      <c r="D15" s="55"/>
      <c r="E15" s="55"/>
      <c r="F15" s="55"/>
      <c r="G15" s="55"/>
      <c r="H15" s="55"/>
    </row>
    <row r="16" spans="1:8" x14ac:dyDescent="0.25">
      <c r="A16" s="43" t="s">
        <v>56</v>
      </c>
      <c r="B16" s="57">
        <v>77</v>
      </c>
      <c r="C16" s="55"/>
      <c r="D16" s="55"/>
      <c r="E16" s="55"/>
      <c r="F16" s="34" t="s">
        <v>57</v>
      </c>
      <c r="G16" s="57">
        <v>2000</v>
      </c>
      <c r="H16" s="55"/>
    </row>
    <row r="17" spans="1:8" x14ac:dyDescent="0.25">
      <c r="A17" s="43" t="s">
        <v>58</v>
      </c>
      <c r="B17" s="57">
        <v>97</v>
      </c>
      <c r="C17" s="55"/>
      <c r="D17" s="55"/>
      <c r="E17" s="55"/>
      <c r="F17" s="34" t="s">
        <v>59</v>
      </c>
      <c r="G17" s="58" t="s">
        <v>60</v>
      </c>
      <c r="H17" s="55"/>
    </row>
    <row r="18" spans="1:8" x14ac:dyDescent="0.25">
      <c r="A18" s="43" t="s">
        <v>61</v>
      </c>
      <c r="B18" s="57">
        <v>117</v>
      </c>
      <c r="C18" s="55"/>
      <c r="D18" s="55"/>
      <c r="E18" s="55"/>
      <c r="F18" s="34"/>
      <c r="G18" s="34"/>
      <c r="H18" s="55"/>
    </row>
    <row r="19" spans="1:8" x14ac:dyDescent="0.25">
      <c r="A19" s="43" t="s">
        <v>62</v>
      </c>
      <c r="B19" s="57">
        <v>157</v>
      </c>
      <c r="C19" s="55"/>
      <c r="D19" s="55"/>
      <c r="E19" s="55"/>
      <c r="F19" s="59"/>
      <c r="G19" s="60"/>
      <c r="H19" s="55"/>
    </row>
    <row r="20" spans="1:8" x14ac:dyDescent="0.25">
      <c r="A20" s="43" t="s">
        <v>63</v>
      </c>
      <c r="B20" s="57">
        <v>37</v>
      </c>
      <c r="C20" s="55" t="s">
        <v>64</v>
      </c>
      <c r="D20" s="55"/>
      <c r="E20" s="55"/>
      <c r="F20" s="59"/>
      <c r="G20" s="60"/>
      <c r="H20" s="55"/>
    </row>
    <row r="21" spans="1:8" x14ac:dyDescent="0.25">
      <c r="A21" s="43" t="s">
        <v>65</v>
      </c>
      <c r="B21" s="57">
        <v>47</v>
      </c>
      <c r="C21" s="55"/>
      <c r="D21" s="55"/>
      <c r="E21" s="55"/>
      <c r="F21" s="55"/>
      <c r="G21" s="55"/>
      <c r="H21" s="55"/>
    </row>
    <row r="22" spans="1:8" x14ac:dyDescent="0.25">
      <c r="A22" s="43" t="s">
        <v>66</v>
      </c>
      <c r="B22" s="57">
        <v>68</v>
      </c>
      <c r="C22" s="55"/>
      <c r="D22" s="55"/>
      <c r="E22" s="55"/>
      <c r="F22" s="55"/>
      <c r="G22" s="55"/>
      <c r="H22" s="55"/>
    </row>
    <row r="23" spans="1:8" x14ac:dyDescent="0.25">
      <c r="A23" s="43" t="s">
        <v>67</v>
      </c>
      <c r="B23" s="57">
        <v>34</v>
      </c>
      <c r="C23" s="55"/>
      <c r="D23" s="55"/>
      <c r="E23" s="55"/>
      <c r="F23" s="55"/>
      <c r="G23" s="55"/>
      <c r="H23" s="55"/>
    </row>
    <row r="24" spans="1:8" x14ac:dyDescent="0.25">
      <c r="A24" s="43" t="s">
        <v>7</v>
      </c>
      <c r="B24" s="57">
        <v>34</v>
      </c>
      <c r="C24" s="55"/>
      <c r="D24" s="55"/>
      <c r="E24" s="55"/>
      <c r="F24" s="55"/>
      <c r="G24" s="55"/>
      <c r="H24" s="55"/>
    </row>
    <row r="25" spans="1:8" x14ac:dyDescent="0.25">
      <c r="A25" s="4" t="s">
        <v>68</v>
      </c>
      <c r="B25" s="57"/>
      <c r="C25" s="55"/>
      <c r="D25" s="55"/>
      <c r="E25" s="55"/>
      <c r="F25" s="55"/>
      <c r="G25" s="55"/>
      <c r="H25" s="55"/>
    </row>
    <row r="26" spans="1:8" x14ac:dyDescent="0.25">
      <c r="A26" s="43" t="s">
        <v>69</v>
      </c>
      <c r="B26" s="57">
        <v>29</v>
      </c>
      <c r="C26" s="55"/>
      <c r="D26" s="55"/>
      <c r="E26" s="55"/>
      <c r="F26" s="55"/>
      <c r="G26" s="55"/>
      <c r="H26" s="55"/>
    </row>
    <row r="27" spans="1:8" x14ac:dyDescent="0.25">
      <c r="A27" s="43" t="s">
        <v>70</v>
      </c>
      <c r="B27" s="57">
        <v>175</v>
      </c>
      <c r="C27" s="55"/>
      <c r="D27" s="55"/>
      <c r="E27" s="55"/>
      <c r="F27" s="55"/>
      <c r="G27" s="55"/>
      <c r="H27" s="55"/>
    </row>
    <row r="28" spans="1:8" x14ac:dyDescent="0.25">
      <c r="A28" s="43" t="s">
        <v>71</v>
      </c>
      <c r="B28" s="57">
        <v>250</v>
      </c>
      <c r="C28" s="55"/>
      <c r="D28" s="55"/>
      <c r="E28" s="55"/>
      <c r="F28" s="55"/>
      <c r="G28" s="55"/>
      <c r="H28" s="55"/>
    </row>
    <row r="29" spans="1:8" x14ac:dyDescent="0.25">
      <c r="A29" s="43" t="s">
        <v>72</v>
      </c>
      <c r="B29" s="57">
        <v>324</v>
      </c>
      <c r="C29" s="55"/>
      <c r="D29" s="55"/>
      <c r="E29" s="55"/>
      <c r="F29" s="55"/>
      <c r="G29" s="55"/>
      <c r="H29" s="55"/>
    </row>
    <row r="30" spans="1:8" x14ac:dyDescent="0.25">
      <c r="A30" s="43" t="s">
        <v>73</v>
      </c>
      <c r="B30" s="57">
        <v>473</v>
      </c>
      <c r="C30" s="55"/>
      <c r="D30" s="55"/>
      <c r="E30" s="55"/>
      <c r="F30" s="55"/>
      <c r="G30" s="55"/>
      <c r="H30" s="55"/>
    </row>
    <row r="31" spans="1:8" x14ac:dyDescent="0.25">
      <c r="A31" s="43" t="s">
        <v>74</v>
      </c>
      <c r="B31" s="57">
        <v>613</v>
      </c>
      <c r="C31" s="55"/>
      <c r="D31" s="55"/>
      <c r="E31" s="55"/>
      <c r="F31" s="55"/>
      <c r="G31" s="55"/>
      <c r="H31" s="55"/>
    </row>
    <row r="32" spans="1:8" x14ac:dyDescent="0.25">
      <c r="A32" s="43" t="s">
        <v>75</v>
      </c>
      <c r="B32" s="57">
        <v>840</v>
      </c>
      <c r="C32" s="55"/>
      <c r="D32" s="55"/>
      <c r="E32" s="55"/>
      <c r="F32" s="55"/>
      <c r="G32" s="55"/>
      <c r="H32" s="55"/>
    </row>
    <row r="33" spans="1:8" x14ac:dyDescent="0.25">
      <c r="A33" s="43" t="s">
        <v>76</v>
      </c>
      <c r="B33" s="57">
        <v>980</v>
      </c>
      <c r="C33" s="55"/>
      <c r="D33" s="55"/>
      <c r="E33" s="55"/>
      <c r="F33" s="55"/>
      <c r="G33" s="55"/>
      <c r="H33" s="55"/>
    </row>
    <row r="34" spans="1:8" x14ac:dyDescent="0.25">
      <c r="A34" s="43" t="s">
        <v>77</v>
      </c>
      <c r="B34" s="57">
        <v>482</v>
      </c>
      <c r="C34" s="55" t="s">
        <v>64</v>
      </c>
      <c r="D34" s="55"/>
      <c r="E34" s="55"/>
      <c r="F34" s="55"/>
      <c r="G34" s="55"/>
      <c r="H34" s="55"/>
    </row>
    <row r="35" spans="1:8" x14ac:dyDescent="0.25">
      <c r="A35" s="43" t="s">
        <v>78</v>
      </c>
      <c r="B35" s="57">
        <v>689</v>
      </c>
      <c r="C35" s="55" t="s">
        <v>64</v>
      </c>
      <c r="D35" s="55"/>
      <c r="E35" s="55"/>
      <c r="F35" s="55"/>
      <c r="G35" s="55"/>
      <c r="H35" s="55"/>
    </row>
    <row r="36" spans="1:8" x14ac:dyDescent="0.25">
      <c r="A36" s="43" t="s">
        <v>79</v>
      </c>
      <c r="B36" s="57">
        <v>892</v>
      </c>
      <c r="C36" s="55" t="s">
        <v>64</v>
      </c>
      <c r="D36" s="55"/>
      <c r="E36" s="55"/>
      <c r="F36" s="55"/>
      <c r="G36" s="55"/>
      <c r="H36" s="55"/>
    </row>
    <row r="37" spans="1:8" x14ac:dyDescent="0.25">
      <c r="A37" s="43" t="s">
        <v>80</v>
      </c>
      <c r="B37" s="57">
        <v>1301</v>
      </c>
      <c r="C37" s="55"/>
      <c r="D37" s="55"/>
      <c r="E37" s="55"/>
      <c r="F37" s="55"/>
      <c r="G37" s="55"/>
      <c r="H37" s="55"/>
    </row>
    <row r="38" spans="1:8" x14ac:dyDescent="0.25">
      <c r="A38" s="43" t="s">
        <v>81</v>
      </c>
      <c r="B38" s="57">
        <v>1686</v>
      </c>
      <c r="C38" s="55"/>
      <c r="D38" s="55"/>
      <c r="E38" s="55"/>
      <c r="F38" s="55"/>
      <c r="G38" s="55"/>
      <c r="H38" s="55"/>
    </row>
    <row r="39" spans="1:8" x14ac:dyDescent="0.25">
      <c r="A39" s="43" t="s">
        <v>82</v>
      </c>
      <c r="B39" s="57">
        <v>2046</v>
      </c>
      <c r="C39" s="55"/>
      <c r="D39" s="55"/>
      <c r="E39" s="55"/>
      <c r="F39" s="55"/>
      <c r="G39" s="55"/>
      <c r="H39" s="55"/>
    </row>
    <row r="40" spans="1:8" x14ac:dyDescent="0.25">
      <c r="A40" s="43" t="s">
        <v>83</v>
      </c>
      <c r="B40" s="57">
        <v>2310</v>
      </c>
      <c r="C40" s="55"/>
      <c r="D40" s="55"/>
      <c r="E40" s="55"/>
      <c r="F40" s="55"/>
      <c r="G40" s="55"/>
      <c r="H40" s="55"/>
    </row>
    <row r="41" spans="1:8" x14ac:dyDescent="0.25">
      <c r="A41" s="43" t="s">
        <v>84</v>
      </c>
      <c r="B41" s="57">
        <v>2800</v>
      </c>
      <c r="C41" s="55" t="s">
        <v>64</v>
      </c>
      <c r="D41" s="55"/>
      <c r="E41" s="55"/>
      <c r="F41" s="55"/>
      <c r="G41" s="55"/>
      <c r="H41" s="55"/>
    </row>
    <row r="42" spans="1:8" x14ac:dyDescent="0.25">
      <c r="A42" s="43" t="s">
        <v>85</v>
      </c>
      <c r="B42" s="57">
        <v>125</v>
      </c>
      <c r="C42" s="55"/>
      <c r="D42" s="55"/>
      <c r="E42" s="55"/>
      <c r="F42" s="55"/>
      <c r="G42" s="55"/>
      <c r="H42" s="55"/>
    </row>
    <row r="43" spans="1:8" x14ac:dyDescent="0.25">
      <c r="A43" s="34"/>
      <c r="B43" s="172" t="s">
        <v>86</v>
      </c>
      <c r="C43" s="172"/>
      <c r="D43" s="34"/>
      <c r="E43" s="34"/>
      <c r="F43" s="34"/>
      <c r="G43" s="34"/>
      <c r="H43" s="34"/>
    </row>
    <row r="44" spans="1:8" x14ac:dyDescent="0.25">
      <c r="A44" s="34"/>
      <c r="B44" s="34"/>
      <c r="C44" s="34"/>
      <c r="D44" s="34"/>
      <c r="E44" s="34"/>
      <c r="F44" s="34"/>
      <c r="G44" s="34"/>
      <c r="H44" s="34"/>
    </row>
    <row r="45" spans="1:8" x14ac:dyDescent="0.25">
      <c r="A45" s="34"/>
      <c r="B45" s="34"/>
      <c r="C45" s="34"/>
      <c r="D45" s="34"/>
      <c r="E45" s="34"/>
      <c r="F45" s="34"/>
      <c r="G45" s="34"/>
      <c r="H45" s="34"/>
    </row>
    <row r="46" spans="1:8" x14ac:dyDescent="0.25">
      <c r="A46" s="35" t="s">
        <v>16</v>
      </c>
      <c r="B46" s="36" t="s">
        <v>19</v>
      </c>
      <c r="C46" s="36" t="s">
        <v>20</v>
      </c>
      <c r="D46" s="34"/>
      <c r="E46" s="34"/>
      <c r="F46" s="173" t="s">
        <v>21</v>
      </c>
      <c r="G46" s="173"/>
      <c r="H46" s="34"/>
    </row>
    <row r="47" spans="1:8" x14ac:dyDescent="0.25">
      <c r="A47" s="37" t="s">
        <v>22</v>
      </c>
      <c r="B47" s="61">
        <v>168.68</v>
      </c>
      <c r="C47" s="39">
        <f>B47/2000</f>
        <v>8.4339999999999998E-2</v>
      </c>
      <c r="D47" s="34"/>
      <c r="E47" s="34"/>
      <c r="F47" s="34" t="s">
        <v>23</v>
      </c>
      <c r="G47" s="40">
        <v>1.7500000000000002E-2</v>
      </c>
      <c r="H47" s="34"/>
    </row>
    <row r="48" spans="1:8" x14ac:dyDescent="0.25">
      <c r="A48" s="37" t="s">
        <v>24</v>
      </c>
      <c r="B48" s="61">
        <f>B59</f>
        <v>185.28000000000003</v>
      </c>
      <c r="C48" s="41">
        <f>B48/2000</f>
        <v>9.2640000000000014E-2</v>
      </c>
      <c r="D48" s="34"/>
      <c r="E48" s="34"/>
      <c r="F48" s="34" t="s">
        <v>25</v>
      </c>
      <c r="G48" s="42">
        <v>5.1000000000000004E-3</v>
      </c>
      <c r="H48" s="34"/>
    </row>
    <row r="49" spans="1:8" x14ac:dyDescent="0.25">
      <c r="A49" s="43" t="s">
        <v>26</v>
      </c>
      <c r="B49" s="38">
        <f>B48-B47</f>
        <v>16.600000000000023</v>
      </c>
      <c r="C49" s="44">
        <f>C48-C47</f>
        <v>8.3000000000000157E-3</v>
      </c>
      <c r="D49" s="34"/>
      <c r="E49" s="34"/>
      <c r="F49" s="34" t="s">
        <v>27</v>
      </c>
      <c r="G49" s="68">
        <v>4.6624689709292297E-3</v>
      </c>
      <c r="H49" s="34" t="s">
        <v>168</v>
      </c>
    </row>
    <row r="50" spans="1:8" x14ac:dyDescent="0.25">
      <c r="A50" s="34"/>
      <c r="B50" s="34"/>
      <c r="C50" s="34"/>
      <c r="D50" s="34"/>
      <c r="E50" s="34"/>
      <c r="F50" s="34" t="s">
        <v>31</v>
      </c>
      <c r="G50" s="62">
        <f>SUM(G47:G49)</f>
        <v>2.7262468970929231E-2</v>
      </c>
      <c r="H50" s="34"/>
    </row>
    <row r="51" spans="1:8" x14ac:dyDescent="0.25">
      <c r="A51" s="34"/>
      <c r="B51" s="45" t="s">
        <v>28</v>
      </c>
      <c r="C51" s="34"/>
      <c r="D51" s="34"/>
      <c r="E51" s="34"/>
      <c r="F51" s="34"/>
      <c r="G51" s="34"/>
      <c r="H51" s="34"/>
    </row>
    <row r="52" spans="1:8" x14ac:dyDescent="0.25">
      <c r="A52" s="34" t="s">
        <v>29</v>
      </c>
      <c r="B52" s="46">
        <f>B49</f>
        <v>16.600000000000023</v>
      </c>
      <c r="C52" s="34"/>
      <c r="D52" s="34"/>
      <c r="E52" s="34"/>
      <c r="F52" s="34" t="s">
        <v>14</v>
      </c>
      <c r="G52" s="47">
        <f>1-G50</f>
        <v>0.97273753102907079</v>
      </c>
      <c r="H52" s="34"/>
    </row>
    <row r="53" spans="1:8" x14ac:dyDescent="0.25">
      <c r="A53" s="34" t="s">
        <v>30</v>
      </c>
      <c r="B53" s="46">
        <f>B52/$G$52</f>
        <v>17.065240592124251</v>
      </c>
      <c r="C53" s="34"/>
      <c r="D53" s="34"/>
      <c r="E53" s="34"/>
      <c r="F53" s="34"/>
      <c r="G53" s="34"/>
      <c r="H53" s="34"/>
    </row>
    <row r="54" spans="1:8" x14ac:dyDescent="0.25">
      <c r="A54" s="34" t="s">
        <v>32</v>
      </c>
      <c r="B54" s="72">
        <f>'Revenue &amp; Expense Adj.'!D22</f>
        <v>23545.03</v>
      </c>
      <c r="C54" s="34"/>
      <c r="D54" s="34"/>
      <c r="E54" s="34"/>
      <c r="F54" s="34"/>
      <c r="G54" s="34"/>
      <c r="H54" s="34"/>
    </row>
    <row r="55" spans="1:8" x14ac:dyDescent="0.25">
      <c r="A55" s="4" t="s">
        <v>33</v>
      </c>
      <c r="B55" s="63">
        <f>B53*B54</f>
        <v>401801.60169878323</v>
      </c>
      <c r="C55" s="34"/>
      <c r="D55" s="34"/>
      <c r="E55" s="34"/>
      <c r="F55" s="34"/>
      <c r="G55" s="34"/>
      <c r="H55" s="34"/>
    </row>
    <row r="56" spans="1:8" x14ac:dyDescent="0.25">
      <c r="A56" s="34"/>
      <c r="B56" s="34"/>
      <c r="C56" s="34"/>
      <c r="D56" s="34"/>
      <c r="E56" s="34"/>
      <c r="F56" s="34"/>
      <c r="G56" s="34"/>
      <c r="H56" s="34"/>
    </row>
    <row r="57" spans="1:8" x14ac:dyDescent="0.25">
      <c r="A57" t="s">
        <v>178</v>
      </c>
      <c r="B57">
        <v>150.83000000000001</v>
      </c>
      <c r="C57" t="s">
        <v>179</v>
      </c>
      <c r="D57" s="34"/>
      <c r="E57" s="34"/>
      <c r="F57" s="34"/>
      <c r="G57" s="34"/>
      <c r="H57" s="34"/>
    </row>
    <row r="58" spans="1:8" x14ac:dyDescent="0.25">
      <c r="A58" t="s">
        <v>180</v>
      </c>
      <c r="B58">
        <v>34.450000000000003</v>
      </c>
      <c r="C58" t="s">
        <v>179</v>
      </c>
    </row>
    <row r="59" spans="1:8" x14ac:dyDescent="0.25">
      <c r="B59">
        <f>SUM(B57:B58)</f>
        <v>185.28000000000003</v>
      </c>
      <c r="C59" t="s">
        <v>179</v>
      </c>
    </row>
  </sheetData>
  <mergeCells count="4">
    <mergeCell ref="A1:H1"/>
    <mergeCell ref="A11:B11"/>
    <mergeCell ref="B43:C43"/>
    <mergeCell ref="F46:G4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  <pageSetUpPr fitToPage="1"/>
  </sheetPr>
  <dimension ref="A1:V89"/>
  <sheetViews>
    <sheetView tabSelected="1" topLeftCell="G1" workbookViewId="0">
      <selection activeCell="O7" sqref="O7"/>
    </sheetView>
  </sheetViews>
  <sheetFormatPr defaultRowHeight="12.75" x14ac:dyDescent="0.2"/>
  <cols>
    <col min="1" max="1" width="3.7109375" style="78" bestFit="1" customWidth="1"/>
    <col min="2" max="2" width="16.85546875" style="78" customWidth="1"/>
    <col min="3" max="3" width="27.42578125" style="78" customWidth="1"/>
    <col min="4" max="4" width="11.42578125" style="78" customWidth="1"/>
    <col min="5" max="5" width="10.42578125" style="78" customWidth="1"/>
    <col min="6" max="6" width="11.7109375" style="78" customWidth="1"/>
    <col min="7" max="7" width="9.28515625" style="78" customWidth="1"/>
    <col min="8" max="8" width="14.85546875" style="78" customWidth="1"/>
    <col min="9" max="9" width="13.28515625" style="78" customWidth="1"/>
    <col min="10" max="10" width="14.140625" style="78" customWidth="1"/>
    <col min="11" max="11" width="13.85546875" style="78" customWidth="1"/>
    <col min="12" max="12" width="10" style="78" customWidth="1"/>
    <col min="13" max="13" width="10.140625" style="78" customWidth="1"/>
    <col min="14" max="14" width="11.140625" style="78" customWidth="1"/>
    <col min="15" max="15" width="15.42578125" style="78" bestFit="1" customWidth="1"/>
    <col min="16" max="16" width="9.85546875" style="78" bestFit="1" customWidth="1"/>
    <col min="17" max="17" width="15.7109375" style="168" bestFit="1" customWidth="1"/>
    <col min="18" max="18" width="13.28515625" style="168" customWidth="1"/>
    <col min="19" max="16384" width="9.140625" style="78"/>
  </cols>
  <sheetData>
    <row r="1" spans="1:22" ht="48" customHeight="1" x14ac:dyDescent="0.2">
      <c r="A1" s="73"/>
      <c r="B1" s="74" t="s">
        <v>87</v>
      </c>
      <c r="C1" s="75" t="s">
        <v>88</v>
      </c>
      <c r="D1" s="74" t="s">
        <v>89</v>
      </c>
      <c r="E1" s="74" t="s">
        <v>90</v>
      </c>
      <c r="F1" s="73" t="s">
        <v>91</v>
      </c>
      <c r="G1" s="74" t="s">
        <v>50</v>
      </c>
      <c r="H1" s="74" t="s">
        <v>92</v>
      </c>
      <c r="I1" s="76" t="s">
        <v>93</v>
      </c>
      <c r="J1" s="77" t="s">
        <v>26</v>
      </c>
      <c r="K1" s="74" t="s">
        <v>94</v>
      </c>
      <c r="L1" s="74" t="s">
        <v>95</v>
      </c>
      <c r="M1" s="74" t="s">
        <v>96</v>
      </c>
      <c r="N1" s="74" t="s">
        <v>169</v>
      </c>
      <c r="O1" s="74" t="s">
        <v>97</v>
      </c>
      <c r="P1" s="74" t="s">
        <v>98</v>
      </c>
      <c r="Q1" s="165" t="s">
        <v>99</v>
      </c>
      <c r="R1" s="165" t="s">
        <v>100</v>
      </c>
    </row>
    <row r="2" spans="1:22" x14ac:dyDescent="0.2">
      <c r="A2" s="174" t="s">
        <v>17</v>
      </c>
      <c r="B2" s="79">
        <v>22</v>
      </c>
      <c r="C2" s="78" t="s">
        <v>134</v>
      </c>
      <c r="D2" s="80">
        <v>22</v>
      </c>
      <c r="E2" s="81">
        <f>References!$B$9</f>
        <v>1</v>
      </c>
      <c r="F2" s="80">
        <f t="shared" ref="F2:F16" si="0">D2*E2*12</f>
        <v>264</v>
      </c>
      <c r="G2" s="64">
        <f>References!B13</f>
        <v>20</v>
      </c>
      <c r="H2" s="80">
        <f>G2*F2</f>
        <v>5280</v>
      </c>
      <c r="I2" s="82">
        <f t="shared" ref="I2:I16" si="1">$C$85*H2</f>
        <v>3866.9178466702106</v>
      </c>
      <c r="J2" s="83">
        <f>(References!$C$49*I2)</f>
        <v>32.095418127362805</v>
      </c>
      <c r="K2" s="83">
        <f>J2/References!$G$52</f>
        <v>32.994941701703105</v>
      </c>
      <c r="L2" s="83">
        <f t="shared" ref="L2:L16" si="2">(K2/F2)*E2</f>
        <v>0.12498083977917843</v>
      </c>
      <c r="M2" s="160">
        <v>8.3497569997739713</v>
      </c>
      <c r="N2" s="84">
        <f>L2+M2</f>
        <v>8.4747378395531499</v>
      </c>
      <c r="O2" s="85">
        <f t="shared" ref="O2:O16" si="3">D2*M2*12</f>
        <v>2204.3358479403287</v>
      </c>
      <c r="P2" s="86">
        <f t="shared" ref="P2:P16" si="4">N2</f>
        <v>8.4747378395531499</v>
      </c>
      <c r="Q2" s="166">
        <f>D2*N2*12</f>
        <v>2237.330789642032</v>
      </c>
      <c r="R2" s="166">
        <f t="shared" ref="R2:R16" si="5">Q2-O2</f>
        <v>32.994941701703283</v>
      </c>
      <c r="T2" s="158">
        <f>+N2/M2-1</f>
        <v>1.4968200844954094E-2</v>
      </c>
      <c r="V2" s="159"/>
    </row>
    <row r="3" spans="1:22" x14ac:dyDescent="0.2">
      <c r="A3" s="174"/>
      <c r="B3" s="79">
        <v>22</v>
      </c>
      <c r="C3" s="78" t="s">
        <v>102</v>
      </c>
      <c r="D3" s="80">
        <v>111</v>
      </c>
      <c r="E3" s="81">
        <f>References!$B$9</f>
        <v>1</v>
      </c>
      <c r="F3" s="80">
        <f t="shared" si="0"/>
        <v>1332</v>
      </c>
      <c r="G3" s="64">
        <f>References!B14</f>
        <v>34</v>
      </c>
      <c r="H3" s="80">
        <f t="shared" ref="H3:H16" si="6">G3*F3</f>
        <v>45288</v>
      </c>
      <c r="I3" s="82">
        <f t="shared" si="1"/>
        <v>33167.608984848579</v>
      </c>
      <c r="J3" s="83">
        <f>(References!$C$49*I3)</f>
        <v>275.29115457424371</v>
      </c>
      <c r="K3" s="83">
        <f>J3/References!$G$52</f>
        <v>283.00661359597166</v>
      </c>
      <c r="L3" s="83">
        <f t="shared" si="2"/>
        <v>0.21246742762460336</v>
      </c>
      <c r="M3" s="160">
        <v>9.4565868996157487</v>
      </c>
      <c r="N3" s="84">
        <f>L3+M3</f>
        <v>9.6690543272403513</v>
      </c>
      <c r="O3" s="85">
        <f t="shared" si="3"/>
        <v>12596.173750288177</v>
      </c>
      <c r="P3" s="86">
        <f t="shared" si="4"/>
        <v>9.6690543272403513</v>
      </c>
      <c r="Q3" s="166">
        <f t="shared" ref="Q3:Q16" si="7">D3*N3*12</f>
        <v>12879.180363884148</v>
      </c>
      <c r="R3" s="166">
        <f t="shared" si="5"/>
        <v>283.00661359597143</v>
      </c>
      <c r="T3" s="158">
        <f t="shared" ref="T3:T31" si="8">+N3/M3-1</f>
        <v>2.246766511850451E-2</v>
      </c>
      <c r="V3" s="159"/>
    </row>
    <row r="4" spans="1:22" x14ac:dyDescent="0.2">
      <c r="A4" s="174"/>
      <c r="B4" s="79">
        <v>22</v>
      </c>
      <c r="C4" s="78" t="s">
        <v>135</v>
      </c>
      <c r="D4" s="80">
        <v>43</v>
      </c>
      <c r="E4" s="81">
        <f>References!$B$7</f>
        <v>4.333333333333333</v>
      </c>
      <c r="F4" s="80">
        <f t="shared" si="0"/>
        <v>2236</v>
      </c>
      <c r="G4" s="64">
        <v>10</v>
      </c>
      <c r="H4" s="80">
        <f t="shared" si="6"/>
        <v>22360</v>
      </c>
      <c r="I4" s="82">
        <f t="shared" si="1"/>
        <v>16375.811184004906</v>
      </c>
      <c r="J4" s="83">
        <f>(References!$C$49*I4)</f>
        <v>135.91923282724099</v>
      </c>
      <c r="K4" s="83">
        <f>J4/References!$G$52</f>
        <v>139.72857887312151</v>
      </c>
      <c r="L4" s="83">
        <f t="shared" si="2"/>
        <v>0.27079181952155329</v>
      </c>
      <c r="M4" s="160">
        <v>10.58447349951027</v>
      </c>
      <c r="N4" s="84">
        <f t="shared" ref="N4:N16" si="9">L4+M4</f>
        <v>10.855265319031824</v>
      </c>
      <c r="O4" s="85">
        <f t="shared" si="3"/>
        <v>5461.5883257472997</v>
      </c>
      <c r="P4" s="86">
        <f t="shared" si="4"/>
        <v>10.855265319031824</v>
      </c>
      <c r="Q4" s="166">
        <f t="shared" si="7"/>
        <v>5601.3169046204212</v>
      </c>
      <c r="R4" s="166">
        <f t="shared" si="5"/>
        <v>139.72857887312148</v>
      </c>
      <c r="T4" s="158">
        <f t="shared" si="8"/>
        <v>2.5583872408399211E-2</v>
      </c>
      <c r="V4" s="159"/>
    </row>
    <row r="5" spans="1:22" x14ac:dyDescent="0.2">
      <c r="A5" s="174"/>
      <c r="B5" s="79">
        <v>22</v>
      </c>
      <c r="C5" s="78" t="s">
        <v>101</v>
      </c>
      <c r="D5" s="80">
        <v>550</v>
      </c>
      <c r="E5" s="81">
        <f>References!$B$7</f>
        <v>4.333333333333333</v>
      </c>
      <c r="F5" s="80">
        <f t="shared" si="0"/>
        <v>28599.999999999996</v>
      </c>
      <c r="G5" s="64">
        <f>References!B13</f>
        <v>20</v>
      </c>
      <c r="H5" s="80">
        <f t="shared" si="6"/>
        <v>571999.99999999988</v>
      </c>
      <c r="I5" s="82">
        <f t="shared" si="1"/>
        <v>418916.1000559394</v>
      </c>
      <c r="J5" s="83">
        <f>(References!$C$49*I5)</f>
        <v>3477.0036304643036</v>
      </c>
      <c r="K5" s="83">
        <f>J5/References!$G$52</f>
        <v>3574.4520176845026</v>
      </c>
      <c r="L5" s="83">
        <f t="shared" si="2"/>
        <v>0.54158363904310647</v>
      </c>
      <c r="M5" s="160">
        <v>12.768946999020535</v>
      </c>
      <c r="N5" s="84">
        <f t="shared" si="9"/>
        <v>13.310530638063641</v>
      </c>
      <c r="O5" s="85">
        <f t="shared" si="3"/>
        <v>84275.050193535528</v>
      </c>
      <c r="P5" s="86">
        <f t="shared" si="4"/>
        <v>13.310530638063641</v>
      </c>
      <c r="Q5" s="166">
        <f t="shared" si="7"/>
        <v>87849.502211220039</v>
      </c>
      <c r="R5" s="166">
        <f t="shared" si="5"/>
        <v>3574.4520176845108</v>
      </c>
      <c r="T5" s="158">
        <f t="shared" si="8"/>
        <v>4.2414119119192017E-2</v>
      </c>
      <c r="V5" s="159"/>
    </row>
    <row r="6" spans="1:22" x14ac:dyDescent="0.2">
      <c r="A6" s="174"/>
      <c r="B6" s="79">
        <v>22</v>
      </c>
      <c r="C6" s="78" t="s">
        <v>103</v>
      </c>
      <c r="D6" s="80">
        <v>1893</v>
      </c>
      <c r="E6" s="81">
        <f>References!$B$7</f>
        <v>4.333333333333333</v>
      </c>
      <c r="F6" s="80">
        <f t="shared" si="0"/>
        <v>98436</v>
      </c>
      <c r="G6" s="64">
        <f>References!B14</f>
        <v>34</v>
      </c>
      <c r="H6" s="80">
        <f t="shared" si="6"/>
        <v>3346824</v>
      </c>
      <c r="I6" s="82">
        <f t="shared" si="1"/>
        <v>2451116.1847091252</v>
      </c>
      <c r="J6" s="83">
        <f>(References!$C$49*I6)</f>
        <v>20344.264333085779</v>
      </c>
      <c r="K6" s="83">
        <f>J6/References!$G$52</f>
        <v>20914.443705655456</v>
      </c>
      <c r="L6" s="83">
        <f t="shared" si="2"/>
        <v>0.9206921863732811</v>
      </c>
      <c r="M6" s="160">
        <v>21.395209898334915</v>
      </c>
      <c r="N6" s="84">
        <f t="shared" si="9"/>
        <v>22.315902084708195</v>
      </c>
      <c r="O6" s="85">
        <f t="shared" si="3"/>
        <v>486013.58805057593</v>
      </c>
      <c r="P6" s="86">
        <f t="shared" si="4"/>
        <v>22.315902084708195</v>
      </c>
      <c r="Q6" s="166">
        <f t="shared" si="7"/>
        <v>506928.03175623139</v>
      </c>
      <c r="R6" s="166">
        <f t="shared" si="5"/>
        <v>20914.44370565546</v>
      </c>
      <c r="T6" s="158">
        <f t="shared" si="8"/>
        <v>4.3032631638025398E-2</v>
      </c>
      <c r="V6" s="159"/>
    </row>
    <row r="7" spans="1:22" x14ac:dyDescent="0.2">
      <c r="A7" s="174"/>
      <c r="B7" s="79">
        <v>22</v>
      </c>
      <c r="C7" s="78" t="s">
        <v>104</v>
      </c>
      <c r="D7" s="80">
        <v>147</v>
      </c>
      <c r="E7" s="81">
        <f>References!$B$7</f>
        <v>4.333333333333333</v>
      </c>
      <c r="F7" s="80">
        <f t="shared" si="0"/>
        <v>7644</v>
      </c>
      <c r="G7" s="64">
        <f>References!B15</f>
        <v>51</v>
      </c>
      <c r="H7" s="80">
        <f t="shared" si="6"/>
        <v>389844</v>
      </c>
      <c r="I7" s="82">
        <f t="shared" si="1"/>
        <v>285510.36382903438</v>
      </c>
      <c r="J7" s="83">
        <f>(References!$C$49*I7)</f>
        <v>2369.7360197809899</v>
      </c>
      <c r="K7" s="83">
        <f>J7/References!$G$52</f>
        <v>2436.1515251437017</v>
      </c>
      <c r="L7" s="83">
        <f t="shared" si="2"/>
        <v>1.3810382795599214</v>
      </c>
      <c r="M7" s="160">
        <v>32.587814847502372</v>
      </c>
      <c r="N7" s="84">
        <f t="shared" si="9"/>
        <v>33.968853127062296</v>
      </c>
      <c r="O7" s="85">
        <f t="shared" si="3"/>
        <v>57484.905390994179</v>
      </c>
      <c r="P7" s="86">
        <f t="shared" si="4"/>
        <v>33.968853127062296</v>
      </c>
      <c r="Q7" s="166">
        <f t="shared" si="7"/>
        <v>59921.056916137895</v>
      </c>
      <c r="R7" s="166">
        <f t="shared" si="5"/>
        <v>2436.1515251437158</v>
      </c>
      <c r="T7" s="158">
        <f t="shared" si="8"/>
        <v>4.2378977725957334E-2</v>
      </c>
      <c r="V7" s="159"/>
    </row>
    <row r="8" spans="1:22" x14ac:dyDescent="0.2">
      <c r="A8" s="174"/>
      <c r="B8" s="79">
        <v>22</v>
      </c>
      <c r="C8" s="78" t="s">
        <v>105</v>
      </c>
      <c r="D8" s="80">
        <v>7</v>
      </c>
      <c r="E8" s="81">
        <f>References!$B$7</f>
        <v>4.333333333333333</v>
      </c>
      <c r="F8" s="80">
        <f t="shared" si="0"/>
        <v>364</v>
      </c>
      <c r="G8" s="64">
        <f>References!B16</f>
        <v>77</v>
      </c>
      <c r="H8" s="80">
        <f t="shared" si="6"/>
        <v>28028</v>
      </c>
      <c r="I8" s="82">
        <f t="shared" si="1"/>
        <v>20526.888902741033</v>
      </c>
      <c r="J8" s="83">
        <f>(References!$C$49*I8)</f>
        <v>170.3731778927509</v>
      </c>
      <c r="K8" s="83">
        <f>J8/References!$G$52</f>
        <v>175.14814886654065</v>
      </c>
      <c r="L8" s="83">
        <f t="shared" si="2"/>
        <v>2.0850970103159598</v>
      </c>
      <c r="M8" s="160">
        <v>44.509445946229064</v>
      </c>
      <c r="N8" s="84">
        <f t="shared" si="9"/>
        <v>46.594542956545027</v>
      </c>
      <c r="O8" s="85">
        <f t="shared" si="3"/>
        <v>3738.7934594832413</v>
      </c>
      <c r="P8" s="86">
        <f t="shared" si="4"/>
        <v>46.594542956545027</v>
      </c>
      <c r="Q8" s="166">
        <f t="shared" si="7"/>
        <v>3913.9416083497827</v>
      </c>
      <c r="R8" s="166">
        <f t="shared" si="5"/>
        <v>175.14814886654131</v>
      </c>
      <c r="T8" s="158">
        <f t="shared" si="8"/>
        <v>4.6846168627552087E-2</v>
      </c>
      <c r="V8" s="159"/>
    </row>
    <row r="9" spans="1:22" x14ac:dyDescent="0.2">
      <c r="A9" s="174"/>
      <c r="B9" s="79">
        <v>22</v>
      </c>
      <c r="C9" s="78" t="s">
        <v>106</v>
      </c>
      <c r="D9" s="80">
        <v>2</v>
      </c>
      <c r="E9" s="81">
        <f>References!$B$7</f>
        <v>4.333333333333333</v>
      </c>
      <c r="F9" s="80">
        <f t="shared" si="0"/>
        <v>104</v>
      </c>
      <c r="G9" s="64">
        <f>References!B17</f>
        <v>97</v>
      </c>
      <c r="H9" s="80">
        <f t="shared" si="6"/>
        <v>10088</v>
      </c>
      <c r="I9" s="82">
        <f t="shared" si="1"/>
        <v>7388.1566737138419</v>
      </c>
      <c r="J9" s="83">
        <f>(References!$C$49*I9)</f>
        <v>61.321700391825004</v>
      </c>
      <c r="K9" s="83">
        <f>J9/References!$G$52</f>
        <v>63.040335584617608</v>
      </c>
      <c r="L9" s="83">
        <f t="shared" si="2"/>
        <v>2.6266806493590669</v>
      </c>
      <c r="M9" s="160">
        <v>55.928392945249605</v>
      </c>
      <c r="N9" s="84">
        <f t="shared" si="9"/>
        <v>58.555073594608672</v>
      </c>
      <c r="O9" s="85">
        <f t="shared" si="3"/>
        <v>1342.2814306859905</v>
      </c>
      <c r="P9" s="86">
        <f t="shared" si="4"/>
        <v>58.555073594608672</v>
      </c>
      <c r="Q9" s="166">
        <f t="shared" si="7"/>
        <v>1405.3217662706081</v>
      </c>
      <c r="R9" s="166">
        <f t="shared" si="5"/>
        <v>63.040335584617651</v>
      </c>
      <c r="T9" s="158">
        <f t="shared" si="8"/>
        <v>4.6965065703397313E-2</v>
      </c>
      <c r="V9" s="159"/>
    </row>
    <row r="10" spans="1:22" x14ac:dyDescent="0.2">
      <c r="A10" s="174"/>
      <c r="B10" s="79">
        <v>22</v>
      </c>
      <c r="C10" s="78" t="s">
        <v>174</v>
      </c>
      <c r="D10" s="80">
        <v>20</v>
      </c>
      <c r="E10" s="81">
        <f>References!$B$9</f>
        <v>1</v>
      </c>
      <c r="F10" s="80">
        <f t="shared" ref="F10" si="10">D10*E10*12</f>
        <v>240</v>
      </c>
      <c r="G10" s="64">
        <f>+References!B13</f>
        <v>20</v>
      </c>
      <c r="H10" s="80">
        <f t="shared" ref="H10" si="11">G10*F10</f>
        <v>4800</v>
      </c>
      <c r="I10" s="82">
        <f t="shared" si="1"/>
        <v>3515.3798606092823</v>
      </c>
      <c r="J10" s="83">
        <f>(References!$C$49*I10)</f>
        <v>29.1776528430571</v>
      </c>
      <c r="K10" s="83">
        <f>J10/References!$G$52</f>
        <v>29.995401547002828</v>
      </c>
      <c r="L10" s="83">
        <f t="shared" ref="L10" si="12">(K10/F10)*E10</f>
        <v>0.12498083977917845</v>
      </c>
      <c r="M10" s="160">
        <v>9.4897569997739701</v>
      </c>
      <c r="N10" s="84">
        <f t="shared" ref="N10" si="13">L10+M10</f>
        <v>9.6147378395531486</v>
      </c>
      <c r="O10" s="85">
        <f t="shared" ref="O10" si="14">D10*M10*12</f>
        <v>2277.541679945753</v>
      </c>
      <c r="P10" s="86">
        <f t="shared" ref="P10" si="15">N10</f>
        <v>9.6147378395531486</v>
      </c>
      <c r="Q10" s="166">
        <f t="shared" ref="Q10" si="16">D10*N10*12</f>
        <v>2307.5370814927555</v>
      </c>
      <c r="R10" s="166">
        <f t="shared" ref="R10" si="17">Q10-O10</f>
        <v>29.99540154700253</v>
      </c>
      <c r="T10" s="158">
        <f t="shared" ref="T10:T12" si="18">+N10/M10-1</f>
        <v>1.3170077988525541E-2</v>
      </c>
      <c r="V10" s="159"/>
    </row>
    <row r="11" spans="1:22" x14ac:dyDescent="0.2">
      <c r="A11" s="174"/>
      <c r="B11" s="79">
        <v>22</v>
      </c>
      <c r="C11" s="78" t="s">
        <v>175</v>
      </c>
      <c r="D11" s="80">
        <v>54</v>
      </c>
      <c r="E11" s="81">
        <f>References!$B$9</f>
        <v>1</v>
      </c>
      <c r="F11" s="80">
        <f t="shared" ref="F11" si="19">D11*E11*12</f>
        <v>648</v>
      </c>
      <c r="G11" s="64">
        <f>+References!B14</f>
        <v>34</v>
      </c>
      <c r="H11" s="80">
        <f t="shared" ref="H11" si="20">G11*F11</f>
        <v>22032</v>
      </c>
      <c r="I11" s="82">
        <f t="shared" si="1"/>
        <v>16135.593560196605</v>
      </c>
      <c r="J11" s="83">
        <f>(References!$C$49*I11)</f>
        <v>133.92542654963208</v>
      </c>
      <c r="K11" s="83">
        <f>J11/References!$G$52</f>
        <v>137.67889310074295</v>
      </c>
      <c r="L11" s="83">
        <f t="shared" ref="L11" si="21">(K11/F11)*E11</f>
        <v>0.21246742762460333</v>
      </c>
      <c r="M11" s="160">
        <v>10.616586899615749</v>
      </c>
      <c r="N11" s="84">
        <f t="shared" ref="N11" si="22">L11+M11</f>
        <v>10.829054327240351</v>
      </c>
      <c r="O11" s="85">
        <f t="shared" ref="O11" si="23">D11*M11*12</f>
        <v>6879.5483109510042</v>
      </c>
      <c r="P11" s="86">
        <f t="shared" ref="P11" si="24">N11</f>
        <v>10.829054327240351</v>
      </c>
      <c r="Q11" s="166">
        <f t="shared" ref="Q11" si="25">D11*N11*12</f>
        <v>7017.2272040517473</v>
      </c>
      <c r="R11" s="166">
        <f t="shared" ref="R11" si="26">Q11-O11</f>
        <v>137.67889310074315</v>
      </c>
      <c r="T11" s="158">
        <f t="shared" si="18"/>
        <v>2.0012780909116179E-2</v>
      </c>
      <c r="V11" s="159"/>
    </row>
    <row r="12" spans="1:22" x14ac:dyDescent="0.2">
      <c r="A12" s="174"/>
      <c r="B12" s="79">
        <v>22</v>
      </c>
      <c r="C12" s="78" t="s">
        <v>107</v>
      </c>
      <c r="D12" s="80">
        <v>2758</v>
      </c>
      <c r="E12" s="81">
        <f>References!$B$7</f>
        <v>4.333333333333333</v>
      </c>
      <c r="F12" s="80">
        <f t="shared" si="0"/>
        <v>143416</v>
      </c>
      <c r="G12" s="64">
        <f>References!B13</f>
        <v>20</v>
      </c>
      <c r="H12" s="80">
        <f t="shared" si="6"/>
        <v>2868320</v>
      </c>
      <c r="I12" s="82">
        <f t="shared" si="1"/>
        <v>2100673.82537142</v>
      </c>
      <c r="J12" s="83">
        <f>(References!$C$49*I12)</f>
        <v>17435.592750582819</v>
      </c>
      <c r="K12" s="83">
        <f>J12/References!$G$52</f>
        <v>17924.252117770655</v>
      </c>
      <c r="L12" s="83">
        <f t="shared" si="2"/>
        <v>0.54158363904310658</v>
      </c>
      <c r="M12" s="160">
        <v>14.928946999020535</v>
      </c>
      <c r="N12" s="84">
        <f t="shared" si="9"/>
        <v>15.470530638063643</v>
      </c>
      <c r="O12" s="85">
        <f t="shared" si="3"/>
        <v>494088.42987958365</v>
      </c>
      <c r="P12" s="86">
        <f t="shared" si="4"/>
        <v>15.470530638063643</v>
      </c>
      <c r="Q12" s="166">
        <f t="shared" si="7"/>
        <v>512012.68199735426</v>
      </c>
      <c r="R12" s="166">
        <f t="shared" si="5"/>
        <v>17924.252117770608</v>
      </c>
      <c r="T12" s="158">
        <f t="shared" si="18"/>
        <v>3.6277417226991293E-2</v>
      </c>
      <c r="V12" s="159"/>
    </row>
    <row r="13" spans="1:22" x14ac:dyDescent="0.2">
      <c r="A13" s="87"/>
      <c r="B13" s="79">
        <v>22</v>
      </c>
      <c r="C13" s="78" t="s">
        <v>108</v>
      </c>
      <c r="D13" s="80">
        <f>7225+4+4</f>
        <v>7233</v>
      </c>
      <c r="E13" s="81">
        <f>References!$B$7</f>
        <v>4.333333333333333</v>
      </c>
      <c r="F13" s="80">
        <f t="shared" ref="F13:F15" si="27">D13*E13*12</f>
        <v>376115.99999999994</v>
      </c>
      <c r="G13" s="64">
        <f>References!B20</f>
        <v>37</v>
      </c>
      <c r="H13" s="80">
        <f t="shared" ref="H13:H15" si="28">G13*F13</f>
        <v>13916291.999999998</v>
      </c>
      <c r="I13" s="82">
        <f t="shared" si="1"/>
        <v>10191885.964824596</v>
      </c>
      <c r="J13" s="83">
        <f>(References!$C$49*I13)</f>
        <v>84592.653508044314</v>
      </c>
      <c r="K13" s="83">
        <f>J13/References!$G$52</f>
        <v>86963.493038613116</v>
      </c>
      <c r="L13" s="83">
        <f t="shared" ref="L13:L15" si="29">(K13/F13)*E13</f>
        <v>1.0019297322297471</v>
      </c>
      <c r="M13" s="160">
        <v>23.521551948187994</v>
      </c>
      <c r="N13" s="84">
        <f t="shared" si="9"/>
        <v>24.523481680417742</v>
      </c>
      <c r="O13" s="85">
        <f t="shared" si="3"/>
        <v>2041576.6228949251</v>
      </c>
      <c r="P13" s="86">
        <f t="shared" si="4"/>
        <v>24.523481680417742</v>
      </c>
      <c r="Q13" s="166">
        <f t="shared" si="7"/>
        <v>2128540.1159335384</v>
      </c>
      <c r="R13" s="166">
        <f t="shared" si="5"/>
        <v>86963.493038613349</v>
      </c>
      <c r="T13" s="158">
        <f t="shared" si="8"/>
        <v>4.2596242562427111E-2</v>
      </c>
      <c r="V13" s="159"/>
    </row>
    <row r="14" spans="1:22" x14ac:dyDescent="0.2">
      <c r="A14" s="87"/>
      <c r="B14" s="79">
        <v>22</v>
      </c>
      <c r="C14" s="78" t="s">
        <v>109</v>
      </c>
      <c r="D14" s="80">
        <f>4211+33+33+3+3+3+4</f>
        <v>4290</v>
      </c>
      <c r="E14" s="81">
        <f>References!$B$7</f>
        <v>4.333333333333333</v>
      </c>
      <c r="F14" s="80">
        <f t="shared" si="27"/>
        <v>223080</v>
      </c>
      <c r="G14" s="64">
        <f>References!B21</f>
        <v>47</v>
      </c>
      <c r="H14" s="80">
        <f t="shared" si="28"/>
        <v>10484760</v>
      </c>
      <c r="I14" s="82">
        <f t="shared" si="1"/>
        <v>7678732.1140253702</v>
      </c>
      <c r="J14" s="83">
        <f>(References!$C$49*I14)</f>
        <v>63733.476546410697</v>
      </c>
      <c r="K14" s="83">
        <f>J14/References!$G$52</f>
        <v>65519.705484156948</v>
      </c>
      <c r="L14" s="83">
        <f t="shared" si="29"/>
        <v>1.2727215517513004</v>
      </c>
      <c r="M14" s="160">
        <v>34.096025447698267</v>
      </c>
      <c r="N14" s="84">
        <f t="shared" si="9"/>
        <v>35.36874699944957</v>
      </c>
      <c r="O14" s="85">
        <f t="shared" si="3"/>
        <v>1755263.3900475069</v>
      </c>
      <c r="P14" s="86">
        <f t="shared" si="4"/>
        <v>35.36874699944957</v>
      </c>
      <c r="Q14" s="166">
        <f t="shared" si="7"/>
        <v>1820783.0955316639</v>
      </c>
      <c r="R14" s="166">
        <f t="shared" si="5"/>
        <v>65519.705484156962</v>
      </c>
      <c r="T14" s="158">
        <f t="shared" si="8"/>
        <v>3.7327563404819797E-2</v>
      </c>
      <c r="V14" s="159"/>
    </row>
    <row r="15" spans="1:22" x14ac:dyDescent="0.2">
      <c r="A15" s="87"/>
      <c r="B15" s="79">
        <v>22</v>
      </c>
      <c r="C15" s="78" t="s">
        <v>110</v>
      </c>
      <c r="D15" s="80">
        <f>1167+43+43+2+2+2</f>
        <v>1259</v>
      </c>
      <c r="E15" s="81">
        <f>References!$B$7</f>
        <v>4.333333333333333</v>
      </c>
      <c r="F15" s="80">
        <f t="shared" si="27"/>
        <v>65467.999999999993</v>
      </c>
      <c r="G15" s="64">
        <f>References!B22</f>
        <v>68</v>
      </c>
      <c r="H15" s="80">
        <f t="shared" si="28"/>
        <v>4451823.9999999991</v>
      </c>
      <c r="I15" s="82">
        <f t="shared" si="1"/>
        <v>3260385.9234535531</v>
      </c>
      <c r="J15" s="83">
        <f>(References!$C$49*I15)</f>
        <v>27061.203164664541</v>
      </c>
      <c r="K15" s="83">
        <f>J15/References!$G$52</f>
        <v>27819.635103455057</v>
      </c>
      <c r="L15" s="83">
        <f t="shared" si="29"/>
        <v>1.841384372746562</v>
      </c>
      <c r="M15" s="160">
        <v>47.460419796669818</v>
      </c>
      <c r="N15" s="84">
        <f t="shared" si="9"/>
        <v>49.301804169416378</v>
      </c>
      <c r="O15" s="85">
        <f t="shared" si="3"/>
        <v>717032.02228808752</v>
      </c>
      <c r="P15" s="86">
        <f t="shared" si="4"/>
        <v>49.301804169416378</v>
      </c>
      <c r="Q15" s="166">
        <f t="shared" si="7"/>
        <v>744851.65739154257</v>
      </c>
      <c r="R15" s="166">
        <f t="shared" si="5"/>
        <v>27819.635103455046</v>
      </c>
      <c r="T15" s="158">
        <f t="shared" si="8"/>
        <v>3.8798316168197289E-2</v>
      </c>
      <c r="V15" s="159"/>
    </row>
    <row r="16" spans="1:22" x14ac:dyDescent="0.2">
      <c r="A16" s="87"/>
      <c r="B16" s="79">
        <v>23</v>
      </c>
      <c r="C16" s="78" t="s">
        <v>111</v>
      </c>
      <c r="D16" s="80">
        <v>2197</v>
      </c>
      <c r="E16" s="81">
        <f>References!$B$9</f>
        <v>1</v>
      </c>
      <c r="F16" s="80">
        <f t="shared" si="0"/>
        <v>26364</v>
      </c>
      <c r="G16" s="64">
        <f>References!B24</f>
        <v>34</v>
      </c>
      <c r="H16" s="80">
        <f t="shared" si="6"/>
        <v>896376</v>
      </c>
      <c r="I16" s="82">
        <f t="shared" si="1"/>
        <v>656479.61206948035</v>
      </c>
      <c r="J16" s="83">
        <f>(References!$C$49*I16)</f>
        <v>5448.7807801766976</v>
      </c>
      <c r="K16" s="83">
        <f>J16/References!$G$52</f>
        <v>5601.491261895042</v>
      </c>
      <c r="L16" s="83">
        <f t="shared" si="2"/>
        <v>0.21246742762460333</v>
      </c>
      <c r="M16" s="160">
        <v>6.0565868996157501</v>
      </c>
      <c r="N16" s="84">
        <f t="shared" si="9"/>
        <v>6.2690543272403536</v>
      </c>
      <c r="O16" s="85">
        <f t="shared" si="3"/>
        <v>159675.85702146965</v>
      </c>
      <c r="P16" s="86">
        <f t="shared" si="4"/>
        <v>6.2690543272403536</v>
      </c>
      <c r="Q16" s="166">
        <f t="shared" si="7"/>
        <v>165277.34828336467</v>
      </c>
      <c r="R16" s="166">
        <f t="shared" si="5"/>
        <v>5601.4912618950184</v>
      </c>
      <c r="T16" s="158">
        <f t="shared" si="8"/>
        <v>3.5080389524021038E-2</v>
      </c>
      <c r="V16" s="159"/>
    </row>
    <row r="17" spans="1:20" x14ac:dyDescent="0.2">
      <c r="A17" s="88"/>
      <c r="B17" s="89"/>
      <c r="C17" s="90" t="s">
        <v>31</v>
      </c>
      <c r="D17" s="91">
        <f>SUM(D2:D16)</f>
        <v>20586</v>
      </c>
      <c r="E17" s="92"/>
      <c r="F17" s="93">
        <f>SUM(F2:F16)</f>
        <v>974312</v>
      </c>
      <c r="G17" s="94"/>
      <c r="H17" s="95">
        <f>SUM(H2:H16)</f>
        <v>37064116</v>
      </c>
      <c r="I17" s="96">
        <f>SUM(I2:I16)</f>
        <v>27144676.445351306</v>
      </c>
      <c r="J17" s="89"/>
      <c r="K17" s="89"/>
      <c r="L17" s="98"/>
      <c r="M17" s="89"/>
      <c r="N17" s="89"/>
      <c r="O17" s="97">
        <f>SUM(O2:O16)</f>
        <v>5829910.1285717208</v>
      </c>
      <c r="P17" s="98"/>
      <c r="Q17" s="167">
        <f>SUM(Q2:Q16)</f>
        <v>6061525.3457393646</v>
      </c>
      <c r="R17" s="167">
        <f>SUM(R2:R16)</f>
        <v>231615.21716764438</v>
      </c>
      <c r="T17" s="169">
        <f>+R17/O17</f>
        <v>3.9728780042856023E-2</v>
      </c>
    </row>
    <row r="18" spans="1:20" x14ac:dyDescent="0.2">
      <c r="A18" s="174"/>
      <c r="B18" s="79" t="s">
        <v>172</v>
      </c>
      <c r="C18" s="100" t="s">
        <v>112</v>
      </c>
      <c r="D18" s="99"/>
      <c r="E18" s="99"/>
      <c r="F18" s="65">
        <v>5044</v>
      </c>
      <c r="G18" s="64">
        <f>References!B26</f>
        <v>29</v>
      </c>
      <c r="H18" s="66">
        <f t="shared" ref="H18:H30" si="30">F18*G18</f>
        <v>146276</v>
      </c>
      <c r="I18" s="82">
        <f t="shared" ref="I18:I31" si="31">$C$85*H18</f>
        <v>107128.2717688507</v>
      </c>
      <c r="J18" s="83">
        <f>References!$C$49*I18</f>
        <v>889.16465568146248</v>
      </c>
      <c r="K18" s="83">
        <f>J18/References!$G$52</f>
        <v>914.08486597695526</v>
      </c>
      <c r="L18" s="83">
        <f t="shared" ref="L18:L30" si="32">K18/F18</f>
        <v>0.18122221767980873</v>
      </c>
      <c r="M18" s="160">
        <v>5.1741476496722569</v>
      </c>
      <c r="N18" s="84">
        <f t="shared" ref="N18:N31" si="33">L18+M18</f>
        <v>5.3553698673520653</v>
      </c>
      <c r="O18" s="85">
        <f t="shared" ref="O18:O31" si="34">F18*M18</f>
        <v>26098.400744946863</v>
      </c>
      <c r="P18" s="86">
        <f t="shared" ref="P18:P31" si="35">N18</f>
        <v>5.3553698673520653</v>
      </c>
      <c r="Q18" s="166">
        <f t="shared" ref="Q18:Q31" si="36">F18*N18</f>
        <v>27012.485610923817</v>
      </c>
      <c r="R18" s="166">
        <f t="shared" ref="R18:R31" si="37">Q18-O18</f>
        <v>914.08486597695446</v>
      </c>
      <c r="T18" s="158">
        <f t="shared" si="8"/>
        <v>3.5024554757591364E-2</v>
      </c>
    </row>
    <row r="19" spans="1:20" x14ac:dyDescent="0.2">
      <c r="A19" s="174"/>
      <c r="B19" s="79" t="s">
        <v>171</v>
      </c>
      <c r="C19" s="100" t="s">
        <v>113</v>
      </c>
      <c r="D19" s="99"/>
      <c r="E19" s="99"/>
      <c r="F19" s="65">
        <v>7981</v>
      </c>
      <c r="G19" s="64">
        <f>References!B20</f>
        <v>37</v>
      </c>
      <c r="H19" s="66">
        <f>F19*G19</f>
        <v>295297</v>
      </c>
      <c r="I19" s="82">
        <f t="shared" si="31"/>
        <v>216266.90139548734</v>
      </c>
      <c r="J19" s="83">
        <f>References!$C$49*I19</f>
        <v>1795.0152815825484</v>
      </c>
      <c r="K19" s="83">
        <f>J19/References!$G$52</f>
        <v>1845.3233522136027</v>
      </c>
      <c r="L19" s="83">
        <f>K19/F19</f>
        <v>0.2312145535914801</v>
      </c>
      <c r="M19" s="160">
        <v>5.4280504495818453</v>
      </c>
      <c r="N19" s="84">
        <f t="shared" si="33"/>
        <v>5.6592650031733251</v>
      </c>
      <c r="O19" s="85">
        <f t="shared" si="34"/>
        <v>43321.270638112706</v>
      </c>
      <c r="P19" s="86">
        <f t="shared" si="35"/>
        <v>5.6592650031733251</v>
      </c>
      <c r="Q19" s="166">
        <f t="shared" si="36"/>
        <v>45166.593990326306</v>
      </c>
      <c r="R19" s="166">
        <f t="shared" si="37"/>
        <v>1845.3233522135997</v>
      </c>
      <c r="T19" s="158">
        <f t="shared" si="8"/>
        <v>4.2596242562427111E-2</v>
      </c>
    </row>
    <row r="20" spans="1:20" x14ac:dyDescent="0.2">
      <c r="A20" s="174"/>
      <c r="B20" s="79" t="s">
        <v>171</v>
      </c>
      <c r="C20" s="100" t="s">
        <v>114</v>
      </c>
      <c r="D20" s="99"/>
      <c r="E20" s="99"/>
      <c r="F20" s="65">
        <v>1924</v>
      </c>
      <c r="G20" s="64">
        <f>References!B21</f>
        <v>47</v>
      </c>
      <c r="H20" s="66">
        <f t="shared" si="30"/>
        <v>90428</v>
      </c>
      <c r="I20" s="82">
        <f t="shared" si="31"/>
        <v>66226.827090661696</v>
      </c>
      <c r="J20" s="83">
        <f>References!$C$49*I20</f>
        <v>549.68266485249308</v>
      </c>
      <c r="K20" s="83">
        <f>J20/References!$G$52</f>
        <v>565.08836897757726</v>
      </c>
      <c r="L20" s="83">
        <f t="shared" si="32"/>
        <v>0.29370497348106928</v>
      </c>
      <c r="M20" s="160">
        <v>8.6229289494688306</v>
      </c>
      <c r="N20" s="84">
        <f t="shared" si="33"/>
        <v>8.9166339229499005</v>
      </c>
      <c r="O20" s="85">
        <f t="shared" si="34"/>
        <v>16590.515298778031</v>
      </c>
      <c r="P20" s="86">
        <f t="shared" si="35"/>
        <v>8.9166339229499005</v>
      </c>
      <c r="Q20" s="166">
        <f t="shared" si="36"/>
        <v>17155.603667755608</v>
      </c>
      <c r="R20" s="166">
        <f t="shared" si="37"/>
        <v>565.08836897757647</v>
      </c>
      <c r="T20" s="158">
        <f t="shared" si="8"/>
        <v>3.4060929320212319E-2</v>
      </c>
    </row>
    <row r="21" spans="1:20" x14ac:dyDescent="0.2">
      <c r="A21" s="174"/>
      <c r="B21" s="79" t="s">
        <v>171</v>
      </c>
      <c r="C21" s="100" t="s">
        <v>115</v>
      </c>
      <c r="D21" s="99"/>
      <c r="E21" s="99"/>
      <c r="F21" s="65">
        <v>6032</v>
      </c>
      <c r="G21" s="64">
        <f>References!B22</f>
        <v>68</v>
      </c>
      <c r="H21" s="66">
        <f t="shared" si="30"/>
        <v>410176</v>
      </c>
      <c r="I21" s="82">
        <f t="shared" si="31"/>
        <v>300400.92702193186</v>
      </c>
      <c r="J21" s="83">
        <f>References!$C$49*I21</f>
        <v>2493.3276942820389</v>
      </c>
      <c r="K21" s="83">
        <f>J21/References!$G$52</f>
        <v>2563.2070468632146</v>
      </c>
      <c r="L21" s="83">
        <f t="shared" si="32"/>
        <v>0.42493485524920666</v>
      </c>
      <c r="M21" s="160">
        <v>11.243173799231499</v>
      </c>
      <c r="N21" s="84">
        <f t="shared" si="33"/>
        <v>11.668108654480706</v>
      </c>
      <c r="O21" s="85">
        <f t="shared" si="34"/>
        <v>67818.824356964411</v>
      </c>
      <c r="P21" s="86">
        <f t="shared" si="35"/>
        <v>11.668108654480706</v>
      </c>
      <c r="Q21" s="166">
        <f t="shared" si="36"/>
        <v>70382.031403827626</v>
      </c>
      <c r="R21" s="166">
        <f t="shared" si="37"/>
        <v>2563.2070468632155</v>
      </c>
      <c r="T21" s="158">
        <f t="shared" si="8"/>
        <v>3.7794920085487904E-2</v>
      </c>
    </row>
    <row r="22" spans="1:20" x14ac:dyDescent="0.2">
      <c r="A22" s="174"/>
      <c r="B22" s="79" t="s">
        <v>173</v>
      </c>
      <c r="C22" s="100" t="s">
        <v>116</v>
      </c>
      <c r="D22" s="99"/>
      <c r="E22" s="99"/>
      <c r="F22" s="65">
        <v>6849</v>
      </c>
      <c r="G22" s="64">
        <f>References!B27</f>
        <v>175</v>
      </c>
      <c r="H22" s="66">
        <f t="shared" si="30"/>
        <v>1198575</v>
      </c>
      <c r="I22" s="82">
        <f t="shared" si="31"/>
        <v>877801.33675620216</v>
      </c>
      <c r="J22" s="83">
        <f>References!$C$49*I22</f>
        <v>7285.7510950764918</v>
      </c>
      <c r="K22" s="83">
        <f>J22/References!$G$52</f>
        <v>7489.9455019164398</v>
      </c>
      <c r="L22" s="83">
        <f t="shared" si="32"/>
        <v>1.0935823480678113</v>
      </c>
      <c r="M22" s="160">
        <v>21.715373748022238</v>
      </c>
      <c r="N22" s="84">
        <f t="shared" si="33"/>
        <v>22.80895609609005</v>
      </c>
      <c r="O22" s="85">
        <f t="shared" si="34"/>
        <v>148728.5948002043</v>
      </c>
      <c r="P22" s="86">
        <f t="shared" si="35"/>
        <v>22.80895609609005</v>
      </c>
      <c r="Q22" s="166">
        <f t="shared" si="36"/>
        <v>156218.54030212076</v>
      </c>
      <c r="R22" s="166">
        <f t="shared" si="37"/>
        <v>7489.9455019164598</v>
      </c>
      <c r="T22" s="158">
        <f t="shared" si="8"/>
        <v>5.0359821606451138E-2</v>
      </c>
    </row>
    <row r="23" spans="1:20" x14ac:dyDescent="0.2">
      <c r="A23" s="174"/>
      <c r="B23" s="79" t="s">
        <v>173</v>
      </c>
      <c r="C23" s="100" t="s">
        <v>117</v>
      </c>
      <c r="D23" s="99"/>
      <c r="E23" s="99"/>
      <c r="F23" s="65">
        <v>2990</v>
      </c>
      <c r="G23" s="64">
        <f>References!B28</f>
        <v>250</v>
      </c>
      <c r="H23" s="66">
        <f t="shared" si="30"/>
        <v>747500</v>
      </c>
      <c r="I23" s="82">
        <f t="shared" si="31"/>
        <v>547447.1762094663</v>
      </c>
      <c r="J23" s="83">
        <f>References!$C$49*I23</f>
        <v>4543.811562538579</v>
      </c>
      <c r="K23" s="83">
        <f>J23/References!$G$52</f>
        <v>4671.1588867467935</v>
      </c>
      <c r="L23" s="83">
        <f t="shared" si="32"/>
        <v>1.5622604972397303</v>
      </c>
      <c r="M23" s="160">
        <v>30.591962497174627</v>
      </c>
      <c r="N23" s="84">
        <f t="shared" si="33"/>
        <v>32.154222994414354</v>
      </c>
      <c r="O23" s="85">
        <f t="shared" si="34"/>
        <v>91469.967866552135</v>
      </c>
      <c r="P23" s="86">
        <f t="shared" si="35"/>
        <v>32.154222994414354</v>
      </c>
      <c r="Q23" s="166">
        <f t="shared" si="36"/>
        <v>96141.126753298915</v>
      </c>
      <c r="R23" s="166">
        <f t="shared" si="37"/>
        <v>4671.1588867467799</v>
      </c>
      <c r="T23" s="158">
        <f t="shared" si="8"/>
        <v>5.106767823031988E-2</v>
      </c>
    </row>
    <row r="24" spans="1:20" x14ac:dyDescent="0.2">
      <c r="A24" s="174"/>
      <c r="B24" s="79" t="s">
        <v>173</v>
      </c>
      <c r="C24" s="100" t="s">
        <v>118</v>
      </c>
      <c r="D24" s="99"/>
      <c r="E24" s="99"/>
      <c r="F24" s="65">
        <v>8201</v>
      </c>
      <c r="G24" s="64">
        <f>References!B29</f>
        <v>324</v>
      </c>
      <c r="H24" s="66">
        <f t="shared" si="30"/>
        <v>2657124</v>
      </c>
      <c r="I24" s="82">
        <f t="shared" si="31"/>
        <v>1946000.0409878287</v>
      </c>
      <c r="J24" s="83">
        <f>References!$C$49*I24</f>
        <v>16151.80034019901</v>
      </c>
      <c r="K24" s="83">
        <f>J24/References!$G$52</f>
        <v>16604.479445870486</v>
      </c>
      <c r="L24" s="83">
        <f t="shared" si="32"/>
        <v>2.0246896044226905</v>
      </c>
      <c r="M24" s="160">
        <v>41.448063396338313</v>
      </c>
      <c r="N24" s="84">
        <f t="shared" si="33"/>
        <v>43.472753000761003</v>
      </c>
      <c r="O24" s="85">
        <f t="shared" si="34"/>
        <v>339915.5679133705</v>
      </c>
      <c r="P24" s="86">
        <f t="shared" si="35"/>
        <v>43.472753000761003</v>
      </c>
      <c r="Q24" s="166">
        <f t="shared" si="36"/>
        <v>356520.047359241</v>
      </c>
      <c r="R24" s="166">
        <f t="shared" si="37"/>
        <v>16604.4794458705</v>
      </c>
      <c r="T24" s="158">
        <f t="shared" si="8"/>
        <v>4.8848834867434521E-2</v>
      </c>
    </row>
    <row r="25" spans="1:20" x14ac:dyDescent="0.2">
      <c r="A25" s="174"/>
      <c r="B25" s="79" t="s">
        <v>173</v>
      </c>
      <c r="C25" s="100" t="s">
        <v>119</v>
      </c>
      <c r="D25" s="99"/>
      <c r="E25" s="99"/>
      <c r="F25" s="65">
        <v>6707</v>
      </c>
      <c r="G25" s="64">
        <f>References!B30</f>
        <v>473</v>
      </c>
      <c r="H25" s="66">
        <f t="shared" si="30"/>
        <v>3172411</v>
      </c>
      <c r="I25" s="82">
        <f t="shared" si="31"/>
        <v>2323381.1956198653</v>
      </c>
      <c r="J25" s="83">
        <f>References!$C$49*I25</f>
        <v>19284.063923644917</v>
      </c>
      <c r="K25" s="83">
        <f>J25/References!$G$52</f>
        <v>19824.52954523516</v>
      </c>
      <c r="L25" s="83">
        <f t="shared" si="32"/>
        <v>2.9557968607775695</v>
      </c>
      <c r="M25" s="160">
        <v>60.460753044654396</v>
      </c>
      <c r="N25" s="84">
        <f t="shared" si="33"/>
        <v>63.416549905431964</v>
      </c>
      <c r="O25" s="85">
        <f t="shared" si="34"/>
        <v>405510.27067049703</v>
      </c>
      <c r="P25" s="86">
        <f t="shared" si="35"/>
        <v>63.416549905431964</v>
      </c>
      <c r="Q25" s="166">
        <f t="shared" si="36"/>
        <v>425334.80021573219</v>
      </c>
      <c r="R25" s="166">
        <f t="shared" si="37"/>
        <v>19824.529545235157</v>
      </c>
      <c r="T25" s="158">
        <f t="shared" si="8"/>
        <v>4.8887860503399772E-2</v>
      </c>
    </row>
    <row r="26" spans="1:20" x14ac:dyDescent="0.2">
      <c r="A26" s="174"/>
      <c r="B26" s="79" t="s">
        <v>173</v>
      </c>
      <c r="C26" s="100" t="s">
        <v>120</v>
      </c>
      <c r="D26" s="99"/>
      <c r="E26" s="99"/>
      <c r="F26" s="65">
        <v>12049</v>
      </c>
      <c r="G26" s="64">
        <f>References!B31</f>
        <v>613</v>
      </c>
      <c r="H26" s="66">
        <f t="shared" si="30"/>
        <v>7386037</v>
      </c>
      <c r="I26" s="82">
        <f t="shared" si="31"/>
        <v>5409317.8582322923</v>
      </c>
      <c r="J26" s="83">
        <f>References!$C$49*I26</f>
        <v>44897.338223328108</v>
      </c>
      <c r="K26" s="83">
        <f>J26/References!$G$52</f>
        <v>46155.65534500419</v>
      </c>
      <c r="L26" s="83">
        <f t="shared" si="32"/>
        <v>3.8306627392318191</v>
      </c>
      <c r="M26" s="160">
        <v>71.289052043072189</v>
      </c>
      <c r="N26" s="84">
        <f t="shared" si="33"/>
        <v>75.119714782304015</v>
      </c>
      <c r="O26" s="85">
        <f t="shared" si="34"/>
        <v>858961.78806697682</v>
      </c>
      <c r="P26" s="86">
        <f t="shared" si="35"/>
        <v>75.119714782304015</v>
      </c>
      <c r="Q26" s="166">
        <f t="shared" si="36"/>
        <v>905117.4434119811</v>
      </c>
      <c r="R26" s="166">
        <f t="shared" si="37"/>
        <v>46155.655345004285</v>
      </c>
      <c r="T26" s="158">
        <f t="shared" si="8"/>
        <v>5.3734235895258831E-2</v>
      </c>
    </row>
    <row r="27" spans="1:20" x14ac:dyDescent="0.2">
      <c r="A27" s="174"/>
      <c r="B27" s="79" t="s">
        <v>173</v>
      </c>
      <c r="C27" s="100" t="s">
        <v>121</v>
      </c>
      <c r="D27" s="99"/>
      <c r="E27" s="99"/>
      <c r="F27" s="65">
        <v>4536</v>
      </c>
      <c r="G27" s="64">
        <f>References!B32</f>
        <v>840</v>
      </c>
      <c r="H27" s="66">
        <f t="shared" si="30"/>
        <v>3810240</v>
      </c>
      <c r="I27" s="82">
        <f t="shared" si="31"/>
        <v>2790508.5333516481</v>
      </c>
      <c r="J27" s="83">
        <f>References!$C$49*I27</f>
        <v>23161.220826818724</v>
      </c>
      <c r="K27" s="83">
        <f>J27/References!$G$52</f>
        <v>23810.349748010842</v>
      </c>
      <c r="L27" s="83">
        <f t="shared" si="32"/>
        <v>5.2491952707254939</v>
      </c>
      <c r="M27" s="160">
        <v>99.229793990506749</v>
      </c>
      <c r="N27" s="84">
        <f t="shared" si="33"/>
        <v>104.47898926123224</v>
      </c>
      <c r="O27" s="85">
        <f t="shared" si="34"/>
        <v>450106.34554093861</v>
      </c>
      <c r="P27" s="86">
        <f t="shared" si="35"/>
        <v>104.47898926123224</v>
      </c>
      <c r="Q27" s="166">
        <f t="shared" si="36"/>
        <v>473916.69528894947</v>
      </c>
      <c r="R27" s="166">
        <f t="shared" si="37"/>
        <v>23810.349748010864</v>
      </c>
      <c r="T27" s="158">
        <f t="shared" si="8"/>
        <v>5.2899386964641693E-2</v>
      </c>
    </row>
    <row r="28" spans="1:20" x14ac:dyDescent="0.2">
      <c r="A28" s="174"/>
      <c r="B28" s="79" t="s">
        <v>173</v>
      </c>
      <c r="C28" s="100" t="s">
        <v>122</v>
      </c>
      <c r="D28" s="99"/>
      <c r="E28" s="99"/>
      <c r="F28" s="65">
        <v>6474</v>
      </c>
      <c r="G28" s="64">
        <f>References!B33</f>
        <v>980</v>
      </c>
      <c r="H28" s="66">
        <f t="shared" si="30"/>
        <v>6344520</v>
      </c>
      <c r="I28" s="82">
        <f t="shared" si="31"/>
        <v>4646541.2152568344</v>
      </c>
      <c r="J28" s="83">
        <f>References!$C$49*I28</f>
        <v>38566.292086631802</v>
      </c>
      <c r="K28" s="83">
        <f>J28/References!$G$52</f>
        <v>39647.171879789661</v>
      </c>
      <c r="L28" s="83">
        <f t="shared" si="32"/>
        <v>6.1240611491797434</v>
      </c>
      <c r="M28" s="160">
        <v>123.98809298892454</v>
      </c>
      <c r="N28" s="84">
        <f t="shared" si="33"/>
        <v>130.11215413810427</v>
      </c>
      <c r="O28" s="85">
        <f t="shared" si="34"/>
        <v>802698.91401029739</v>
      </c>
      <c r="P28" s="86">
        <f t="shared" si="35"/>
        <v>130.11215413810427</v>
      </c>
      <c r="Q28" s="166">
        <f t="shared" si="36"/>
        <v>842346.08589008707</v>
      </c>
      <c r="R28" s="166">
        <f t="shared" si="37"/>
        <v>39647.171879789676</v>
      </c>
      <c r="T28" s="158">
        <f t="shared" si="8"/>
        <v>4.9392332776073689E-2</v>
      </c>
    </row>
    <row r="29" spans="1:20" x14ac:dyDescent="0.2">
      <c r="A29" s="174"/>
      <c r="B29" s="118">
        <v>30</v>
      </c>
      <c r="C29" s="115" t="s">
        <v>167</v>
      </c>
      <c r="D29" s="99"/>
      <c r="E29" s="99"/>
      <c r="F29" s="65">
        <v>1620</v>
      </c>
      <c r="G29" s="64">
        <f>+G22</f>
        <v>175</v>
      </c>
      <c r="H29" s="66">
        <f t="shared" ref="H29" si="38">F29*G29</f>
        <v>283500</v>
      </c>
      <c r="I29" s="82">
        <f t="shared" si="31"/>
        <v>207627.12301723572</v>
      </c>
      <c r="J29" s="83">
        <f>References!$C$49*I29</f>
        <v>1723.3051210430597</v>
      </c>
      <c r="K29" s="83">
        <f>J29/References!$G$52</f>
        <v>1771.6034038698542</v>
      </c>
      <c r="L29" s="83">
        <f t="shared" ref="L29" si="39">K29/F29</f>
        <v>1.0935823480678113</v>
      </c>
      <c r="M29" s="160">
        <v>22.985373748022237</v>
      </c>
      <c r="N29" s="84">
        <f t="shared" ref="N29" si="40">L29+M29</f>
        <v>24.078956096090049</v>
      </c>
      <c r="O29" s="85">
        <f t="shared" ref="O29" si="41">F29*M29</f>
        <v>37236.305471796026</v>
      </c>
      <c r="P29" s="86">
        <f t="shared" ref="P29" si="42">N29</f>
        <v>24.078956096090049</v>
      </c>
      <c r="Q29" s="166">
        <f t="shared" ref="Q29" si="43">F29*N29</f>
        <v>39007.908875665882</v>
      </c>
      <c r="R29" s="166">
        <f t="shared" ref="R29" si="44">Q29-O29</f>
        <v>1771.6034038698563</v>
      </c>
      <c r="T29" s="158">
        <f t="shared" si="8"/>
        <v>4.7577314167532636E-2</v>
      </c>
    </row>
    <row r="30" spans="1:20" x14ac:dyDescent="0.2">
      <c r="A30" s="174"/>
      <c r="B30" s="79">
        <v>38</v>
      </c>
      <c r="C30" s="100" t="s">
        <v>176</v>
      </c>
      <c r="D30" s="99"/>
      <c r="E30" s="99"/>
      <c r="F30" s="65">
        <v>624</v>
      </c>
      <c r="G30" s="64">
        <f>+References!B36</f>
        <v>892</v>
      </c>
      <c r="H30" s="66">
        <f t="shared" si="30"/>
        <v>556608</v>
      </c>
      <c r="I30" s="82">
        <f t="shared" si="31"/>
        <v>407643.44863625237</v>
      </c>
      <c r="J30" s="83">
        <f>References!$C$49*I30</f>
        <v>3383.4406236809009</v>
      </c>
      <c r="K30" s="83">
        <f>J30/References!$G$52</f>
        <v>3478.2667633904475</v>
      </c>
      <c r="L30" s="83">
        <f t="shared" si="32"/>
        <v>5.574145454151358</v>
      </c>
      <c r="M30" s="160">
        <v>134.46516218991906</v>
      </c>
      <c r="N30" s="84">
        <f t="shared" si="33"/>
        <v>140.03930764407042</v>
      </c>
      <c r="O30" s="85">
        <f t="shared" si="34"/>
        <v>83906.261206509487</v>
      </c>
      <c r="P30" s="86">
        <f t="shared" si="35"/>
        <v>140.03930764407042</v>
      </c>
      <c r="Q30" s="166">
        <f t="shared" si="36"/>
        <v>87384.527969899937</v>
      </c>
      <c r="R30" s="166">
        <f t="shared" si="37"/>
        <v>3478.2667633904493</v>
      </c>
      <c r="T30" s="158">
        <f t="shared" si="8"/>
        <v>4.1454197974925444E-2</v>
      </c>
    </row>
    <row r="31" spans="1:20" x14ac:dyDescent="0.2">
      <c r="A31" s="174"/>
      <c r="B31" s="79">
        <v>38</v>
      </c>
      <c r="C31" s="100" t="s">
        <v>123</v>
      </c>
      <c r="D31" s="99"/>
      <c r="E31" s="99"/>
      <c r="F31" s="65">
        <v>104</v>
      </c>
      <c r="G31" s="64">
        <f>+References!B37</f>
        <v>1301</v>
      </c>
      <c r="H31" s="66">
        <f t="shared" ref="H31" si="45">F31*G31</f>
        <v>135304</v>
      </c>
      <c r="I31" s="82">
        <f t="shared" si="31"/>
        <v>99092.699304141323</v>
      </c>
      <c r="J31" s="83">
        <f>References!$C$49*I31</f>
        <v>822.46940422437456</v>
      </c>
      <c r="K31" s="83">
        <f>J31/References!$G$52</f>
        <v>845.520377274098</v>
      </c>
      <c r="L31" s="83">
        <f t="shared" ref="L31" si="46">K31/F31</f>
        <v>8.1300036276355581</v>
      </c>
      <c r="M31" s="160">
        <v>197.55469283529675</v>
      </c>
      <c r="N31" s="84">
        <f t="shared" si="33"/>
        <v>205.68469646293229</v>
      </c>
      <c r="O31" s="85">
        <f t="shared" si="34"/>
        <v>20545.688054870861</v>
      </c>
      <c r="P31" s="86">
        <f t="shared" si="35"/>
        <v>205.68469646293229</v>
      </c>
      <c r="Q31" s="166">
        <f t="shared" si="36"/>
        <v>21391.208432144958</v>
      </c>
      <c r="R31" s="166">
        <f t="shared" si="37"/>
        <v>845.52037727409697</v>
      </c>
      <c r="T31" s="158">
        <f t="shared" si="8"/>
        <v>4.1153178954921543E-2</v>
      </c>
    </row>
    <row r="32" spans="1:20" x14ac:dyDescent="0.2">
      <c r="A32" s="88"/>
      <c r="B32" s="90"/>
      <c r="C32" s="90" t="s">
        <v>31</v>
      </c>
      <c r="D32" s="91">
        <f>SUM(D18:D31)</f>
        <v>0</v>
      </c>
      <c r="E32" s="91"/>
      <c r="F32" s="91">
        <f>SUM(F18:F31)</f>
        <v>71135</v>
      </c>
      <c r="G32" s="91"/>
      <c r="H32" s="91">
        <f>SUM(H18:H31)</f>
        <v>27233996</v>
      </c>
      <c r="I32" s="96">
        <f>SUM(I18:I31)</f>
        <v>19945383.554648701</v>
      </c>
      <c r="J32" s="98"/>
      <c r="K32" s="98"/>
      <c r="L32" s="98"/>
      <c r="M32" s="98"/>
      <c r="N32" s="98"/>
      <c r="O32" s="97">
        <f>SUM(O18:O31)</f>
        <v>3392908.7146408153</v>
      </c>
      <c r="P32" s="98"/>
      <c r="Q32" s="167">
        <f>SUM(Q18:Q31)</f>
        <v>3563095.0991719556</v>
      </c>
      <c r="R32" s="167">
        <f>SUM(R18:R31)</f>
        <v>170186.38453113948</v>
      </c>
      <c r="T32" s="169">
        <f>+R32/O32</f>
        <v>5.0159435117356523E-2</v>
      </c>
    </row>
    <row r="33" spans="1:20" x14ac:dyDescent="0.2">
      <c r="A33" s="102"/>
      <c r="C33" s="103" t="s">
        <v>125</v>
      </c>
      <c r="D33" s="104">
        <f>D17+D32</f>
        <v>20586</v>
      </c>
      <c r="E33" s="104"/>
      <c r="F33" s="104">
        <f>F17+F32</f>
        <v>1045447</v>
      </c>
      <c r="G33" s="104"/>
      <c r="H33" s="104">
        <f>H17+H32</f>
        <v>64298112</v>
      </c>
      <c r="I33" s="104">
        <f>I17+I32</f>
        <v>47090060.000000007</v>
      </c>
      <c r="J33" s="83"/>
      <c r="K33" s="105"/>
      <c r="L33" s="105"/>
      <c r="M33" s="105"/>
      <c r="N33" s="105"/>
      <c r="O33" s="106">
        <f>O17+O32</f>
        <v>9222818.8432125356</v>
      </c>
      <c r="P33" s="105"/>
      <c r="Q33" s="106">
        <f>Q17+Q32</f>
        <v>9624620.4449113198</v>
      </c>
      <c r="R33" s="106">
        <f>R17+R32</f>
        <v>401801.60169878387</v>
      </c>
      <c r="T33" s="169">
        <f>+R33/O33</f>
        <v>4.356602992310607E-2</v>
      </c>
    </row>
    <row r="34" spans="1:20" x14ac:dyDescent="0.2">
      <c r="A34" s="102"/>
      <c r="B34" s="102"/>
      <c r="C34" s="102"/>
      <c r="D34" s="107"/>
      <c r="E34" s="102"/>
      <c r="F34" s="102"/>
      <c r="G34" s="102"/>
      <c r="H34" s="102"/>
      <c r="I34" s="108"/>
      <c r="J34" s="109"/>
      <c r="K34" s="102"/>
      <c r="L34" s="102"/>
      <c r="M34" s="102"/>
      <c r="N34" s="102"/>
      <c r="O34" s="102"/>
      <c r="P34" s="102"/>
      <c r="Q34" s="154"/>
      <c r="R34" s="154"/>
    </row>
    <row r="35" spans="1:20" x14ac:dyDescent="0.2">
      <c r="A35" s="102"/>
      <c r="B35" s="102"/>
      <c r="C35" s="102"/>
      <c r="D35" s="107"/>
      <c r="E35" s="102"/>
      <c r="F35" s="102"/>
      <c r="G35" s="102"/>
      <c r="H35" s="102"/>
      <c r="I35" s="108"/>
      <c r="J35" s="109"/>
      <c r="K35" s="102"/>
      <c r="L35" s="102"/>
      <c r="M35" s="102"/>
      <c r="N35" s="102"/>
      <c r="O35" s="102"/>
      <c r="P35" s="102"/>
      <c r="Q35" s="154"/>
      <c r="R35" s="154"/>
    </row>
    <row r="36" spans="1:20" x14ac:dyDescent="0.2">
      <c r="A36" s="110"/>
      <c r="B36" s="111" t="s">
        <v>126</v>
      </c>
      <c r="C36" s="111"/>
      <c r="D36" s="112"/>
      <c r="E36" s="110"/>
      <c r="F36" s="110"/>
      <c r="G36" s="110"/>
      <c r="H36" s="110"/>
      <c r="I36" s="113"/>
      <c r="J36" s="114"/>
      <c r="K36" s="110"/>
      <c r="L36" s="110"/>
      <c r="M36" s="110"/>
      <c r="N36" s="110"/>
      <c r="O36" s="102"/>
      <c r="P36" s="102"/>
      <c r="Q36" s="154"/>
      <c r="R36" s="154"/>
    </row>
    <row r="37" spans="1:20" x14ac:dyDescent="0.2">
      <c r="A37" s="175" t="s">
        <v>17</v>
      </c>
      <c r="B37" s="79">
        <v>22</v>
      </c>
      <c r="C37" s="115" t="s">
        <v>127</v>
      </c>
      <c r="D37" s="116">
        <v>1</v>
      </c>
      <c r="E37" s="99">
        <f>References!B7</f>
        <v>4.333333333333333</v>
      </c>
      <c r="F37" s="80">
        <f>D37*E37*12</f>
        <v>52</v>
      </c>
      <c r="G37" s="80">
        <f>References!B18</f>
        <v>117</v>
      </c>
      <c r="H37" s="80">
        <f>G37*F37</f>
        <v>6084</v>
      </c>
      <c r="I37" s="82">
        <f>$C$85*H37</f>
        <v>4455.7439733222654</v>
      </c>
      <c r="J37" s="83">
        <f>(References!$C$49*I37)</f>
        <v>36.98267497857487</v>
      </c>
      <c r="K37" s="83">
        <f>J37/References!$G$52</f>
        <v>38.01917146082608</v>
      </c>
      <c r="L37" s="83">
        <f t="shared" ref="L37:L38" si="47">(K37/F37)*E37</f>
        <v>3.168264288402173</v>
      </c>
      <c r="M37" s="161">
        <v>68.137339944270138</v>
      </c>
      <c r="N37" s="84">
        <f>L37+M37</f>
        <v>71.305604232672309</v>
      </c>
      <c r="O37" s="117"/>
      <c r="P37" s="83"/>
      <c r="Q37" s="85"/>
      <c r="R37" s="85"/>
      <c r="T37" s="170">
        <f>+N37/M37-1</f>
        <v>4.6498209219695275E-2</v>
      </c>
    </row>
    <row r="38" spans="1:20" x14ac:dyDescent="0.2">
      <c r="A38" s="175"/>
      <c r="B38" s="79">
        <v>22</v>
      </c>
      <c r="C38" s="78" t="s">
        <v>174</v>
      </c>
      <c r="D38" s="80">
        <v>1</v>
      </c>
      <c r="E38" s="81">
        <f>References!$B$9</f>
        <v>1</v>
      </c>
      <c r="F38" s="80">
        <f t="shared" ref="F38" si="48">D38*E38*12</f>
        <v>12</v>
      </c>
      <c r="G38" s="64">
        <f>+G2</f>
        <v>20</v>
      </c>
      <c r="H38" s="80">
        <f t="shared" ref="H38" si="49">G38*F38</f>
        <v>240</v>
      </c>
      <c r="I38" s="82">
        <f>$C$85*H38</f>
        <v>175.76899303046412</v>
      </c>
      <c r="J38" s="83">
        <f>(References!$C$49*I38)</f>
        <v>1.4588826421528549</v>
      </c>
      <c r="K38" s="83">
        <f>J38/References!$G$52</f>
        <v>1.4997700773501412</v>
      </c>
      <c r="L38" s="83">
        <f t="shared" si="47"/>
        <v>0.12498083977917844</v>
      </c>
      <c r="M38" s="160">
        <v>9.4897569997739701</v>
      </c>
      <c r="N38" s="84">
        <f t="shared" ref="N38" si="50">L38+M38</f>
        <v>9.6147378395531486</v>
      </c>
      <c r="O38" s="119"/>
      <c r="P38" s="102"/>
      <c r="Q38" s="154"/>
      <c r="R38" s="154"/>
      <c r="T38" s="170">
        <f>+N38/M38-1</f>
        <v>1.3170077988525541E-2</v>
      </c>
    </row>
    <row r="39" spans="1:20" x14ac:dyDescent="0.2">
      <c r="A39" s="175"/>
      <c r="B39" s="118"/>
      <c r="D39" s="120"/>
      <c r="F39" s="80"/>
      <c r="G39" s="100"/>
      <c r="H39" s="80"/>
      <c r="I39" s="82"/>
      <c r="J39" s="83"/>
      <c r="K39" s="83"/>
      <c r="L39" s="83"/>
      <c r="M39" s="162"/>
      <c r="N39" s="83"/>
      <c r="O39" s="119"/>
      <c r="P39" s="102"/>
      <c r="Q39" s="154"/>
      <c r="R39" s="154"/>
      <c r="T39" s="170"/>
    </row>
    <row r="40" spans="1:20" x14ac:dyDescent="0.2">
      <c r="A40" s="175"/>
      <c r="B40" s="121"/>
      <c r="C40" s="122"/>
      <c r="D40" s="123"/>
      <c r="E40" s="124"/>
      <c r="F40" s="125"/>
      <c r="G40" s="125"/>
      <c r="H40" s="125"/>
      <c r="I40" s="125"/>
      <c r="J40" s="126"/>
      <c r="K40" s="126"/>
      <c r="L40" s="126"/>
      <c r="M40" s="163"/>
      <c r="N40" s="126"/>
      <c r="O40" s="119"/>
      <c r="P40" s="102"/>
      <c r="Q40" s="154"/>
      <c r="R40" s="154"/>
      <c r="T40" s="170"/>
    </row>
    <row r="41" spans="1:20" ht="15" customHeight="1" x14ac:dyDescent="0.2">
      <c r="A41" s="175" t="s">
        <v>166</v>
      </c>
      <c r="B41" s="79" t="s">
        <v>173</v>
      </c>
      <c r="C41" s="100" t="s">
        <v>163</v>
      </c>
      <c r="D41" s="100"/>
      <c r="E41" s="100"/>
      <c r="F41" s="66">
        <v>1</v>
      </c>
      <c r="G41" s="67">
        <f>References!B27</f>
        <v>175</v>
      </c>
      <c r="H41" s="66">
        <f t="shared" ref="H41:H43" si="51">F41*G41</f>
        <v>175</v>
      </c>
      <c r="I41" s="82">
        <f>$C$85*H41</f>
        <v>128.16489075138009</v>
      </c>
      <c r="J41" s="83">
        <f>References!$C$49*I41</f>
        <v>1.0637685932364567</v>
      </c>
      <c r="K41" s="83">
        <f>J41/References!$G$52</f>
        <v>1.0935823480678113</v>
      </c>
      <c r="L41" s="83">
        <f t="shared" ref="L41:L43" si="52">K41/F41</f>
        <v>1.0935823480678113</v>
      </c>
      <c r="M41" s="161">
        <v>34.25</v>
      </c>
      <c r="N41" s="84">
        <f t="shared" ref="N41:N43" si="53">L41+M41</f>
        <v>35.343582348067812</v>
      </c>
      <c r="O41" s="119">
        <v>35.22</v>
      </c>
      <c r="P41" s="153">
        <f>N41/M41*O41</f>
        <v>36.344553877341554</v>
      </c>
      <c r="Q41" s="85"/>
      <c r="R41" s="154"/>
      <c r="T41" s="170">
        <f t="shared" ref="T41:T73" si="54">+N41/M41-1</f>
        <v>3.1929411622417803E-2</v>
      </c>
    </row>
    <row r="42" spans="1:20" x14ac:dyDescent="0.2">
      <c r="A42" s="175"/>
      <c r="B42" s="79" t="s">
        <v>173</v>
      </c>
      <c r="C42" s="100" t="s">
        <v>164</v>
      </c>
      <c r="D42" s="100"/>
      <c r="E42" s="100"/>
      <c r="F42" s="66">
        <v>1</v>
      </c>
      <c r="G42" s="67">
        <f>References!B28</f>
        <v>250</v>
      </c>
      <c r="H42" s="66">
        <f t="shared" si="51"/>
        <v>250</v>
      </c>
      <c r="I42" s="82">
        <f>$C$85*H42</f>
        <v>183.09270107340012</v>
      </c>
      <c r="J42" s="83">
        <f>References!$C$49*I42</f>
        <v>1.5196694189092239</v>
      </c>
      <c r="K42" s="83">
        <f>J42/References!$G$52</f>
        <v>1.5622604972397305</v>
      </c>
      <c r="L42" s="83">
        <f t="shared" si="52"/>
        <v>1.5622604972397305</v>
      </c>
      <c r="M42" s="161">
        <v>42.71</v>
      </c>
      <c r="N42" s="84">
        <f t="shared" si="53"/>
        <v>44.272260497239728</v>
      </c>
      <c r="O42" s="119">
        <v>44.09</v>
      </c>
      <c r="P42" s="153">
        <f t="shared" ref="P42:P47" si="55">N42/M42*O42</f>
        <v>45.702738593380936</v>
      </c>
      <c r="Q42" s="85"/>
      <c r="R42" s="154"/>
      <c r="T42" s="170">
        <f t="shared" si="54"/>
        <v>3.6578330537104353E-2</v>
      </c>
    </row>
    <row r="43" spans="1:20" x14ac:dyDescent="0.2">
      <c r="A43" s="175"/>
      <c r="B43" s="79" t="s">
        <v>173</v>
      </c>
      <c r="C43" s="100" t="s">
        <v>165</v>
      </c>
      <c r="D43" s="100"/>
      <c r="E43" s="100"/>
      <c r="F43" s="66">
        <v>1</v>
      </c>
      <c r="G43" s="67">
        <f>References!B29</f>
        <v>324</v>
      </c>
      <c r="H43" s="66">
        <f t="shared" si="51"/>
        <v>324</v>
      </c>
      <c r="I43" s="82">
        <f>$C$85*H43</f>
        <v>237.28814059112656</v>
      </c>
      <c r="J43" s="83">
        <f>References!$C$49*I43</f>
        <v>1.9694915669063542</v>
      </c>
      <c r="K43" s="83">
        <f>J43/References!$G$52</f>
        <v>2.0246896044226905</v>
      </c>
      <c r="L43" s="83">
        <f t="shared" si="52"/>
        <v>2.0246896044226905</v>
      </c>
      <c r="M43" s="161">
        <v>53.16</v>
      </c>
      <c r="N43" s="84">
        <f t="shared" si="53"/>
        <v>55.184689604422687</v>
      </c>
      <c r="O43" s="119">
        <v>54.95</v>
      </c>
      <c r="P43" s="153">
        <f t="shared" si="55"/>
        <v>57.042864818717582</v>
      </c>
      <c r="Q43" s="85"/>
      <c r="R43" s="154"/>
      <c r="T43" s="170">
        <f t="shared" si="54"/>
        <v>3.8086711896589298E-2</v>
      </c>
    </row>
    <row r="44" spans="1:20" x14ac:dyDescent="0.2">
      <c r="A44" s="175"/>
      <c r="B44" s="79" t="s">
        <v>173</v>
      </c>
      <c r="C44" s="100" t="s">
        <v>136</v>
      </c>
      <c r="D44" s="100"/>
      <c r="E44" s="100"/>
      <c r="F44" s="66">
        <v>1</v>
      </c>
      <c r="G44" s="67">
        <f>References!B30</f>
        <v>473</v>
      </c>
      <c r="H44" s="66">
        <f t="shared" ref="H44:H46" si="56">F44*G44</f>
        <v>473</v>
      </c>
      <c r="I44" s="82">
        <f t="shared" ref="I44:I46" si="57">$C$85*H44</f>
        <v>346.41139043087304</v>
      </c>
      <c r="J44" s="83">
        <f>References!$C$49*I44</f>
        <v>2.8752145405762515</v>
      </c>
      <c r="K44" s="83">
        <f>J44/References!$G$52</f>
        <v>2.95579686077757</v>
      </c>
      <c r="L44" s="83">
        <f t="shared" ref="L44:L46" si="58">K44/F44</f>
        <v>2.95579686077757</v>
      </c>
      <c r="M44" s="161">
        <v>68.58</v>
      </c>
      <c r="N44" s="84">
        <f t="shared" ref="N44:N46" si="59">L44+M44</f>
        <v>71.535796860777566</v>
      </c>
      <c r="O44" s="119">
        <v>71.19</v>
      </c>
      <c r="P44" s="153">
        <f t="shared" si="55"/>
        <v>74.258287817421333</v>
      </c>
      <c r="Q44" s="85"/>
      <c r="R44" s="154"/>
      <c r="T44" s="170">
        <f t="shared" si="54"/>
        <v>4.309998338841603E-2</v>
      </c>
    </row>
    <row r="45" spans="1:20" x14ac:dyDescent="0.2">
      <c r="A45" s="175"/>
      <c r="B45" s="79" t="s">
        <v>173</v>
      </c>
      <c r="C45" s="100" t="s">
        <v>137</v>
      </c>
      <c r="D45" s="100"/>
      <c r="E45" s="100"/>
      <c r="F45" s="66">
        <v>1</v>
      </c>
      <c r="G45" s="67">
        <f>References!B31</f>
        <v>613</v>
      </c>
      <c r="H45" s="66">
        <f t="shared" si="56"/>
        <v>613</v>
      </c>
      <c r="I45" s="82">
        <f t="shared" si="57"/>
        <v>448.94330303197711</v>
      </c>
      <c r="J45" s="83">
        <f>References!$C$49*I45</f>
        <v>3.7262294151654172</v>
      </c>
      <c r="K45" s="83">
        <f>J45/References!$G$52</f>
        <v>3.8306627392318195</v>
      </c>
      <c r="L45" s="83">
        <f t="shared" si="58"/>
        <v>3.8306627392318195</v>
      </c>
      <c r="M45" s="161">
        <v>81.41</v>
      </c>
      <c r="N45" s="84">
        <f t="shared" si="59"/>
        <v>85.240662739231823</v>
      </c>
      <c r="O45" s="119">
        <v>84.79</v>
      </c>
      <c r="P45" s="153">
        <f t="shared" si="55"/>
        <v>88.779705118037924</v>
      </c>
      <c r="Q45" s="85"/>
      <c r="R45" s="154"/>
      <c r="T45" s="170">
        <f t="shared" si="54"/>
        <v>4.7053958226653148E-2</v>
      </c>
    </row>
    <row r="46" spans="1:20" x14ac:dyDescent="0.2">
      <c r="A46" s="175"/>
      <c r="B46" s="79" t="s">
        <v>173</v>
      </c>
      <c r="C46" s="100" t="s">
        <v>138</v>
      </c>
      <c r="D46" s="100"/>
      <c r="E46" s="100"/>
      <c r="F46" s="66">
        <v>1</v>
      </c>
      <c r="G46" s="67">
        <f>References!B32</f>
        <v>840</v>
      </c>
      <c r="H46" s="66">
        <f t="shared" si="56"/>
        <v>840</v>
      </c>
      <c r="I46" s="82">
        <f t="shared" si="57"/>
        <v>615.19147560662441</v>
      </c>
      <c r="J46" s="83">
        <f>References!$C$49*I46</f>
        <v>5.1060892475349924</v>
      </c>
      <c r="K46" s="83">
        <f>J46/References!$G$52</f>
        <v>5.2491952707254947</v>
      </c>
      <c r="L46" s="83">
        <f t="shared" si="58"/>
        <v>5.2491952707254947</v>
      </c>
      <c r="M46" s="161">
        <v>108.09</v>
      </c>
      <c r="N46" s="84">
        <f t="shared" si="59"/>
        <v>113.3391952707255</v>
      </c>
      <c r="O46" s="119">
        <v>112.73</v>
      </c>
      <c r="P46" s="153">
        <f t="shared" si="55"/>
        <v>118.20452847505675</v>
      </c>
      <c r="Q46" s="85"/>
      <c r="R46" s="154"/>
      <c r="T46" s="170">
        <f t="shared" si="54"/>
        <v>4.8563190588634342E-2</v>
      </c>
    </row>
    <row r="47" spans="1:20" x14ac:dyDescent="0.2">
      <c r="A47" s="175"/>
      <c r="B47" s="79" t="s">
        <v>173</v>
      </c>
      <c r="C47" s="127" t="s">
        <v>140</v>
      </c>
      <c r="D47" s="99"/>
      <c r="E47" s="99"/>
      <c r="F47" s="66">
        <v>1</v>
      </c>
      <c r="G47" s="67">
        <f>References!$B$33</f>
        <v>980</v>
      </c>
      <c r="H47" s="66">
        <f>F47*G47</f>
        <v>980</v>
      </c>
      <c r="I47" s="82">
        <f t="shared" ref="I47:I73" si="60">$C$85*H47</f>
        <v>717.72338820772848</v>
      </c>
      <c r="J47" s="83">
        <f>References!$C$49*I47</f>
        <v>5.9571041221241572</v>
      </c>
      <c r="K47" s="83">
        <f>J47/References!$G$52</f>
        <v>6.1240611491797434</v>
      </c>
      <c r="L47" s="83">
        <f>K47/F47</f>
        <v>6.1240611491797434</v>
      </c>
      <c r="M47" s="161">
        <v>132.08000000000001</v>
      </c>
      <c r="N47" s="84">
        <f>L47+M47</f>
        <v>138.20406114917975</v>
      </c>
      <c r="O47" s="119">
        <v>137.49</v>
      </c>
      <c r="P47" s="153">
        <f t="shared" si="55"/>
        <v>143.86490284222231</v>
      </c>
      <c r="Q47" s="85"/>
      <c r="R47" s="154"/>
      <c r="T47" s="170">
        <f t="shared" si="54"/>
        <v>4.6366301856297198E-2</v>
      </c>
    </row>
    <row r="48" spans="1:20" x14ac:dyDescent="0.2">
      <c r="A48" s="175"/>
      <c r="B48" s="79" t="s">
        <v>173</v>
      </c>
      <c r="C48" s="115" t="s">
        <v>144</v>
      </c>
      <c r="D48" s="99"/>
      <c r="E48" s="99"/>
      <c r="F48" s="66">
        <v>1</v>
      </c>
      <c r="G48" s="67">
        <f>References!B27</f>
        <v>175</v>
      </c>
      <c r="H48" s="66">
        <f>F48*G48</f>
        <v>175</v>
      </c>
      <c r="I48" s="82">
        <f t="shared" si="60"/>
        <v>128.16489075138009</v>
      </c>
      <c r="J48" s="83">
        <f>References!$C$49*I48</f>
        <v>1.0637685932364567</v>
      </c>
      <c r="K48" s="83">
        <f>J48/References!$G$52</f>
        <v>1.0935823480678113</v>
      </c>
      <c r="L48" s="83">
        <f>K48/F48</f>
        <v>1.0935823480678113</v>
      </c>
      <c r="M48" s="161">
        <v>24.515373748022238</v>
      </c>
      <c r="N48" s="84">
        <f>L48+M48</f>
        <v>25.608956096090051</v>
      </c>
      <c r="O48" s="119"/>
      <c r="P48" s="102"/>
      <c r="Q48" s="85"/>
      <c r="R48" s="154"/>
      <c r="T48" s="170">
        <f t="shared" si="54"/>
        <v>4.4608022676221104E-2</v>
      </c>
    </row>
    <row r="49" spans="1:20" s="100" customFormat="1" x14ac:dyDescent="0.2">
      <c r="A49" s="175"/>
      <c r="B49" s="79" t="s">
        <v>173</v>
      </c>
      <c r="C49" s="115" t="s">
        <v>145</v>
      </c>
      <c r="D49" s="99"/>
      <c r="E49" s="99"/>
      <c r="F49" s="66">
        <v>1</v>
      </c>
      <c r="G49" s="67">
        <f>References!B28</f>
        <v>250</v>
      </c>
      <c r="H49" s="66">
        <f t="shared" ref="H49:H55" si="61">F49*G49</f>
        <v>250</v>
      </c>
      <c r="I49" s="82">
        <f t="shared" si="60"/>
        <v>183.09270107340012</v>
      </c>
      <c r="J49" s="83">
        <f>References!$C$49*I49</f>
        <v>1.5196694189092239</v>
      </c>
      <c r="K49" s="83">
        <f>J49/References!$G$52</f>
        <v>1.5622604972397305</v>
      </c>
      <c r="L49" s="83">
        <f t="shared" ref="L49:L55" si="62">K49/F49</f>
        <v>1.5622604972397305</v>
      </c>
      <c r="M49" s="161">
        <v>33.391962497174625</v>
      </c>
      <c r="N49" s="84">
        <f t="shared" ref="N49:N55" si="63">L49+M49</f>
        <v>34.954222994414351</v>
      </c>
      <c r="O49" s="119"/>
      <c r="P49" s="115"/>
      <c r="Q49" s="85"/>
      <c r="R49" s="85"/>
      <c r="T49" s="170">
        <f t="shared" si="54"/>
        <v>4.6785525030818897E-2</v>
      </c>
    </row>
    <row r="50" spans="1:20" s="100" customFormat="1" x14ac:dyDescent="0.2">
      <c r="A50" s="175"/>
      <c r="B50" s="79" t="s">
        <v>173</v>
      </c>
      <c r="C50" s="115" t="s">
        <v>146</v>
      </c>
      <c r="D50" s="99"/>
      <c r="E50" s="99"/>
      <c r="F50" s="66">
        <v>1</v>
      </c>
      <c r="G50" s="67">
        <f>References!B29</f>
        <v>324</v>
      </c>
      <c r="H50" s="66">
        <f t="shared" si="61"/>
        <v>324</v>
      </c>
      <c r="I50" s="82">
        <f t="shared" si="60"/>
        <v>237.28814059112656</v>
      </c>
      <c r="J50" s="83">
        <f>References!$C$49*I50</f>
        <v>1.9694915669063542</v>
      </c>
      <c r="K50" s="83">
        <f>J50/References!$G$52</f>
        <v>2.0246896044226905</v>
      </c>
      <c r="L50" s="83">
        <f t="shared" si="62"/>
        <v>2.0246896044226905</v>
      </c>
      <c r="M50" s="161">
        <v>44.248063396338324</v>
      </c>
      <c r="N50" s="84">
        <f t="shared" si="63"/>
        <v>46.272753000761014</v>
      </c>
      <c r="O50" s="119"/>
      <c r="P50" s="115"/>
      <c r="Q50" s="85"/>
      <c r="R50" s="85"/>
      <c r="T50" s="170">
        <f t="shared" si="54"/>
        <v>4.5757699863317347E-2</v>
      </c>
    </row>
    <row r="51" spans="1:20" s="100" customFormat="1" x14ac:dyDescent="0.2">
      <c r="A51" s="175"/>
      <c r="B51" s="79" t="s">
        <v>173</v>
      </c>
      <c r="C51" s="115" t="s">
        <v>147</v>
      </c>
      <c r="D51" s="99"/>
      <c r="E51" s="99"/>
      <c r="F51" s="66">
        <v>1</v>
      </c>
      <c r="G51" s="67">
        <f>References!B30</f>
        <v>473</v>
      </c>
      <c r="H51" s="66">
        <f t="shared" si="61"/>
        <v>473</v>
      </c>
      <c r="I51" s="82">
        <f t="shared" si="60"/>
        <v>346.41139043087304</v>
      </c>
      <c r="J51" s="83">
        <f>References!$C$49*I51</f>
        <v>2.8752145405762515</v>
      </c>
      <c r="K51" s="83">
        <f>J51/References!$G$52</f>
        <v>2.95579686077757</v>
      </c>
      <c r="L51" s="83">
        <f t="shared" si="62"/>
        <v>2.95579686077757</v>
      </c>
      <c r="M51" s="161">
        <v>63.260753044654393</v>
      </c>
      <c r="N51" s="84">
        <f t="shared" si="63"/>
        <v>66.216549905431961</v>
      </c>
      <c r="O51" s="119"/>
      <c r="P51" s="115"/>
      <c r="Q51" s="85"/>
      <c r="R51" s="85"/>
      <c r="T51" s="170">
        <f t="shared" si="54"/>
        <v>4.6724022692096856E-2</v>
      </c>
    </row>
    <row r="52" spans="1:20" s="100" customFormat="1" x14ac:dyDescent="0.2">
      <c r="A52" s="175"/>
      <c r="B52" s="79" t="s">
        <v>173</v>
      </c>
      <c r="C52" s="115" t="s">
        <v>148</v>
      </c>
      <c r="D52" s="99"/>
      <c r="E52" s="99"/>
      <c r="F52" s="66">
        <v>1</v>
      </c>
      <c r="G52" s="67">
        <f>References!B31</f>
        <v>613</v>
      </c>
      <c r="H52" s="66">
        <f t="shared" si="61"/>
        <v>613</v>
      </c>
      <c r="I52" s="82">
        <f t="shared" si="60"/>
        <v>448.94330303197711</v>
      </c>
      <c r="J52" s="83">
        <f>References!$C$49*I52</f>
        <v>3.7262294151654172</v>
      </c>
      <c r="K52" s="83">
        <f>J52/References!$G$52</f>
        <v>3.8306627392318195</v>
      </c>
      <c r="L52" s="83">
        <f t="shared" si="62"/>
        <v>3.8306627392318195</v>
      </c>
      <c r="M52" s="161">
        <v>74.089052043072186</v>
      </c>
      <c r="N52" s="84">
        <f t="shared" si="63"/>
        <v>77.919714782304013</v>
      </c>
      <c r="O52" s="119"/>
      <c r="P52" s="115"/>
      <c r="Q52" s="85"/>
      <c r="R52" s="85"/>
      <c r="T52" s="170">
        <f t="shared" si="54"/>
        <v>5.1703492399995055E-2</v>
      </c>
    </row>
    <row r="53" spans="1:20" x14ac:dyDescent="0.2">
      <c r="A53" s="175"/>
      <c r="B53" s="79" t="s">
        <v>173</v>
      </c>
      <c r="C53" s="115" t="s">
        <v>149</v>
      </c>
      <c r="D53" s="99"/>
      <c r="E53" s="99"/>
      <c r="F53" s="66">
        <v>1</v>
      </c>
      <c r="G53" s="67">
        <f>References!B32</f>
        <v>840</v>
      </c>
      <c r="H53" s="66">
        <f t="shared" si="61"/>
        <v>840</v>
      </c>
      <c r="I53" s="82">
        <f t="shared" si="60"/>
        <v>615.19147560662441</v>
      </c>
      <c r="J53" s="83">
        <f>References!$C$49*I53</f>
        <v>5.1060892475349924</v>
      </c>
      <c r="K53" s="83">
        <f>J53/References!$G$52</f>
        <v>5.2491952707254947</v>
      </c>
      <c r="L53" s="83">
        <f t="shared" si="62"/>
        <v>5.2491952707254947</v>
      </c>
      <c r="M53" s="161">
        <v>102.02979399050675</v>
      </c>
      <c r="N53" s="84">
        <f t="shared" si="63"/>
        <v>107.27898926123224</v>
      </c>
      <c r="O53" s="119"/>
      <c r="P53" s="102"/>
      <c r="Q53" s="85"/>
      <c r="R53" s="154"/>
      <c r="T53" s="170">
        <f t="shared" si="54"/>
        <v>5.1447670973577608E-2</v>
      </c>
    </row>
    <row r="54" spans="1:20" x14ac:dyDescent="0.2">
      <c r="A54" s="175"/>
      <c r="B54" s="79" t="s">
        <v>173</v>
      </c>
      <c r="C54" s="115" t="s">
        <v>150</v>
      </c>
      <c r="D54" s="99"/>
      <c r="E54" s="99"/>
      <c r="F54" s="66">
        <v>1</v>
      </c>
      <c r="G54" s="67">
        <f>References!B33</f>
        <v>980</v>
      </c>
      <c r="H54" s="66">
        <f t="shared" si="61"/>
        <v>980</v>
      </c>
      <c r="I54" s="82">
        <f t="shared" si="60"/>
        <v>717.72338820772848</v>
      </c>
      <c r="J54" s="83">
        <f>References!$C$49*I54</f>
        <v>5.9571041221241572</v>
      </c>
      <c r="K54" s="83">
        <f>J54/References!$G$52</f>
        <v>6.1240611491797434</v>
      </c>
      <c r="L54" s="83">
        <f t="shared" si="62"/>
        <v>6.1240611491797434</v>
      </c>
      <c r="M54" s="161">
        <v>126.78809298892455</v>
      </c>
      <c r="N54" s="84">
        <f t="shared" si="63"/>
        <v>132.91215413810428</v>
      </c>
      <c r="O54" s="119"/>
      <c r="P54" s="102"/>
      <c r="Q54" s="85"/>
      <c r="R54" s="154"/>
      <c r="T54" s="170">
        <f t="shared" si="54"/>
        <v>4.8301547919919363E-2</v>
      </c>
    </row>
    <row r="55" spans="1:20" x14ac:dyDescent="0.2">
      <c r="A55" s="175"/>
      <c r="B55" s="118" t="s">
        <v>172</v>
      </c>
      <c r="C55" s="127" t="s">
        <v>157</v>
      </c>
      <c r="D55" s="99"/>
      <c r="E55" s="99"/>
      <c r="F55" s="66">
        <v>1</v>
      </c>
      <c r="G55" s="67">
        <f>References!B13</f>
        <v>20</v>
      </c>
      <c r="H55" s="66">
        <f t="shared" si="61"/>
        <v>20</v>
      </c>
      <c r="I55" s="82">
        <f t="shared" si="60"/>
        <v>14.64741608587201</v>
      </c>
      <c r="J55" s="83">
        <f>References!$C$49*I55</f>
        <v>0.12157355351273791</v>
      </c>
      <c r="K55" s="83">
        <f>J55/References!$G$52</f>
        <v>0.12498083977917844</v>
      </c>
      <c r="L55" s="83">
        <f t="shared" si="62"/>
        <v>0.12498083977917844</v>
      </c>
      <c r="M55" s="161">
        <v>4.78975699977397</v>
      </c>
      <c r="N55" s="84">
        <f t="shared" si="63"/>
        <v>4.9147378395531485</v>
      </c>
      <c r="O55" s="119"/>
      <c r="P55" s="102"/>
      <c r="Q55" s="85"/>
      <c r="R55" s="154"/>
      <c r="T55" s="170">
        <f t="shared" si="54"/>
        <v>2.6093357092035419E-2</v>
      </c>
    </row>
    <row r="56" spans="1:20" x14ac:dyDescent="0.2">
      <c r="A56" s="175"/>
      <c r="B56" s="118" t="s">
        <v>172</v>
      </c>
      <c r="C56" s="127" t="s">
        <v>151</v>
      </c>
      <c r="D56" s="99"/>
      <c r="E56" s="99"/>
      <c r="F56" s="66">
        <v>1</v>
      </c>
      <c r="G56" s="67">
        <f>References!B13</f>
        <v>20</v>
      </c>
      <c r="H56" s="66">
        <f>F56*G56</f>
        <v>20</v>
      </c>
      <c r="I56" s="82">
        <f t="shared" si="60"/>
        <v>14.64741608587201</v>
      </c>
      <c r="J56" s="83">
        <f>References!$C$49*I56</f>
        <v>0.12157355351273791</v>
      </c>
      <c r="K56" s="83">
        <f>J56/References!$G$52</f>
        <v>0.12498083977917844</v>
      </c>
      <c r="L56" s="83">
        <f>K56/F56</f>
        <v>0.12498083977917844</v>
      </c>
      <c r="M56" s="161">
        <v>7.5897569997739698</v>
      </c>
      <c r="N56" s="84">
        <f>L56+M56</f>
        <v>7.7147378395531483</v>
      </c>
      <c r="O56" s="119"/>
      <c r="P56" s="102"/>
      <c r="Q56" s="85"/>
      <c r="R56" s="154"/>
      <c r="T56" s="170">
        <f t="shared" si="54"/>
        <v>1.6467041011049677E-2</v>
      </c>
    </row>
    <row r="57" spans="1:20" x14ac:dyDescent="0.2">
      <c r="A57" s="175"/>
      <c r="B57" s="118" t="s">
        <v>172</v>
      </c>
      <c r="C57" s="127" t="s">
        <v>160</v>
      </c>
      <c r="D57" s="99"/>
      <c r="E57" s="99"/>
      <c r="F57" s="66">
        <v>1</v>
      </c>
      <c r="G57" s="67">
        <f>References!$B$26</f>
        <v>29</v>
      </c>
      <c r="H57" s="66">
        <f t="shared" ref="H57:H67" si="64">F57*G57</f>
        <v>29</v>
      </c>
      <c r="I57" s="82">
        <f t="shared" si="60"/>
        <v>21.238753324514413</v>
      </c>
      <c r="J57" s="83">
        <f>References!$C$49*I57</f>
        <v>0.17628165259346995</v>
      </c>
      <c r="K57" s="83">
        <f>J57/References!$G$52</f>
        <v>0.18122221767980873</v>
      </c>
      <c r="L57" s="83">
        <f t="shared" ref="L57:L67" si="65">K57/F57</f>
        <v>0.18122221767980873</v>
      </c>
      <c r="M57" s="161">
        <v>5.1741476496722569</v>
      </c>
      <c r="N57" s="84">
        <f t="shared" ref="N57:N67" si="66">L57+M57</f>
        <v>5.3553698673520653</v>
      </c>
      <c r="O57" s="119"/>
      <c r="P57" s="102"/>
      <c r="Q57" s="85"/>
      <c r="R57" s="154"/>
      <c r="T57" s="170">
        <f t="shared" si="54"/>
        <v>3.5024554757591364E-2</v>
      </c>
    </row>
    <row r="58" spans="1:20" x14ac:dyDescent="0.2">
      <c r="A58" s="175"/>
      <c r="B58" s="118" t="s">
        <v>171</v>
      </c>
      <c r="C58" s="127" t="s">
        <v>152</v>
      </c>
      <c r="D58" s="99"/>
      <c r="E58" s="99"/>
      <c r="F58" s="66">
        <v>1</v>
      </c>
      <c r="G58" s="67">
        <f>References!B26</f>
        <v>29</v>
      </c>
      <c r="H58" s="66">
        <f t="shared" si="64"/>
        <v>29</v>
      </c>
      <c r="I58" s="82">
        <f t="shared" si="60"/>
        <v>21.238753324514413</v>
      </c>
      <c r="J58" s="83">
        <f>References!$C$49*I58</f>
        <v>0.17628165259346995</v>
      </c>
      <c r="K58" s="83">
        <f>J58/References!$G$52</f>
        <v>0.18122221767980873</v>
      </c>
      <c r="L58" s="83">
        <f t="shared" si="65"/>
        <v>0.18122221767980873</v>
      </c>
      <c r="M58" s="161">
        <v>7.9741476496722568</v>
      </c>
      <c r="N58" s="84">
        <f t="shared" si="66"/>
        <v>8.155369867352066</v>
      </c>
      <c r="O58" s="119"/>
      <c r="P58" s="102"/>
      <c r="Q58" s="85"/>
      <c r="R58" s="154"/>
      <c r="T58" s="170">
        <f t="shared" si="54"/>
        <v>2.272621797857699E-2</v>
      </c>
    </row>
    <row r="59" spans="1:20" x14ac:dyDescent="0.2">
      <c r="A59" s="175"/>
      <c r="B59" s="118" t="s">
        <v>171</v>
      </c>
      <c r="C59" s="127" t="s">
        <v>141</v>
      </c>
      <c r="D59" s="99"/>
      <c r="E59" s="99"/>
      <c r="F59" s="66">
        <v>1</v>
      </c>
      <c r="G59" s="67">
        <f>References!B20</f>
        <v>37</v>
      </c>
      <c r="H59" s="66">
        <f t="shared" si="64"/>
        <v>37</v>
      </c>
      <c r="I59" s="82">
        <f t="shared" si="60"/>
        <v>27.097719758863217</v>
      </c>
      <c r="J59" s="83">
        <f>References!$C$49*I59</f>
        <v>0.22491107399856514</v>
      </c>
      <c r="K59" s="83">
        <f>J59/References!$G$52</f>
        <v>0.2312145535914801</v>
      </c>
      <c r="L59" s="83">
        <f t="shared" si="65"/>
        <v>0.2312145535914801</v>
      </c>
      <c r="M59" s="161">
        <v>8.2280504495818434</v>
      </c>
      <c r="N59" s="84">
        <f t="shared" si="66"/>
        <v>8.4592650031733232</v>
      </c>
      <c r="O59" s="119"/>
      <c r="P59" s="102"/>
      <c r="Q59" s="85"/>
      <c r="R59" s="154"/>
      <c r="T59" s="170">
        <f t="shared" si="54"/>
        <v>2.8100770043677947E-2</v>
      </c>
    </row>
    <row r="60" spans="1:20" x14ac:dyDescent="0.2">
      <c r="A60" s="175"/>
      <c r="B60" s="118" t="s">
        <v>171</v>
      </c>
      <c r="C60" s="127" t="s">
        <v>142</v>
      </c>
      <c r="D60" s="99"/>
      <c r="E60" s="99"/>
      <c r="F60" s="66">
        <v>1</v>
      </c>
      <c r="G60" s="67">
        <f>References!B21</f>
        <v>47</v>
      </c>
      <c r="H60" s="66">
        <f t="shared" si="64"/>
        <v>47</v>
      </c>
      <c r="I60" s="82">
        <f t="shared" si="60"/>
        <v>34.421427801799219</v>
      </c>
      <c r="J60" s="83">
        <f>References!$C$49*I60</f>
        <v>0.28569785075493404</v>
      </c>
      <c r="K60" s="83">
        <f>J60/References!$G$52</f>
        <v>0.29370497348106928</v>
      </c>
      <c r="L60" s="83">
        <f t="shared" si="65"/>
        <v>0.29370497348106928</v>
      </c>
      <c r="M60" s="161">
        <v>11.42292894946883</v>
      </c>
      <c r="N60" s="84">
        <f t="shared" si="66"/>
        <v>11.716633922949899</v>
      </c>
      <c r="O60" s="119"/>
      <c r="P60" s="102"/>
      <c r="Q60" s="85"/>
      <c r="R60" s="154"/>
      <c r="T60" s="170">
        <f t="shared" si="54"/>
        <v>2.5711879569620066E-2</v>
      </c>
    </row>
    <row r="61" spans="1:20" x14ac:dyDescent="0.2">
      <c r="A61" s="175"/>
      <c r="B61" s="118" t="s">
        <v>171</v>
      </c>
      <c r="C61" s="127" t="s">
        <v>143</v>
      </c>
      <c r="D61" s="99"/>
      <c r="E61" s="99"/>
      <c r="F61" s="66">
        <v>1</v>
      </c>
      <c r="G61" s="67">
        <f>References!B22</f>
        <v>68</v>
      </c>
      <c r="H61" s="66">
        <f t="shared" si="64"/>
        <v>68</v>
      </c>
      <c r="I61" s="82">
        <f t="shared" si="60"/>
        <v>49.80121469196483</v>
      </c>
      <c r="J61" s="83">
        <f>References!$C$49*I61</f>
        <v>0.41335008194330886</v>
      </c>
      <c r="K61" s="83">
        <f>J61/References!$G$52</f>
        <v>0.42493485524920666</v>
      </c>
      <c r="L61" s="83">
        <f t="shared" si="65"/>
        <v>0.42493485524920666</v>
      </c>
      <c r="M61" s="161">
        <v>14.0431737992315</v>
      </c>
      <c r="N61" s="84">
        <f t="shared" si="66"/>
        <v>14.468108654480707</v>
      </c>
      <c r="O61" s="119"/>
      <c r="P61" s="102"/>
      <c r="Q61" s="85"/>
      <c r="R61" s="154"/>
      <c r="T61" s="170">
        <f t="shared" si="54"/>
        <v>3.0259175121257975E-2</v>
      </c>
    </row>
    <row r="62" spans="1:20" x14ac:dyDescent="0.2">
      <c r="A62" s="175"/>
      <c r="B62" s="118">
        <v>37</v>
      </c>
      <c r="C62" s="127" t="s">
        <v>161</v>
      </c>
      <c r="D62" s="99"/>
      <c r="E62" s="99"/>
      <c r="F62" s="66">
        <v>1</v>
      </c>
      <c r="G62" s="67">
        <f>References!$B$26</f>
        <v>29</v>
      </c>
      <c r="H62" s="66">
        <f t="shared" si="64"/>
        <v>29</v>
      </c>
      <c r="I62" s="82">
        <f t="shared" si="60"/>
        <v>21.238753324514413</v>
      </c>
      <c r="J62" s="83">
        <f>References!$C$49*I62</f>
        <v>0.17628165259346995</v>
      </c>
      <c r="K62" s="83">
        <f>J62/References!$G$52</f>
        <v>0.18122221767980873</v>
      </c>
      <c r="L62" s="83">
        <f t="shared" si="65"/>
        <v>0.18122221767980873</v>
      </c>
      <c r="M62" s="161">
        <v>20.574147649672256</v>
      </c>
      <c r="N62" s="84">
        <f t="shared" si="66"/>
        <v>20.755369867352066</v>
      </c>
      <c r="O62" s="119"/>
      <c r="P62" s="102"/>
      <c r="Q62" s="85"/>
      <c r="R62" s="154"/>
      <c r="T62" s="170">
        <f t="shared" si="54"/>
        <v>8.8082491078407266E-3</v>
      </c>
    </row>
    <row r="63" spans="1:20" x14ac:dyDescent="0.2">
      <c r="A63" s="175"/>
      <c r="B63" s="118">
        <v>37</v>
      </c>
      <c r="C63" s="127" t="s">
        <v>162</v>
      </c>
      <c r="D63" s="99"/>
      <c r="E63" s="99"/>
      <c r="F63" s="66">
        <v>1</v>
      </c>
      <c r="G63" s="67">
        <f>References!$B$26</f>
        <v>29</v>
      </c>
      <c r="H63" s="66">
        <f t="shared" si="64"/>
        <v>29</v>
      </c>
      <c r="I63" s="82">
        <f t="shared" si="60"/>
        <v>21.238753324514413</v>
      </c>
      <c r="J63" s="83">
        <f>References!$C$49*I63</f>
        <v>0.17628165259346995</v>
      </c>
      <c r="K63" s="83">
        <f>J63/References!$G$52</f>
        <v>0.18122221767980873</v>
      </c>
      <c r="L63" s="83">
        <f t="shared" si="65"/>
        <v>0.18122221767980873</v>
      </c>
      <c r="M63" s="161">
        <v>10.224147649672258</v>
      </c>
      <c r="N63" s="84">
        <f t="shared" si="66"/>
        <v>10.405369867352066</v>
      </c>
      <c r="O63" s="119"/>
      <c r="P63" s="102"/>
      <c r="Q63" s="85"/>
      <c r="R63" s="154"/>
      <c r="T63" s="170">
        <f t="shared" si="54"/>
        <v>1.7724921811513417E-2</v>
      </c>
    </row>
    <row r="64" spans="1:20" x14ac:dyDescent="0.2">
      <c r="A64" s="175"/>
      <c r="B64" s="118">
        <v>37</v>
      </c>
      <c r="C64" s="127" t="s">
        <v>158</v>
      </c>
      <c r="D64" s="99"/>
      <c r="E64" s="99"/>
      <c r="F64" s="66">
        <v>1</v>
      </c>
      <c r="G64" s="67">
        <f>References!B13</f>
        <v>20</v>
      </c>
      <c r="H64" s="66">
        <f>F64*G64</f>
        <v>20</v>
      </c>
      <c r="I64" s="82">
        <f t="shared" si="60"/>
        <v>14.64741608587201</v>
      </c>
      <c r="J64" s="83">
        <f>References!$C$49*I64</f>
        <v>0.12157355351273791</v>
      </c>
      <c r="K64" s="83">
        <f>J64/References!$G$52</f>
        <v>0.12498083977917844</v>
      </c>
      <c r="L64" s="83">
        <f>K64/F64</f>
        <v>0.12498083977917844</v>
      </c>
      <c r="M64" s="161">
        <v>17.389756999773969</v>
      </c>
      <c r="N64" s="84">
        <f>L64+M64</f>
        <v>17.514737839553145</v>
      </c>
      <c r="O64" s="119"/>
      <c r="P64" s="102"/>
      <c r="Q64" s="85"/>
      <c r="R64" s="154"/>
      <c r="T64" s="170">
        <f t="shared" si="54"/>
        <v>7.1870377361109572E-3</v>
      </c>
    </row>
    <row r="65" spans="1:20" x14ac:dyDescent="0.2">
      <c r="A65" s="175"/>
      <c r="B65" s="118">
        <v>37</v>
      </c>
      <c r="C65" s="127" t="s">
        <v>159</v>
      </c>
      <c r="D65" s="99"/>
      <c r="E65" s="99"/>
      <c r="F65" s="66">
        <v>1</v>
      </c>
      <c r="G65" s="67">
        <f>References!B13</f>
        <v>20</v>
      </c>
      <c r="H65" s="66">
        <f>F65*G65</f>
        <v>20</v>
      </c>
      <c r="I65" s="82">
        <f t="shared" si="60"/>
        <v>14.64741608587201</v>
      </c>
      <c r="J65" s="83">
        <f>References!$C$49*I65</f>
        <v>0.12157355351273791</v>
      </c>
      <c r="K65" s="83">
        <f>J65/References!$G$52</f>
        <v>0.12498083977917844</v>
      </c>
      <c r="L65" s="83">
        <f>K65/F65</f>
        <v>0.12498083977917844</v>
      </c>
      <c r="M65" s="161">
        <v>8.5897569997739716</v>
      </c>
      <c r="N65" s="84">
        <f>L65+M65</f>
        <v>8.7147378395531501</v>
      </c>
      <c r="O65" s="119"/>
      <c r="P65" s="102"/>
      <c r="Q65" s="85"/>
      <c r="R65" s="154"/>
      <c r="T65" s="170">
        <f t="shared" si="54"/>
        <v>1.4549985498130802E-2</v>
      </c>
    </row>
    <row r="66" spans="1:20" x14ac:dyDescent="0.2">
      <c r="A66" s="175"/>
      <c r="B66" s="118">
        <v>38</v>
      </c>
      <c r="C66" s="127" t="s">
        <v>128</v>
      </c>
      <c r="D66" s="99"/>
      <c r="E66" s="99"/>
      <c r="F66" s="66">
        <v>1</v>
      </c>
      <c r="G66" s="67">
        <f>References!B38</f>
        <v>1686</v>
      </c>
      <c r="H66" s="66">
        <f t="shared" si="64"/>
        <v>1686</v>
      </c>
      <c r="I66" s="82">
        <f t="shared" si="60"/>
        <v>1234.7771760390103</v>
      </c>
      <c r="J66" s="83">
        <f>References!$C$49*I66</f>
        <v>10.248650561123805</v>
      </c>
      <c r="K66" s="83">
        <f>J66/References!$G$52</f>
        <v>10.53588479338474</v>
      </c>
      <c r="L66" s="83">
        <f t="shared" si="65"/>
        <v>10.53588479338474</v>
      </c>
      <c r="M66" s="161">
        <v>259.48251508094569</v>
      </c>
      <c r="N66" s="84">
        <f t="shared" si="66"/>
        <v>270.01839987433044</v>
      </c>
      <c r="O66" s="119"/>
      <c r="P66" s="102"/>
      <c r="Q66" s="85"/>
      <c r="R66" s="154"/>
      <c r="T66" s="170">
        <f t="shared" si="54"/>
        <v>4.0603447943681648E-2</v>
      </c>
    </row>
    <row r="67" spans="1:20" x14ac:dyDescent="0.2">
      <c r="A67" s="175"/>
      <c r="B67" s="118">
        <v>38</v>
      </c>
      <c r="C67" s="127" t="s">
        <v>139</v>
      </c>
      <c r="D67" s="99"/>
      <c r="E67" s="99"/>
      <c r="F67" s="66">
        <v>1</v>
      </c>
      <c r="G67" s="67">
        <f>References!B39</f>
        <v>2046</v>
      </c>
      <c r="H67" s="66">
        <f t="shared" si="64"/>
        <v>2046</v>
      </c>
      <c r="I67" s="82">
        <f t="shared" si="60"/>
        <v>1498.4306655847065</v>
      </c>
      <c r="J67" s="83">
        <f>References!$C$49*I67</f>
        <v>12.436974524353088</v>
      </c>
      <c r="K67" s="83">
        <f>J67/References!$G$52</f>
        <v>12.785539909409954</v>
      </c>
      <c r="L67" s="83">
        <f t="shared" si="65"/>
        <v>12.785539909409954</v>
      </c>
      <c r="M67" s="161">
        <v>321.37814107687717</v>
      </c>
      <c r="N67" s="84">
        <f t="shared" si="66"/>
        <v>334.16368098628715</v>
      </c>
      <c r="O67" s="119"/>
      <c r="P67" s="102"/>
      <c r="Q67" s="85"/>
      <c r="R67" s="154"/>
      <c r="T67" s="170">
        <f t="shared" si="54"/>
        <v>3.9783477079579965E-2</v>
      </c>
    </row>
    <row r="68" spans="1:20" x14ac:dyDescent="0.2">
      <c r="A68" s="175"/>
      <c r="B68" s="118">
        <v>38</v>
      </c>
      <c r="C68" s="127" t="s">
        <v>124</v>
      </c>
      <c r="D68" s="99"/>
      <c r="E68" s="99"/>
      <c r="F68" s="66">
        <v>1</v>
      </c>
      <c r="G68" s="67">
        <f>References!B40</f>
        <v>2310</v>
      </c>
      <c r="H68" s="66">
        <f t="shared" ref="H68:H69" si="67">F68*G68</f>
        <v>2310</v>
      </c>
      <c r="I68" s="82">
        <f t="shared" si="60"/>
        <v>1691.7765579182171</v>
      </c>
      <c r="J68" s="83">
        <f>References!$C$49*I68</f>
        <v>14.041745430721228</v>
      </c>
      <c r="K68" s="83">
        <f>J68/References!$G$52</f>
        <v>14.43528699449511</v>
      </c>
      <c r="L68" s="83">
        <f t="shared" ref="L68:L69" si="68">K68/F68</f>
        <v>14.43528699449511</v>
      </c>
      <c r="M68" s="161">
        <v>380.35693347389355</v>
      </c>
      <c r="N68" s="84">
        <f t="shared" ref="N68:N69" si="69">L68+M68</f>
        <v>394.79222046838868</v>
      </c>
      <c r="O68" s="119"/>
      <c r="P68" s="102"/>
      <c r="Q68" s="85"/>
      <c r="R68" s="154"/>
      <c r="T68" s="170">
        <f t="shared" si="54"/>
        <v>3.7951949140650809E-2</v>
      </c>
    </row>
    <row r="69" spans="1:20" x14ac:dyDescent="0.2">
      <c r="A69" s="175"/>
      <c r="B69" s="118">
        <v>38</v>
      </c>
      <c r="C69" s="100" t="s">
        <v>177</v>
      </c>
      <c r="D69" s="100"/>
      <c r="E69" s="100"/>
      <c r="F69" s="66">
        <v>1</v>
      </c>
      <c r="G69" s="67">
        <f>+References!B36</f>
        <v>892</v>
      </c>
      <c r="H69" s="66">
        <f t="shared" si="67"/>
        <v>892</v>
      </c>
      <c r="I69" s="82">
        <f t="shared" si="60"/>
        <v>653.27475742989157</v>
      </c>
      <c r="J69" s="83">
        <f>References!$C$49*I69</f>
        <v>5.4221804866681103</v>
      </c>
      <c r="K69" s="83">
        <f>J69/References!$G$52</f>
        <v>5.574145454151358</v>
      </c>
      <c r="L69" s="83">
        <f t="shared" si="68"/>
        <v>5.574145454151358</v>
      </c>
      <c r="M69" s="161">
        <v>138.66516218991907</v>
      </c>
      <c r="N69" s="84">
        <f t="shared" si="69"/>
        <v>144.23930764407044</v>
      </c>
      <c r="O69" s="119"/>
      <c r="P69" s="102"/>
      <c r="Q69" s="85"/>
      <c r="R69" s="154"/>
      <c r="T69" s="170">
        <f t="shared" si="54"/>
        <v>4.0198600471233581E-2</v>
      </c>
    </row>
    <row r="70" spans="1:20" x14ac:dyDescent="0.2">
      <c r="A70" s="175"/>
      <c r="B70" s="118">
        <v>38</v>
      </c>
      <c r="C70" s="100" t="s">
        <v>153</v>
      </c>
      <c r="D70" s="100"/>
      <c r="E70" s="100"/>
      <c r="F70" s="66">
        <v>1</v>
      </c>
      <c r="G70" s="67">
        <f>References!B37</f>
        <v>1301</v>
      </c>
      <c r="H70" s="66">
        <f t="shared" ref="H70:H71" si="70">F70*G70</f>
        <v>1301</v>
      </c>
      <c r="I70" s="82">
        <f t="shared" si="60"/>
        <v>952.81441638597425</v>
      </c>
      <c r="J70" s="83">
        <f>References!$C$49*I70</f>
        <v>7.9083596560036016</v>
      </c>
      <c r="K70" s="83">
        <f>J70/References!$G$52</f>
        <v>8.1300036276355581</v>
      </c>
      <c r="L70" s="83">
        <f t="shared" ref="L70:L71" si="71">K70/F70</f>
        <v>8.1300036276355581</v>
      </c>
      <c r="M70" s="161">
        <v>201.75469283529679</v>
      </c>
      <c r="N70" s="84">
        <f t="shared" ref="N70:N71" si="72">L70+M70</f>
        <v>209.88469646293234</v>
      </c>
      <c r="O70" s="119"/>
      <c r="P70" s="102"/>
      <c r="Q70" s="85"/>
      <c r="R70" s="154"/>
      <c r="T70" s="170">
        <f t="shared" si="54"/>
        <v>4.0296478428249127E-2</v>
      </c>
    </row>
    <row r="71" spans="1:20" x14ac:dyDescent="0.2">
      <c r="A71" s="175"/>
      <c r="B71" s="118">
        <v>38</v>
      </c>
      <c r="C71" s="100" t="s">
        <v>154</v>
      </c>
      <c r="D71" s="100"/>
      <c r="E71" s="100"/>
      <c r="F71" s="66">
        <v>1</v>
      </c>
      <c r="G71" s="67">
        <f>References!B38</f>
        <v>1686</v>
      </c>
      <c r="H71" s="66">
        <f t="shared" si="70"/>
        <v>1686</v>
      </c>
      <c r="I71" s="82">
        <f t="shared" si="60"/>
        <v>1234.7771760390103</v>
      </c>
      <c r="J71" s="83">
        <f>References!$C$49*I71</f>
        <v>10.248650561123805</v>
      </c>
      <c r="K71" s="83">
        <f>J71/References!$G$52</f>
        <v>10.53588479338474</v>
      </c>
      <c r="L71" s="83">
        <f t="shared" si="71"/>
        <v>10.53588479338474</v>
      </c>
      <c r="M71" s="161">
        <v>263.68251508094568</v>
      </c>
      <c r="N71" s="84">
        <f t="shared" si="72"/>
        <v>274.21839987433043</v>
      </c>
      <c r="O71" s="119"/>
      <c r="P71" s="102"/>
      <c r="Q71" s="85"/>
      <c r="R71" s="154"/>
      <c r="T71" s="170">
        <f t="shared" si="54"/>
        <v>3.9956706231167649E-2</v>
      </c>
    </row>
    <row r="72" spans="1:20" x14ac:dyDescent="0.2">
      <c r="A72" s="175"/>
      <c r="B72" s="118">
        <v>38</v>
      </c>
      <c r="C72" s="100" t="s">
        <v>155</v>
      </c>
      <c r="D72" s="100"/>
      <c r="E72" s="100"/>
      <c r="F72" s="66">
        <v>1</v>
      </c>
      <c r="G72" s="67">
        <f>References!B39</f>
        <v>2046</v>
      </c>
      <c r="H72" s="66">
        <f>F72*G72</f>
        <v>2046</v>
      </c>
      <c r="I72" s="82">
        <f t="shared" si="60"/>
        <v>1498.4306655847065</v>
      </c>
      <c r="J72" s="83">
        <f>References!$C$49*I72</f>
        <v>12.436974524353088</v>
      </c>
      <c r="K72" s="83">
        <f>J72/References!$G$52</f>
        <v>12.785539909409954</v>
      </c>
      <c r="L72" s="83">
        <f>K72/F72</f>
        <v>12.785539909409954</v>
      </c>
      <c r="M72" s="161">
        <v>325.57814107687716</v>
      </c>
      <c r="N72" s="84">
        <f>L72+M72</f>
        <v>338.36368098628714</v>
      </c>
      <c r="O72" s="119"/>
      <c r="P72" s="102"/>
      <c r="Q72" s="85"/>
      <c r="R72" s="154"/>
      <c r="T72" s="170">
        <f t="shared" si="54"/>
        <v>3.9270265095564305E-2</v>
      </c>
    </row>
    <row r="73" spans="1:20" x14ac:dyDescent="0.2">
      <c r="A73" s="175"/>
      <c r="B73" s="118">
        <v>38</v>
      </c>
      <c r="C73" s="100" t="s">
        <v>156</v>
      </c>
      <c r="D73" s="100"/>
      <c r="E73" s="100"/>
      <c r="F73" s="66">
        <v>1</v>
      </c>
      <c r="G73" s="67">
        <f>References!B40</f>
        <v>2310</v>
      </c>
      <c r="H73" s="66">
        <f>F73*G73</f>
        <v>2310</v>
      </c>
      <c r="I73" s="82">
        <f t="shared" si="60"/>
        <v>1691.7765579182171</v>
      </c>
      <c r="J73" s="83">
        <f>References!$C$49*I73</f>
        <v>14.041745430721228</v>
      </c>
      <c r="K73" s="83">
        <f>J73/References!$G$52</f>
        <v>14.43528699449511</v>
      </c>
      <c r="L73" s="83">
        <f>K73/F73</f>
        <v>14.43528699449511</v>
      </c>
      <c r="M73" s="161">
        <v>384.55693347389354</v>
      </c>
      <c r="N73" s="84">
        <f>L73+M73</f>
        <v>398.99222046838867</v>
      </c>
      <c r="O73" s="119"/>
      <c r="P73" s="102"/>
      <c r="Q73" s="85"/>
      <c r="R73" s="154"/>
      <c r="T73" s="170">
        <f t="shared" si="54"/>
        <v>3.7537450863501576E-2</v>
      </c>
    </row>
    <row r="74" spans="1:20" x14ac:dyDescent="0.2">
      <c r="A74" s="175"/>
      <c r="M74" s="164"/>
      <c r="O74" s="119"/>
      <c r="P74" s="102"/>
      <c r="Q74" s="85"/>
      <c r="R74" s="154"/>
      <c r="T74" s="170"/>
    </row>
    <row r="75" spans="1:20" x14ac:dyDescent="0.2">
      <c r="A75" s="175"/>
      <c r="O75" s="119"/>
      <c r="P75" s="102"/>
      <c r="Q75" s="85"/>
      <c r="R75" s="154"/>
    </row>
    <row r="76" spans="1:20" x14ac:dyDescent="0.2">
      <c r="A76" s="175"/>
      <c r="B76" s="128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19"/>
      <c r="P76" s="102"/>
      <c r="Q76" s="154"/>
      <c r="R76" s="154"/>
    </row>
    <row r="77" spans="1:20" x14ac:dyDescent="0.2">
      <c r="A77" s="87"/>
      <c r="B77" s="118"/>
      <c r="C77" s="115"/>
      <c r="D77" s="99"/>
      <c r="E77" s="99"/>
      <c r="F77" s="66"/>
      <c r="G77" s="67"/>
      <c r="H77" s="66"/>
      <c r="I77" s="82"/>
      <c r="J77" s="83"/>
      <c r="K77" s="83"/>
      <c r="L77" s="83"/>
      <c r="M77" s="101"/>
      <c r="N77" s="83"/>
      <c r="O77" s="119"/>
      <c r="P77" s="102"/>
      <c r="Q77" s="154"/>
      <c r="R77" s="154"/>
    </row>
    <row r="78" spans="1:20" x14ac:dyDescent="0.2">
      <c r="A78" s="115"/>
      <c r="B78" s="118"/>
      <c r="C78" s="115"/>
      <c r="D78" s="130"/>
      <c r="E78" s="99"/>
      <c r="F78" s="80"/>
      <c r="G78" s="80"/>
      <c r="H78" s="80"/>
      <c r="I78" s="82"/>
      <c r="J78" s="83"/>
      <c r="K78" s="83"/>
      <c r="L78" s="83"/>
      <c r="M78" s="101"/>
      <c r="N78" s="83"/>
      <c r="O78" s="102"/>
      <c r="P78" s="102"/>
      <c r="Q78" s="154"/>
      <c r="R78" s="154"/>
    </row>
    <row r="79" spans="1:20" x14ac:dyDescent="0.2">
      <c r="A79" s="131"/>
      <c r="B79" s="132"/>
      <c r="C79" s="133"/>
      <c r="D79" s="107"/>
      <c r="E79" s="102"/>
      <c r="F79" s="102"/>
      <c r="G79" s="102"/>
      <c r="H79" s="102"/>
      <c r="I79" s="108"/>
      <c r="J79" s="102"/>
      <c r="K79" s="102"/>
      <c r="L79" s="102"/>
      <c r="M79" s="102"/>
      <c r="N79" s="102"/>
      <c r="O79" s="102"/>
      <c r="P79" s="102"/>
      <c r="Q79" s="154"/>
      <c r="R79" s="154"/>
    </row>
    <row r="80" spans="1:20" x14ac:dyDescent="0.2">
      <c r="A80" s="131"/>
      <c r="B80" s="134" t="s">
        <v>129</v>
      </c>
      <c r="C80" s="135"/>
      <c r="D80" s="102"/>
      <c r="E80" s="127"/>
      <c r="F80" s="127"/>
      <c r="G80" s="102"/>
      <c r="H80" s="136"/>
      <c r="I80" s="108"/>
      <c r="J80" s="102"/>
      <c r="K80" s="102"/>
      <c r="L80" s="102"/>
      <c r="M80" s="102"/>
      <c r="N80" s="102"/>
      <c r="O80" s="102"/>
      <c r="P80" s="102"/>
      <c r="Q80" s="154"/>
      <c r="R80" s="154"/>
    </row>
    <row r="81" spans="1:18" x14ac:dyDescent="0.2">
      <c r="A81" s="131"/>
      <c r="B81" s="102"/>
      <c r="C81" s="137" t="s">
        <v>31</v>
      </c>
      <c r="D81" s="102"/>
      <c r="E81" s="138"/>
      <c r="F81" s="138"/>
      <c r="G81" s="102"/>
      <c r="H81" s="136"/>
      <c r="I81" s="108"/>
      <c r="J81" s="139"/>
      <c r="K81" s="102"/>
      <c r="L81" s="102"/>
      <c r="M81" s="102"/>
      <c r="N81" s="102"/>
      <c r="O81" s="107"/>
      <c r="P81" s="102"/>
      <c r="Q81" s="154"/>
      <c r="R81" s="154"/>
    </row>
    <row r="82" spans="1:18" x14ac:dyDescent="0.2">
      <c r="A82" s="131"/>
      <c r="B82" s="102" t="s">
        <v>130</v>
      </c>
      <c r="C82" s="140">
        <f>References!B54</f>
        <v>23545.03</v>
      </c>
      <c r="D82" s="102"/>
      <c r="E82" s="108"/>
      <c r="F82" s="108"/>
      <c r="G82" s="141"/>
      <c r="H82" s="142"/>
      <c r="I82" s="80"/>
      <c r="J82" s="139"/>
      <c r="K82" s="102"/>
      <c r="L82" s="102"/>
      <c r="M82" s="102"/>
      <c r="N82" s="102"/>
      <c r="O82" s="107"/>
      <c r="P82" s="102"/>
      <c r="Q82" s="154"/>
      <c r="R82" s="154"/>
    </row>
    <row r="83" spans="1:18" x14ac:dyDescent="0.2">
      <c r="A83" s="131"/>
      <c r="B83" s="102" t="s">
        <v>131</v>
      </c>
      <c r="C83" s="116">
        <f>C82*2000</f>
        <v>47090060</v>
      </c>
      <c r="D83" s="102"/>
      <c r="E83" s="143"/>
      <c r="F83" s="143"/>
      <c r="G83" s="143"/>
      <c r="H83" s="144"/>
      <c r="I83" s="108"/>
      <c r="J83" s="139"/>
      <c r="K83" s="102"/>
      <c r="L83" s="102"/>
      <c r="M83" s="102"/>
      <c r="N83" s="102"/>
      <c r="O83" s="102"/>
      <c r="P83" s="102"/>
      <c r="Q83" s="154"/>
      <c r="R83" s="154"/>
    </row>
    <row r="84" spans="1:18" x14ac:dyDescent="0.2">
      <c r="A84" s="131"/>
      <c r="B84" s="102" t="s">
        <v>132</v>
      </c>
      <c r="C84" s="116">
        <f>F33</f>
        <v>1045447</v>
      </c>
      <c r="D84" s="102"/>
      <c r="E84" s="108"/>
      <c r="F84" s="108"/>
      <c r="G84" s="108"/>
      <c r="H84" s="102"/>
      <c r="I84" s="80"/>
      <c r="J84" s="139"/>
      <c r="K84" s="102"/>
      <c r="L84" s="102"/>
      <c r="M84" s="102"/>
      <c r="N84" s="102"/>
      <c r="O84" s="107"/>
      <c r="P84" s="102"/>
      <c r="Q84" s="154"/>
      <c r="R84" s="154"/>
    </row>
    <row r="85" spans="1:18" x14ac:dyDescent="0.2">
      <c r="A85" s="102"/>
      <c r="B85" s="145" t="s">
        <v>133</v>
      </c>
      <c r="C85" s="146">
        <f>C83/$H$33</f>
        <v>0.73237080429360046</v>
      </c>
      <c r="D85" s="102"/>
      <c r="E85" s="147"/>
      <c r="F85" s="147"/>
      <c r="G85" s="147"/>
      <c r="H85" s="148"/>
      <c r="I85" s="108"/>
      <c r="J85" s="139"/>
      <c r="K85" s="102"/>
      <c r="L85" s="102"/>
      <c r="M85" s="149"/>
      <c r="N85" s="149"/>
      <c r="O85" s="150"/>
      <c r="P85" s="102"/>
      <c r="Q85" s="154"/>
      <c r="R85" s="154"/>
    </row>
    <row r="86" spans="1:18" x14ac:dyDescent="0.2">
      <c r="A86" s="102"/>
      <c r="B86" s="132"/>
      <c r="C86" s="102"/>
      <c r="D86" s="107"/>
      <c r="E86" s="139"/>
      <c r="F86" s="102"/>
      <c r="G86" s="151"/>
      <c r="H86" s="152"/>
      <c r="I86" s="108"/>
      <c r="J86" s="139"/>
      <c r="K86" s="102"/>
      <c r="L86" s="102"/>
      <c r="M86" s="153"/>
      <c r="N86" s="154"/>
      <c r="O86" s="155"/>
      <c r="P86" s="102"/>
      <c r="Q86" s="154"/>
      <c r="R86" s="154"/>
    </row>
    <row r="87" spans="1:18" x14ac:dyDescent="0.2">
      <c r="A87" s="102"/>
      <c r="B87" s="132"/>
      <c r="C87" s="102"/>
      <c r="D87" s="156"/>
      <c r="E87" s="157"/>
      <c r="F87" s="102"/>
      <c r="G87" s="151"/>
      <c r="H87" s="152"/>
      <c r="I87" s="108"/>
      <c r="J87" s="139"/>
      <c r="K87" s="102"/>
      <c r="L87" s="102"/>
      <c r="M87" s="153"/>
      <c r="N87" s="154"/>
      <c r="O87" s="155"/>
      <c r="P87" s="102"/>
      <c r="Q87" s="154"/>
      <c r="R87" s="154"/>
    </row>
    <row r="88" spans="1:18" x14ac:dyDescent="0.2">
      <c r="A88" s="102"/>
      <c r="B88" s="132"/>
      <c r="C88" s="102"/>
      <c r="D88" s="156"/>
      <c r="E88" s="157"/>
      <c r="F88" s="102"/>
      <c r="G88" s="151"/>
      <c r="H88" s="152"/>
      <c r="I88" s="108"/>
      <c r="J88" s="139"/>
      <c r="K88" s="102"/>
      <c r="L88" s="102"/>
      <c r="M88" s="153"/>
      <c r="N88" s="154"/>
      <c r="O88" s="155"/>
      <c r="P88" s="102"/>
      <c r="Q88" s="154"/>
      <c r="R88" s="154"/>
    </row>
    <row r="89" spans="1:18" x14ac:dyDescent="0.2">
      <c r="A89" s="102"/>
      <c r="B89" s="13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54"/>
      <c r="R89" s="154"/>
    </row>
  </sheetData>
  <mergeCells count="4">
    <mergeCell ref="A2:A12"/>
    <mergeCell ref="A18:A31"/>
    <mergeCell ref="A37:A40"/>
    <mergeCell ref="A41:A76"/>
  </mergeCells>
  <phoneticPr fontId="22" type="noConversion"/>
  <pageMargins left="0.45" right="0.45" top="0.25" bottom="0.25" header="0.3" footer="0.3"/>
  <pageSetup scale="55" orientation="landscape" r:id="rId1"/>
  <ignoredErrors>
    <ignoredError sqref="I17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2023-11-16T08:00:00+00:00</OpenedDate>
    <Date1 xmlns="dc463f71-b30c-4ab2-9473-d307f9d35888">2023-11-16T08:00:00+00:00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Waste Management of Washington, Inc.  </CaseCompanyNames>
    <DocketNumber xmlns="dc463f71-b30c-4ab2-9473-d307f9d35888">230955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4E5BA6FAC68244C8D36DB9C271118EE" ma:contentTypeVersion="16" ma:contentTypeDescription="" ma:contentTypeScope="" ma:versionID="8c97c382b3c97a65be9835d841d6001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A5D116-70AE-4FD9-BB0B-BD17E814E6DC}">
  <ds:schemaRefs>
    <ds:schemaRef ds:uri="dc463f71-b30c-4ab2-9473-d307f9d35888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C654A21-9A66-4931-A6B2-C729F68D10F2}"/>
</file>

<file path=customXml/itemProps3.xml><?xml version="1.0" encoding="utf-8"?>
<ds:datastoreItem xmlns:ds="http://schemas.openxmlformats.org/officeDocument/2006/customXml" ds:itemID="{473C6EF1-C185-4E56-848B-328AE2F3C065}"/>
</file>

<file path=customXml/itemProps4.xml><?xml version="1.0" encoding="utf-8"?>
<ds:datastoreItem xmlns:ds="http://schemas.openxmlformats.org/officeDocument/2006/customXml" ds:itemID="{E02EDC31-408A-43CF-B5EB-08DFC2A6A9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Revenue &amp; Expense Adj.</vt:lpstr>
      <vt:lpstr>References</vt:lpstr>
      <vt:lpstr>Priceout</vt:lpstr>
      <vt:lpstr>Priceout!Print_Area</vt:lpstr>
      <vt:lpstr>'Revenue &amp; Expense Adj.'!Print_Area</vt:lpstr>
    </vt:vector>
  </TitlesOfParts>
  <Manager/>
  <Company>Waste Management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Weinstein, Mike</dc:creator>
  <cp:keywords/>
  <dc:description/>
  <cp:lastModifiedBy>Burmester, Evan</cp:lastModifiedBy>
  <cp:lastPrinted>2018-11-01T22:08:46Z</cp:lastPrinted>
  <dcterms:created xsi:type="dcterms:W3CDTF">2016-09-23T16:56:42Z</dcterms:created>
  <dcterms:modified xsi:type="dcterms:W3CDTF">2023-11-16T23:34:41Z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0x0101006E56B4D1795A2E4DB2F0B01679ED314A00A4E5BA6FAC68244C8D36DB9C271118EE</vt:lpwstr>
  </property>
  <property fmtid="{D5CDD505-2E9C-101B-9397-08002B2CF9AE}" pid="3" name="_docset_NoMedatataSyncRequired">
    <vt:lpwstr>False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