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Sch. 111 CCA\2023\Effective Aug. 1, 2023\Filed\"/>
    </mc:Choice>
  </mc:AlternateContent>
  <bookViews>
    <workbookView xWindow="0" yWindow="0" windowWidth="28800" windowHeight="12300" tabRatio="825"/>
  </bookViews>
  <sheets>
    <sheet name="Sch. 111 Charge Rates" sheetId="1" r:id="rId1"/>
    <sheet name="Sch. 111 Low Inc. Credit Rates" sheetId="9" r:id="rId2"/>
    <sheet name="Sch. 111 Non-Vol Credit Rates" sheetId="2" r:id="rId3"/>
    <sheet name="Sch. 111 Non-Vol Credit 23_31" sheetId="10" r:id="rId4"/>
    <sheet name="Rate Impacts--&gt;" sheetId="11" r:id="rId5"/>
    <sheet name="Rate Impacts Sch 111" sheetId="26" r:id="rId6"/>
    <sheet name="Typical Res Bill Sch 111" sheetId="27" r:id="rId7"/>
    <sheet name="Avg Per Therm" sheetId="28" r:id="rId8"/>
    <sheet name="Sch. 111 Charge" sheetId="29" r:id="rId9"/>
    <sheet name="Sch. 111 Credit" sheetId="30" r:id="rId10"/>
    <sheet name="Work Papers--&gt;" sheetId="3" r:id="rId11"/>
    <sheet name="Forecast Rev Req" sheetId="21" r:id="rId12"/>
    <sheet name="Low Income Therm Forecast" sheetId="8" r:id="rId13"/>
    <sheet name="CCA Therm Forecast" sheetId="6" r:id="rId14"/>
    <sheet name="CCA Customer Forecast" sheetId="7" r:id="rId15"/>
    <sheet name="F2022 Forecast" sheetId="5" r:id="rId16"/>
  </sheets>
  <definedNames>
    <definedName name="_xlnm.Print_Area" localSheetId="7">'Avg Per Therm'!$B$1:$L$37</definedName>
    <definedName name="_xlnm.Print_Area" localSheetId="14">'CCA Customer Forecast'!$A$1:$G$137</definedName>
    <definedName name="_xlnm.Print_Area" localSheetId="13">'CCA Therm Forecast'!$A$1:$G$98</definedName>
    <definedName name="_xlnm.Print_Area" localSheetId="15">'F2022 Forecast'!$A$1:$G$46</definedName>
    <definedName name="_xlnm.Print_Area" localSheetId="12">'Low Income Therm Forecast'!$A$1:$G$25</definedName>
    <definedName name="_xlnm.Print_Area" localSheetId="5">'Rate Impacts Sch 111'!$B$1:$Z$37</definedName>
    <definedName name="_xlnm.Print_Area" localSheetId="8">'Sch. 111 Charge'!$A$1:$I$22</definedName>
    <definedName name="_xlnm.Print_Area" localSheetId="0">'Sch. 111 Charge Rates'!$A$1:$H$31</definedName>
    <definedName name="_xlnm.Print_Area" localSheetId="9">'Sch. 111 Credit'!$A$1:$I$32</definedName>
    <definedName name="_xlnm.Print_Area" localSheetId="1">'Sch. 111 Low Inc. Credit Rates'!$A$1:$F$14</definedName>
    <definedName name="_xlnm.Print_Area" localSheetId="3">'Sch. 111 Non-Vol Credit 23_31'!$A$1:$I$35</definedName>
    <definedName name="_xlnm.Print_Area" localSheetId="2">'Sch. 111 Non-Vol Credit Rates'!$A$1:$H$33</definedName>
    <definedName name="_xlnm.Print_Area" localSheetId="6">'Typical Res Bill Sch 111'!$B$1:$H$42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I32" i="30" l="1"/>
  <c r="F32" i="30"/>
  <c r="C28" i="30"/>
  <c r="A2" i="9"/>
  <c r="I23" i="30" l="1"/>
  <c r="I22" i="30"/>
  <c r="F22" i="30"/>
  <c r="I21" i="30"/>
  <c r="F21" i="30"/>
  <c r="K22" i="26" s="1"/>
  <c r="I20" i="30"/>
  <c r="I19" i="30"/>
  <c r="F19" i="30"/>
  <c r="I18" i="30"/>
  <c r="F18" i="30"/>
  <c r="I17" i="30"/>
  <c r="F17" i="30"/>
  <c r="K18" i="26" s="1"/>
  <c r="I16" i="30"/>
  <c r="I15" i="30"/>
  <c r="F15" i="30"/>
  <c r="I14" i="30"/>
  <c r="F14" i="30"/>
  <c r="I13" i="30"/>
  <c r="F13" i="30"/>
  <c r="K14" i="26" s="1"/>
  <c r="I12" i="30"/>
  <c r="I11" i="30"/>
  <c r="F11" i="30"/>
  <c r="I29" i="30"/>
  <c r="F29" i="30"/>
  <c r="I10" i="30"/>
  <c r="F10" i="30"/>
  <c r="C9" i="30"/>
  <c r="I22" i="29"/>
  <c r="I21" i="29"/>
  <c r="F21" i="29"/>
  <c r="I20" i="29"/>
  <c r="F20" i="29"/>
  <c r="I19" i="29"/>
  <c r="F19" i="29"/>
  <c r="I18" i="29"/>
  <c r="I17" i="29"/>
  <c r="F17" i="29"/>
  <c r="I16" i="29"/>
  <c r="F16" i="29"/>
  <c r="I15" i="29"/>
  <c r="F15" i="29"/>
  <c r="I14" i="29"/>
  <c r="I13" i="29"/>
  <c r="F13" i="29"/>
  <c r="I12" i="29"/>
  <c r="F12" i="29"/>
  <c r="I11" i="29"/>
  <c r="F11" i="29"/>
  <c r="I10" i="29"/>
  <c r="I9" i="29"/>
  <c r="F9" i="29"/>
  <c r="C8" i="29"/>
  <c r="H23" i="28"/>
  <c r="H34" i="28" s="1"/>
  <c r="D22" i="28"/>
  <c r="H19" i="28"/>
  <c r="D18" i="28"/>
  <c r="H15" i="28"/>
  <c r="D14" i="28"/>
  <c r="D30" i="28" s="1"/>
  <c r="H11" i="28"/>
  <c r="I9" i="28"/>
  <c r="H9" i="28"/>
  <c r="E9" i="28"/>
  <c r="B4" i="28"/>
  <c r="B2" i="28"/>
  <c r="G32" i="27"/>
  <c r="G31" i="27"/>
  <c r="G33" i="27" s="1"/>
  <c r="H33" i="27" s="1"/>
  <c r="G29" i="27"/>
  <c r="H29" i="27" s="1"/>
  <c r="E29" i="27"/>
  <c r="E27" i="27"/>
  <c r="G26" i="27"/>
  <c r="G25" i="27"/>
  <c r="G24" i="27"/>
  <c r="G23" i="27"/>
  <c r="G22" i="27"/>
  <c r="G21" i="27"/>
  <c r="G20" i="27"/>
  <c r="D19" i="27"/>
  <c r="G18" i="27"/>
  <c r="D27" i="27"/>
  <c r="D15" i="27"/>
  <c r="E15" i="27" s="1"/>
  <c r="B4" i="27"/>
  <c r="B2" i="27"/>
  <c r="S33" i="26"/>
  <c r="R33" i="26"/>
  <c r="P33" i="26"/>
  <c r="O33" i="26"/>
  <c r="M33" i="26"/>
  <c r="L33" i="26"/>
  <c r="J33" i="26"/>
  <c r="I33" i="26"/>
  <c r="G33" i="26"/>
  <c r="S32" i="26"/>
  <c r="Q32" i="26"/>
  <c r="N32" i="26"/>
  <c r="J32" i="26"/>
  <c r="I32" i="26"/>
  <c r="Q31" i="26"/>
  <c r="P31" i="26"/>
  <c r="L31" i="26"/>
  <c r="I31" i="26"/>
  <c r="S30" i="26"/>
  <c r="Q30" i="26"/>
  <c r="O30" i="26"/>
  <c r="M30" i="26"/>
  <c r="L30" i="26"/>
  <c r="G30" i="26"/>
  <c r="D30" i="26"/>
  <c r="S29" i="26"/>
  <c r="N29" i="26"/>
  <c r="J29" i="26"/>
  <c r="D29" i="26"/>
  <c r="Q28" i="26"/>
  <c r="O28" i="26"/>
  <c r="I28" i="26"/>
  <c r="Q27" i="26"/>
  <c r="Q34" i="26" s="1"/>
  <c r="M27" i="26"/>
  <c r="L27" i="26"/>
  <c r="S24" i="26"/>
  <c r="Q33" i="26"/>
  <c r="N33" i="26"/>
  <c r="K23" i="26"/>
  <c r="K33" i="26" s="1"/>
  <c r="D23" i="28"/>
  <c r="D34" i="28" s="1"/>
  <c r="F23" i="26"/>
  <c r="H23" i="26" s="1"/>
  <c r="E33" i="26"/>
  <c r="D33" i="26"/>
  <c r="R32" i="26"/>
  <c r="H22" i="28"/>
  <c r="F22" i="26"/>
  <c r="H22" i="26" s="1"/>
  <c r="M31" i="26"/>
  <c r="D21" i="28"/>
  <c r="F21" i="26"/>
  <c r="H21" i="26" s="1"/>
  <c r="H20" i="28"/>
  <c r="F20" i="26"/>
  <c r="H20" i="26" s="1"/>
  <c r="R29" i="26"/>
  <c r="D19" i="28"/>
  <c r="F19" i="26"/>
  <c r="H19" i="26" s="1"/>
  <c r="M28" i="26"/>
  <c r="H18" i="28"/>
  <c r="F18" i="26"/>
  <c r="H18" i="26" s="1"/>
  <c r="T18" i="26" s="1"/>
  <c r="P32" i="26"/>
  <c r="O32" i="26"/>
  <c r="M32" i="26"/>
  <c r="L32" i="26"/>
  <c r="D17" i="28"/>
  <c r="D33" i="28" s="1"/>
  <c r="F17" i="26"/>
  <c r="H17" i="26" s="1"/>
  <c r="D32" i="26"/>
  <c r="S31" i="26"/>
  <c r="R31" i="26"/>
  <c r="O31" i="26"/>
  <c r="N31" i="26"/>
  <c r="J31" i="26"/>
  <c r="F16" i="26"/>
  <c r="H16" i="26" s="1"/>
  <c r="D31" i="26"/>
  <c r="R30" i="26"/>
  <c r="P30" i="26"/>
  <c r="N30" i="26"/>
  <c r="J30" i="26"/>
  <c r="I30" i="26"/>
  <c r="D15" i="28"/>
  <c r="E30" i="26"/>
  <c r="F30" i="26" s="1"/>
  <c r="Q29" i="26"/>
  <c r="P29" i="26"/>
  <c r="O29" i="26"/>
  <c r="L29" i="26"/>
  <c r="I29" i="26"/>
  <c r="H14" i="28"/>
  <c r="H30" i="28" s="1"/>
  <c r="S28" i="26"/>
  <c r="R28" i="26"/>
  <c r="P28" i="26"/>
  <c r="O24" i="26"/>
  <c r="N28" i="26"/>
  <c r="L28" i="26"/>
  <c r="J28" i="26"/>
  <c r="D13" i="28"/>
  <c r="D29" i="28" s="1"/>
  <c r="F13" i="26"/>
  <c r="H13" i="26" s="1"/>
  <c r="D28" i="26"/>
  <c r="Q24" i="26"/>
  <c r="P24" i="26"/>
  <c r="I27" i="26"/>
  <c r="I34" i="26" s="1"/>
  <c r="H12" i="28"/>
  <c r="D27" i="26"/>
  <c r="D34" i="26" s="1"/>
  <c r="S27" i="26"/>
  <c r="P27" i="26"/>
  <c r="O27" i="26"/>
  <c r="L24" i="26"/>
  <c r="K11" i="26"/>
  <c r="F11" i="26"/>
  <c r="H11" i="26" s="1"/>
  <c r="E7" i="26"/>
  <c r="K15" i="26" l="1"/>
  <c r="K19" i="26"/>
  <c r="T19" i="26" s="1"/>
  <c r="T22" i="26"/>
  <c r="T11" i="26"/>
  <c r="M34" i="26"/>
  <c r="P34" i="26"/>
  <c r="H32" i="26"/>
  <c r="E18" i="28"/>
  <c r="F18" i="28" s="1"/>
  <c r="D31" i="28"/>
  <c r="E22" i="28"/>
  <c r="F22" i="28" s="1"/>
  <c r="F33" i="26"/>
  <c r="H28" i="26"/>
  <c r="H31" i="26"/>
  <c r="H33" i="26"/>
  <c r="T23" i="26"/>
  <c r="L34" i="26"/>
  <c r="E29" i="26"/>
  <c r="F29" i="26" s="1"/>
  <c r="F14" i="26"/>
  <c r="H14" i="26" s="1"/>
  <c r="M24" i="26"/>
  <c r="E28" i="26"/>
  <c r="F28" i="26" s="1"/>
  <c r="E31" i="26"/>
  <c r="F31" i="26" s="1"/>
  <c r="F14" i="29"/>
  <c r="K16" i="26" s="1"/>
  <c r="F20" i="30"/>
  <c r="K21" i="26" s="1"/>
  <c r="T21" i="26" s="1"/>
  <c r="J24" i="26"/>
  <c r="N24" i="26"/>
  <c r="R24" i="26"/>
  <c r="F12" i="26"/>
  <c r="H12" i="26" s="1"/>
  <c r="F15" i="26"/>
  <c r="H15" i="26" s="1"/>
  <c r="H16" i="28"/>
  <c r="G31" i="26"/>
  <c r="D24" i="26"/>
  <c r="I24" i="26"/>
  <c r="R27" i="26"/>
  <c r="R34" i="26" s="1"/>
  <c r="E32" i="26"/>
  <c r="F32" i="26" s="1"/>
  <c r="G12" i="27"/>
  <c r="E12" i="27"/>
  <c r="E13" i="27" s="1"/>
  <c r="H13" i="28"/>
  <c r="H29" i="28" s="1"/>
  <c r="D16" i="28"/>
  <c r="D32" i="28" s="1"/>
  <c r="F18" i="29"/>
  <c r="K20" i="26" s="1"/>
  <c r="T20" i="26" s="1"/>
  <c r="D11" i="28"/>
  <c r="G27" i="26"/>
  <c r="O34" i="26"/>
  <c r="S34" i="26"/>
  <c r="E24" i="26"/>
  <c r="F24" i="26" s="1"/>
  <c r="N27" i="26"/>
  <c r="N34" i="26" s="1"/>
  <c r="G28" i="26"/>
  <c r="E34" i="27"/>
  <c r="H31" i="28"/>
  <c r="C22" i="29"/>
  <c r="F12" i="30"/>
  <c r="M29" i="26"/>
  <c r="G24" i="26"/>
  <c r="E27" i="26"/>
  <c r="J27" i="26"/>
  <c r="J34" i="26" s="1"/>
  <c r="G29" i="26"/>
  <c r="G32" i="26"/>
  <c r="D13" i="27"/>
  <c r="D33" i="27"/>
  <c r="E33" i="27" s="1"/>
  <c r="D12" i="28"/>
  <c r="H17" i="28"/>
  <c r="H33" i="28" s="1"/>
  <c r="D20" i="28"/>
  <c r="H21" i="28"/>
  <c r="H28" i="28"/>
  <c r="F10" i="29"/>
  <c r="K12" i="26" s="1"/>
  <c r="K27" i="26" s="1"/>
  <c r="F16" i="30"/>
  <c r="K17" i="26" s="1"/>
  <c r="K32" i="26" s="1"/>
  <c r="C23" i="30"/>
  <c r="D40" i="27"/>
  <c r="D34" i="27"/>
  <c r="E19" i="28" l="1"/>
  <c r="F19" i="28" s="1"/>
  <c r="K29" i="26"/>
  <c r="K31" i="26"/>
  <c r="T17" i="26"/>
  <c r="E21" i="28"/>
  <c r="F21" i="28" s="1"/>
  <c r="E20" i="28"/>
  <c r="F20" i="28" s="1"/>
  <c r="E34" i="26"/>
  <c r="F34" i="26" s="1"/>
  <c r="F27" i="26"/>
  <c r="F23" i="30"/>
  <c r="K13" i="26"/>
  <c r="T12" i="26"/>
  <c r="T27" i="26" s="1"/>
  <c r="H24" i="28"/>
  <c r="T14" i="26"/>
  <c r="H29" i="26"/>
  <c r="H24" i="26"/>
  <c r="G34" i="26"/>
  <c r="E36" i="27"/>
  <c r="H32" i="28"/>
  <c r="H35" i="28" s="1"/>
  <c r="H27" i="26"/>
  <c r="D28" i="28"/>
  <c r="D35" i="28" s="1"/>
  <c r="D24" i="28"/>
  <c r="F22" i="29"/>
  <c r="G13" i="27"/>
  <c r="H12" i="27"/>
  <c r="H13" i="27" s="1"/>
  <c r="T15" i="26"/>
  <c r="H30" i="26"/>
  <c r="E23" i="28"/>
  <c r="T33" i="26"/>
  <c r="T16" i="26"/>
  <c r="K30" i="26"/>
  <c r="E11" i="28"/>
  <c r="T32" i="26" l="1"/>
  <c r="E17" i="28"/>
  <c r="F17" i="28" s="1"/>
  <c r="E33" i="28"/>
  <c r="F33" i="28" s="1"/>
  <c r="E12" i="28"/>
  <c r="F12" i="28" s="1"/>
  <c r="K28" i="26"/>
  <c r="K34" i="26" s="1"/>
  <c r="T13" i="26"/>
  <c r="T24" i="26" s="1"/>
  <c r="F11" i="28"/>
  <c r="E16" i="28"/>
  <c r="T31" i="26"/>
  <c r="E34" i="28"/>
  <c r="F34" i="28" s="1"/>
  <c r="F23" i="28"/>
  <c r="H34" i="26"/>
  <c r="E14" i="28"/>
  <c r="T29" i="26"/>
  <c r="E15" i="28"/>
  <c r="T30" i="26"/>
  <c r="K24" i="26"/>
  <c r="E28" i="28" l="1"/>
  <c r="F28" i="28" s="1"/>
  <c r="E31" i="28"/>
  <c r="F31" i="28" s="1"/>
  <c r="F15" i="28"/>
  <c r="E30" i="28"/>
  <c r="F30" i="28" s="1"/>
  <c r="F14" i="28"/>
  <c r="E32" i="28"/>
  <c r="F32" i="28" s="1"/>
  <c r="F16" i="28"/>
  <c r="E13" i="28"/>
  <c r="T28" i="26"/>
  <c r="T34" i="26" l="1"/>
  <c r="E29" i="28"/>
  <c r="F13" i="28"/>
  <c r="E24" i="28"/>
  <c r="F24" i="28" s="1"/>
  <c r="F29" i="28" l="1"/>
  <c r="E35" i="28"/>
  <c r="F35" i="28" s="1"/>
  <c r="A18" i="10" l="1"/>
  <c r="A19" i="10"/>
  <c r="A20" i="10"/>
  <c r="A21" i="10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F26" i="2" l="1"/>
  <c r="F26" i="1"/>
  <c r="B34" i="21"/>
  <c r="B33" i="21"/>
  <c r="B32" i="21"/>
  <c r="B31" i="21"/>
  <c r="B30" i="21"/>
  <c r="E29" i="21"/>
  <c r="B29" i="21"/>
  <c r="B28" i="21"/>
  <c r="B27" i="21"/>
  <c r="B23" i="21"/>
  <c r="B22" i="21"/>
  <c r="B21" i="21"/>
  <c r="E20" i="21"/>
  <c r="E21" i="21" s="1"/>
  <c r="E23" i="21" s="1"/>
  <c r="B20" i="21"/>
  <c r="B19" i="21"/>
  <c r="E18" i="21"/>
  <c r="B18" i="21"/>
  <c r="B17" i="21"/>
  <c r="B16" i="21"/>
  <c r="B12" i="21"/>
  <c r="B11" i="21"/>
  <c r="B10" i="21"/>
  <c r="B9" i="21"/>
  <c r="E9" i="21"/>
  <c r="B8" i="21"/>
  <c r="B7" i="21"/>
  <c r="B6" i="21"/>
  <c r="B5" i="21"/>
  <c r="E10" i="21" l="1"/>
  <c r="E12" i="21" s="1"/>
  <c r="E30" i="21"/>
  <c r="E31" i="21" l="1"/>
  <c r="E32" i="21" s="1"/>
  <c r="E34" i="21" s="1"/>
  <c r="G12" i="2" l="1"/>
  <c r="B8" i="7"/>
  <c r="C8" i="7"/>
  <c r="D8" i="7"/>
  <c r="E8" i="7"/>
  <c r="F8" i="7"/>
  <c r="C44" i="5"/>
  <c r="D44" i="5"/>
  <c r="E44" i="5"/>
  <c r="F44" i="5"/>
  <c r="B44" i="5"/>
  <c r="F43" i="5"/>
  <c r="E43" i="5"/>
  <c r="D43" i="5"/>
  <c r="C43" i="5"/>
  <c r="B43" i="5"/>
  <c r="G44" i="5" l="1"/>
  <c r="A10" i="10" l="1"/>
  <c r="A11" i="10" s="1"/>
  <c r="A12" i="10" s="1"/>
  <c r="A13" i="10" s="1"/>
  <c r="A14" i="10" s="1"/>
  <c r="A15" i="10" s="1"/>
  <c r="A16" i="10" s="1"/>
  <c r="A17" i="10" s="1"/>
  <c r="E7" i="10"/>
  <c r="F7" i="10" s="1"/>
  <c r="G7" i="10" s="1"/>
  <c r="H7" i="10" s="1"/>
  <c r="A4" i="10" l="1"/>
  <c r="A2" i="10"/>
  <c r="G21" i="8" l="1"/>
  <c r="G19" i="8"/>
  <c r="G18" i="8"/>
  <c r="G17" i="8"/>
  <c r="G15" i="8"/>
  <c r="G13" i="8"/>
  <c r="G11" i="8"/>
  <c r="G10" i="8"/>
  <c r="D22" i="8"/>
  <c r="G9" i="8"/>
  <c r="D11" i="9" s="1"/>
  <c r="E22" i="8"/>
  <c r="C7" i="8"/>
  <c r="A2" i="8"/>
  <c r="F22" i="8" l="1"/>
  <c r="G8" i="8"/>
  <c r="G16" i="8"/>
  <c r="C22" i="8"/>
  <c r="G14" i="8"/>
  <c r="G12" i="8"/>
  <c r="G20" i="8"/>
  <c r="G22" i="8"/>
  <c r="B22" i="8"/>
  <c r="D7" i="8"/>
  <c r="E7" i="8" l="1"/>
  <c r="F112" i="7"/>
  <c r="E112" i="7"/>
  <c r="D112" i="7"/>
  <c r="C112" i="7"/>
  <c r="B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B97" i="7"/>
  <c r="F94" i="7"/>
  <c r="E94" i="7"/>
  <c r="D94" i="7"/>
  <c r="C94" i="7"/>
  <c r="B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B79" i="7"/>
  <c r="C8" i="6"/>
  <c r="D8" i="6"/>
  <c r="E8" i="6"/>
  <c r="E80" i="6" s="1"/>
  <c r="F8" i="6"/>
  <c r="C9" i="6"/>
  <c r="C81" i="6" s="1"/>
  <c r="D9" i="6"/>
  <c r="D81" i="6" s="1"/>
  <c r="E9" i="6"/>
  <c r="E81" i="6" s="1"/>
  <c r="F9" i="6"/>
  <c r="C10" i="6"/>
  <c r="D10" i="6"/>
  <c r="D82" i="6" s="1"/>
  <c r="E10" i="6"/>
  <c r="E82" i="6" s="1"/>
  <c r="F10" i="6"/>
  <c r="C11" i="6"/>
  <c r="D11" i="6"/>
  <c r="E11" i="6"/>
  <c r="E83" i="6" s="1"/>
  <c r="G15" i="10" s="1"/>
  <c r="F11" i="6"/>
  <c r="C12" i="6"/>
  <c r="D12" i="6"/>
  <c r="E12" i="6"/>
  <c r="E84" i="6" s="1"/>
  <c r="F12" i="6"/>
  <c r="C13" i="6"/>
  <c r="C85" i="6" s="1"/>
  <c r="D13" i="6"/>
  <c r="D85" i="6" s="1"/>
  <c r="E13" i="6"/>
  <c r="E85" i="6" s="1"/>
  <c r="F13" i="6"/>
  <c r="C14" i="6"/>
  <c r="D14" i="6"/>
  <c r="D86" i="6" s="1"/>
  <c r="E14" i="6"/>
  <c r="E86" i="6" s="1"/>
  <c r="F14" i="6"/>
  <c r="C15" i="6"/>
  <c r="D15" i="6"/>
  <c r="E15" i="6"/>
  <c r="E87" i="6" s="1"/>
  <c r="F15" i="6"/>
  <c r="C16" i="6"/>
  <c r="D16" i="6"/>
  <c r="E16" i="6"/>
  <c r="E88" i="6" s="1"/>
  <c r="G19" i="10" s="1"/>
  <c r="F16" i="6"/>
  <c r="C17" i="6"/>
  <c r="C89" i="6" s="1"/>
  <c r="D17" i="6"/>
  <c r="D89" i="6" s="1"/>
  <c r="E17" i="6"/>
  <c r="E89" i="6" s="1"/>
  <c r="F17" i="6"/>
  <c r="C18" i="6"/>
  <c r="D18" i="6"/>
  <c r="D90" i="6" s="1"/>
  <c r="E18" i="6"/>
  <c r="E90" i="6" s="1"/>
  <c r="F18" i="6"/>
  <c r="C19" i="6"/>
  <c r="D19" i="6"/>
  <c r="E19" i="6"/>
  <c r="E91" i="6" s="1"/>
  <c r="F19" i="6"/>
  <c r="C20" i="6"/>
  <c r="D20" i="6"/>
  <c r="E20" i="6"/>
  <c r="E92" i="6" s="1"/>
  <c r="F20" i="6"/>
  <c r="C21" i="6"/>
  <c r="C93" i="6" s="1"/>
  <c r="D21" i="6"/>
  <c r="D93" i="6" s="1"/>
  <c r="E21" i="6"/>
  <c r="E93" i="6" s="1"/>
  <c r="F21" i="6"/>
  <c r="B9" i="6"/>
  <c r="B10" i="6"/>
  <c r="B82" i="6" s="1"/>
  <c r="B11" i="6"/>
  <c r="B83" i="6" s="1"/>
  <c r="D15" i="10" s="1"/>
  <c r="B12" i="6"/>
  <c r="B13" i="6"/>
  <c r="B14" i="6"/>
  <c r="B15" i="6"/>
  <c r="B87" i="6" s="1"/>
  <c r="B16" i="6"/>
  <c r="B17" i="6"/>
  <c r="B18" i="6"/>
  <c r="B19" i="6"/>
  <c r="B91" i="6" s="1"/>
  <c r="B20" i="6"/>
  <c r="B21" i="6"/>
  <c r="B93" i="6" s="1"/>
  <c r="B8" i="6"/>
  <c r="B80" i="6" s="1"/>
  <c r="C116" i="7"/>
  <c r="D116" i="7"/>
  <c r="E116" i="7"/>
  <c r="F116" i="7"/>
  <c r="C9" i="7"/>
  <c r="C117" i="7" s="1"/>
  <c r="D9" i="7"/>
  <c r="D117" i="7" s="1"/>
  <c r="E9" i="7"/>
  <c r="E117" i="7" s="1"/>
  <c r="F9" i="7"/>
  <c r="F117" i="7" s="1"/>
  <c r="C10" i="7"/>
  <c r="C118" i="7" s="1"/>
  <c r="D10" i="7"/>
  <c r="D118" i="7" s="1"/>
  <c r="E10" i="7"/>
  <c r="E118" i="7" s="1"/>
  <c r="F10" i="7"/>
  <c r="F118" i="7" s="1"/>
  <c r="C11" i="7"/>
  <c r="C119" i="7" s="1"/>
  <c r="D11" i="7"/>
  <c r="D119" i="7" s="1"/>
  <c r="E11" i="7"/>
  <c r="E119" i="7" s="1"/>
  <c r="F11" i="7"/>
  <c r="F119" i="7" s="1"/>
  <c r="C12" i="7"/>
  <c r="C120" i="7" s="1"/>
  <c r="D12" i="7"/>
  <c r="D120" i="7" s="1"/>
  <c r="E12" i="7"/>
  <c r="E120" i="7" s="1"/>
  <c r="F12" i="7"/>
  <c r="F120" i="7" s="1"/>
  <c r="C13" i="7"/>
  <c r="C121" i="7" s="1"/>
  <c r="D13" i="7"/>
  <c r="E13" i="7"/>
  <c r="E121" i="7" s="1"/>
  <c r="F13" i="7"/>
  <c r="F121" i="7" s="1"/>
  <c r="C14" i="7"/>
  <c r="C122" i="7" s="1"/>
  <c r="D14" i="7"/>
  <c r="D122" i="7" s="1"/>
  <c r="E14" i="7"/>
  <c r="E122" i="7" s="1"/>
  <c r="F14" i="7"/>
  <c r="F122" i="7" s="1"/>
  <c r="C15" i="7"/>
  <c r="C123" i="7" s="1"/>
  <c r="D15" i="7"/>
  <c r="D123" i="7" s="1"/>
  <c r="E15" i="7"/>
  <c r="E123" i="7" s="1"/>
  <c r="F15" i="7"/>
  <c r="F123" i="7" s="1"/>
  <c r="C16" i="7"/>
  <c r="C124" i="7" s="1"/>
  <c r="D16" i="7"/>
  <c r="D124" i="7" s="1"/>
  <c r="E16" i="7"/>
  <c r="E124" i="7" s="1"/>
  <c r="F16" i="7"/>
  <c r="F124" i="7" s="1"/>
  <c r="C17" i="7"/>
  <c r="C125" i="7" s="1"/>
  <c r="D17" i="7"/>
  <c r="D125" i="7" s="1"/>
  <c r="E17" i="7"/>
  <c r="E125" i="7" s="1"/>
  <c r="F17" i="7"/>
  <c r="F125" i="7" s="1"/>
  <c r="C18" i="7"/>
  <c r="C126" i="7" s="1"/>
  <c r="D18" i="7"/>
  <c r="D126" i="7" s="1"/>
  <c r="E18" i="7"/>
  <c r="E126" i="7" s="1"/>
  <c r="F18" i="7"/>
  <c r="F126" i="7" s="1"/>
  <c r="C19" i="7"/>
  <c r="C127" i="7" s="1"/>
  <c r="D19" i="7"/>
  <c r="D127" i="7" s="1"/>
  <c r="E19" i="7"/>
  <c r="E127" i="7" s="1"/>
  <c r="F19" i="7"/>
  <c r="F127" i="7" s="1"/>
  <c r="C20" i="7"/>
  <c r="C128" i="7" s="1"/>
  <c r="D20" i="7"/>
  <c r="D128" i="7" s="1"/>
  <c r="E20" i="7"/>
  <c r="E128" i="7" s="1"/>
  <c r="F20" i="7"/>
  <c r="F128" i="7" s="1"/>
  <c r="C21" i="7"/>
  <c r="C129" i="7" s="1"/>
  <c r="D21" i="7"/>
  <c r="D129" i="7" s="1"/>
  <c r="E21" i="7"/>
  <c r="E129" i="7" s="1"/>
  <c r="F21" i="7"/>
  <c r="F129" i="7" s="1"/>
  <c r="B9" i="7"/>
  <c r="B117" i="7" s="1"/>
  <c r="B10" i="7"/>
  <c r="B118" i="7" s="1"/>
  <c r="B11" i="7"/>
  <c r="B119" i="7" s="1"/>
  <c r="B12" i="7"/>
  <c r="B120" i="7" s="1"/>
  <c r="B13" i="7"/>
  <c r="B121" i="7" s="1"/>
  <c r="B14" i="7"/>
  <c r="B122" i="7" s="1"/>
  <c r="B15" i="7"/>
  <c r="B123" i="7" s="1"/>
  <c r="B16" i="7"/>
  <c r="B124" i="7" s="1"/>
  <c r="B17" i="7"/>
  <c r="B125" i="7" s="1"/>
  <c r="B18" i="7"/>
  <c r="B126" i="7" s="1"/>
  <c r="B19" i="7"/>
  <c r="B127" i="7" s="1"/>
  <c r="B20" i="7"/>
  <c r="B128" i="7" s="1"/>
  <c r="B21" i="7"/>
  <c r="B129" i="7" s="1"/>
  <c r="B116" i="7"/>
  <c r="B115" i="7"/>
  <c r="F76" i="7"/>
  <c r="E76" i="7"/>
  <c r="D76" i="7"/>
  <c r="C76" i="7"/>
  <c r="B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B61" i="7"/>
  <c r="F58" i="7"/>
  <c r="E58" i="7"/>
  <c r="D58" i="7"/>
  <c r="C58" i="7"/>
  <c r="B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B43" i="7"/>
  <c r="F40" i="7"/>
  <c r="E40" i="7"/>
  <c r="D40" i="7"/>
  <c r="C40" i="7"/>
  <c r="B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B25" i="7"/>
  <c r="E22" i="7"/>
  <c r="C7" i="7"/>
  <c r="C43" i="7" s="1"/>
  <c r="C97" i="7" s="1"/>
  <c r="A2" i="7"/>
  <c r="C79" i="6"/>
  <c r="D79" i="6"/>
  <c r="E79" i="6"/>
  <c r="F79" i="6"/>
  <c r="B79" i="6"/>
  <c r="C61" i="6"/>
  <c r="D61" i="6"/>
  <c r="E61" i="6"/>
  <c r="F61" i="6"/>
  <c r="B61" i="6"/>
  <c r="C43" i="6"/>
  <c r="D43" i="6"/>
  <c r="E43" i="6"/>
  <c r="F43" i="6"/>
  <c r="B43" i="6"/>
  <c r="C25" i="6"/>
  <c r="D25" i="6"/>
  <c r="E25" i="6"/>
  <c r="F25" i="6"/>
  <c r="B25" i="6"/>
  <c r="C80" i="6"/>
  <c r="D80" i="6"/>
  <c r="F80" i="6"/>
  <c r="F81" i="6"/>
  <c r="C82" i="6"/>
  <c r="F82" i="6"/>
  <c r="C83" i="6"/>
  <c r="E15" i="10" s="1"/>
  <c r="D83" i="6"/>
  <c r="F15" i="10" s="1"/>
  <c r="F83" i="6"/>
  <c r="H15" i="10" s="1"/>
  <c r="C84" i="6"/>
  <c r="D84" i="6"/>
  <c r="F84" i="6"/>
  <c r="F85" i="6"/>
  <c r="C86" i="6"/>
  <c r="F86" i="6"/>
  <c r="C87" i="6"/>
  <c r="D87" i="6"/>
  <c r="F87" i="6"/>
  <c r="C88" i="6"/>
  <c r="E19" i="10" s="1"/>
  <c r="D88" i="6"/>
  <c r="F19" i="10" s="1"/>
  <c r="F88" i="6"/>
  <c r="H19" i="10" s="1"/>
  <c r="F89" i="6"/>
  <c r="C90" i="6"/>
  <c r="F90" i="6"/>
  <c r="C91" i="6"/>
  <c r="D91" i="6"/>
  <c r="F91" i="6"/>
  <c r="C92" i="6"/>
  <c r="D92" i="6"/>
  <c r="F92" i="6"/>
  <c r="F93" i="6"/>
  <c r="B81" i="6"/>
  <c r="D11" i="10" s="1"/>
  <c r="B84" i="6"/>
  <c r="B85" i="6"/>
  <c r="B86" i="6"/>
  <c r="B88" i="6"/>
  <c r="D19" i="10" s="1"/>
  <c r="B89" i="6"/>
  <c r="B90" i="6"/>
  <c r="B92" i="6"/>
  <c r="F76" i="6"/>
  <c r="E76" i="6"/>
  <c r="D76" i="6"/>
  <c r="C76" i="6"/>
  <c r="B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F58" i="6"/>
  <c r="E58" i="6"/>
  <c r="D58" i="6"/>
  <c r="C58" i="6"/>
  <c r="B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I19" i="10" l="1"/>
  <c r="D20" i="10" s="1"/>
  <c r="G11" i="10"/>
  <c r="F11" i="10"/>
  <c r="E11" i="10"/>
  <c r="I15" i="10"/>
  <c r="F16" i="10" s="1"/>
  <c r="D16" i="10"/>
  <c r="H11" i="10"/>
  <c r="E94" i="6"/>
  <c r="G13" i="7"/>
  <c r="D121" i="7"/>
  <c r="D130" i="7" s="1"/>
  <c r="C94" i="6"/>
  <c r="D94" i="6"/>
  <c r="G88" i="6"/>
  <c r="G93" i="6"/>
  <c r="G89" i="6"/>
  <c r="G87" i="6"/>
  <c r="G83" i="6"/>
  <c r="G82" i="6"/>
  <c r="G81" i="6"/>
  <c r="G92" i="6"/>
  <c r="G84" i="6"/>
  <c r="G90" i="6"/>
  <c r="G86" i="6"/>
  <c r="G85" i="6"/>
  <c r="F7" i="8"/>
  <c r="C22" i="7"/>
  <c r="C61" i="7"/>
  <c r="D22" i="7"/>
  <c r="D7" i="7"/>
  <c r="D115" i="7" s="1"/>
  <c r="G76" i="7"/>
  <c r="C115" i="7"/>
  <c r="G94" i="7"/>
  <c r="G112" i="7"/>
  <c r="G18" i="7"/>
  <c r="C25" i="7"/>
  <c r="C79" i="7" s="1"/>
  <c r="C130" i="7"/>
  <c r="G58" i="7"/>
  <c r="G8" i="7"/>
  <c r="G40" i="7"/>
  <c r="G20" i="7"/>
  <c r="G16" i="7"/>
  <c r="G12" i="7"/>
  <c r="G19" i="7"/>
  <c r="G14" i="7"/>
  <c r="G9" i="7"/>
  <c r="G21" i="7"/>
  <c r="G17" i="7"/>
  <c r="G15" i="7"/>
  <c r="G11" i="7"/>
  <c r="G10" i="7"/>
  <c r="F130" i="7"/>
  <c r="E130" i="7"/>
  <c r="G117" i="7"/>
  <c r="G122" i="7"/>
  <c r="G118" i="7"/>
  <c r="F22" i="7"/>
  <c r="G119" i="7"/>
  <c r="G125" i="7"/>
  <c r="G127" i="7"/>
  <c r="G123" i="7"/>
  <c r="G129" i="7"/>
  <c r="G121" i="7"/>
  <c r="G126" i="7"/>
  <c r="B22" i="7"/>
  <c r="G120" i="7"/>
  <c r="G124" i="7"/>
  <c r="G128" i="7"/>
  <c r="D43" i="7"/>
  <c r="D97" i="7" s="1"/>
  <c r="F94" i="6"/>
  <c r="G91" i="6"/>
  <c r="G76" i="6"/>
  <c r="G80" i="6"/>
  <c r="B94" i="6"/>
  <c r="G58" i="6"/>
  <c r="G16" i="10" l="1"/>
  <c r="F20" i="10"/>
  <c r="H20" i="10"/>
  <c r="G20" i="10"/>
  <c r="E20" i="10"/>
  <c r="I11" i="10"/>
  <c r="E12" i="10" s="1"/>
  <c r="H16" i="10"/>
  <c r="E16" i="10"/>
  <c r="G22" i="2"/>
  <c r="G20" i="2"/>
  <c r="G21" i="2"/>
  <c r="G18" i="2"/>
  <c r="G15" i="2"/>
  <c r="G19" i="2"/>
  <c r="G16" i="2"/>
  <c r="G14" i="2"/>
  <c r="G23" i="2"/>
  <c r="G13" i="2"/>
  <c r="G11" i="2"/>
  <c r="G17" i="2"/>
  <c r="D15" i="2"/>
  <c r="D15" i="1"/>
  <c r="D22" i="2"/>
  <c r="D22" i="1"/>
  <c r="D17" i="2"/>
  <c r="D17" i="1"/>
  <c r="D21" i="2"/>
  <c r="D21" i="1"/>
  <c r="D16" i="2"/>
  <c r="D16" i="1"/>
  <c r="D11" i="2"/>
  <c r="D11" i="1"/>
  <c r="D19" i="2"/>
  <c r="D19" i="1"/>
  <c r="D20" i="2"/>
  <c r="D20" i="1"/>
  <c r="D23" i="2"/>
  <c r="D23" i="1"/>
  <c r="G94" i="6"/>
  <c r="D12" i="2"/>
  <c r="D12" i="1"/>
  <c r="D14" i="2"/>
  <c r="D14" i="1"/>
  <c r="D13" i="2"/>
  <c r="D13" i="1"/>
  <c r="D18" i="2"/>
  <c r="D18" i="1"/>
  <c r="D25" i="7"/>
  <c r="D79" i="7" s="1"/>
  <c r="G22" i="7"/>
  <c r="E7" i="7"/>
  <c r="E43" i="7" s="1"/>
  <c r="E97" i="7" s="1"/>
  <c r="D61" i="7"/>
  <c r="G116" i="7"/>
  <c r="B130" i="7"/>
  <c r="E61" i="7"/>
  <c r="E115" i="7"/>
  <c r="I20" i="10" l="1"/>
  <c r="G12" i="10"/>
  <c r="I16" i="10"/>
  <c r="H12" i="10"/>
  <c r="D12" i="10"/>
  <c r="F12" i="10"/>
  <c r="G130" i="7"/>
  <c r="F7" i="7"/>
  <c r="E25" i="7"/>
  <c r="E79" i="7" s="1"/>
  <c r="F43" i="7"/>
  <c r="F97" i="7" s="1"/>
  <c r="F25" i="7"/>
  <c r="F79" i="7" s="1"/>
  <c r="F115" i="7"/>
  <c r="F61" i="7"/>
  <c r="I12" i="10" l="1"/>
  <c r="F40" i="6"/>
  <c r="E40" i="6"/>
  <c r="D40" i="6"/>
  <c r="C40" i="6"/>
  <c r="B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40" i="6" l="1"/>
  <c r="F22" i="6"/>
  <c r="E22" i="6"/>
  <c r="D22" i="6"/>
  <c r="C22" i="6"/>
  <c r="B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C7" i="6"/>
  <c r="A2" i="6"/>
  <c r="B25" i="5"/>
  <c r="G22" i="6" l="1"/>
  <c r="D7" i="6"/>
  <c r="F40" i="5"/>
  <c r="E40" i="5"/>
  <c r="D40" i="5"/>
  <c r="C40" i="5"/>
  <c r="B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A4" i="2"/>
  <c r="A2" i="2"/>
  <c r="A2" i="5"/>
  <c r="F22" i="5"/>
  <c r="E22" i="5"/>
  <c r="D22" i="5"/>
  <c r="C22" i="5"/>
  <c r="B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C7" i="5"/>
  <c r="D7" i="5" l="1"/>
  <c r="C25" i="5"/>
  <c r="E7" i="6"/>
  <c r="G40" i="5"/>
  <c r="G22" i="5"/>
  <c r="E7" i="5" l="1"/>
  <c r="D25" i="5"/>
  <c r="F7" i="6"/>
  <c r="E25" i="5" l="1"/>
  <c r="F7" i="5"/>
  <c r="F25" i="5" l="1"/>
  <c r="A4" i="5"/>
  <c r="G24" i="2"/>
  <c r="D24" i="2"/>
  <c r="E15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D24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E13" i="1" l="1"/>
  <c r="A4" i="8"/>
  <c r="A4" i="7"/>
  <c r="A4" i="6"/>
  <c r="E22" i="2"/>
  <c r="E18" i="2"/>
  <c r="E14" i="2"/>
  <c r="E21" i="2"/>
  <c r="E17" i="2"/>
  <c r="E13" i="2"/>
  <c r="E11" i="2"/>
  <c r="E20" i="2"/>
  <c r="E16" i="2"/>
  <c r="E12" i="2"/>
  <c r="E23" i="2"/>
  <c r="E19" i="2"/>
  <c r="E20" i="1"/>
  <c r="E16" i="1"/>
  <c r="E12" i="1"/>
  <c r="E23" i="1"/>
  <c r="E19" i="1"/>
  <c r="F19" i="1" s="1"/>
  <c r="G19" i="1" s="1"/>
  <c r="E17" i="29" s="1"/>
  <c r="G17" i="29" s="1"/>
  <c r="H17" i="29" s="1"/>
  <c r="U19" i="26" s="1"/>
  <c r="V19" i="26" s="1"/>
  <c r="E15" i="1"/>
  <c r="E22" i="1"/>
  <c r="E18" i="1"/>
  <c r="E14" i="1"/>
  <c r="F14" i="1" s="1"/>
  <c r="G14" i="1" s="1"/>
  <c r="E12" i="29" s="1"/>
  <c r="G12" i="29" s="1"/>
  <c r="H12" i="29" s="1"/>
  <c r="U14" i="26" s="1"/>
  <c r="E21" i="1"/>
  <c r="E17" i="1"/>
  <c r="U29" i="26" l="1"/>
  <c r="V29" i="26" s="1"/>
  <c r="V14" i="26"/>
  <c r="F12" i="1"/>
  <c r="G12" i="1" s="1"/>
  <c r="F20" i="1"/>
  <c r="G20" i="1" s="1"/>
  <c r="E18" i="29" s="1"/>
  <c r="G18" i="29" s="1"/>
  <c r="H18" i="29" s="1"/>
  <c r="U20" i="26" s="1"/>
  <c r="F16" i="1"/>
  <c r="G16" i="1" s="1"/>
  <c r="E14" i="29" s="1"/>
  <c r="G14" i="29" s="1"/>
  <c r="H14" i="29" s="1"/>
  <c r="U16" i="26" s="1"/>
  <c r="F21" i="1"/>
  <c r="G21" i="1" s="1"/>
  <c r="E19" i="29" s="1"/>
  <c r="G19" i="29" s="1"/>
  <c r="H19" i="29" s="1"/>
  <c r="U21" i="26" s="1"/>
  <c r="V21" i="26" s="1"/>
  <c r="F15" i="1"/>
  <c r="G15" i="1" s="1"/>
  <c r="E13" i="29" s="1"/>
  <c r="G13" i="29" s="1"/>
  <c r="H13" i="29" s="1"/>
  <c r="U15" i="26" s="1"/>
  <c r="V15" i="26" s="1"/>
  <c r="F17" i="1"/>
  <c r="G17" i="1" s="1"/>
  <c r="E15" i="29" s="1"/>
  <c r="G15" i="29" s="1"/>
  <c r="H15" i="29" s="1"/>
  <c r="U17" i="26" s="1"/>
  <c r="F22" i="1"/>
  <c r="G22" i="1" s="1"/>
  <c r="E20" i="29" s="1"/>
  <c r="G20" i="29" s="1"/>
  <c r="H20" i="29" s="1"/>
  <c r="U22" i="26" s="1"/>
  <c r="V22" i="26" s="1"/>
  <c r="F13" i="1"/>
  <c r="G13" i="1" s="1"/>
  <c r="E11" i="29" s="1"/>
  <c r="G11" i="29" s="1"/>
  <c r="H11" i="29" s="1"/>
  <c r="U13" i="26" s="1"/>
  <c r="F23" i="1"/>
  <c r="G23" i="1" s="1"/>
  <c r="E21" i="29" s="1"/>
  <c r="G21" i="29" s="1"/>
  <c r="H21" i="29" s="1"/>
  <c r="U23" i="26" s="1"/>
  <c r="F18" i="1"/>
  <c r="G18" i="1" s="1"/>
  <c r="E16" i="29" s="1"/>
  <c r="G16" i="29" s="1"/>
  <c r="H16" i="29" s="1"/>
  <c r="U18" i="26" s="1"/>
  <c r="V18" i="26" s="1"/>
  <c r="U32" i="26" l="1"/>
  <c r="V32" i="26" s="1"/>
  <c r="V17" i="26"/>
  <c r="U31" i="26"/>
  <c r="V31" i="26" s="1"/>
  <c r="V16" i="26"/>
  <c r="U30" i="26"/>
  <c r="V30" i="26" s="1"/>
  <c r="V20" i="26"/>
  <c r="H12" i="1"/>
  <c r="E10" i="29"/>
  <c r="G10" i="29" s="1"/>
  <c r="H10" i="29" s="1"/>
  <c r="U12" i="26" s="1"/>
  <c r="V12" i="26" s="1"/>
  <c r="U28" i="26"/>
  <c r="V28" i="26" s="1"/>
  <c r="V13" i="26"/>
  <c r="U33" i="26"/>
  <c r="V33" i="26" s="1"/>
  <c r="V23" i="26"/>
  <c r="F11" i="1"/>
  <c r="G11" i="1" s="1"/>
  <c r="E9" i="29" s="1"/>
  <c r="E24" i="1"/>
  <c r="E24" i="2"/>
  <c r="G9" i="29" l="1"/>
  <c r="G19" i="27"/>
  <c r="G27" i="27" s="1"/>
  <c r="F11" i="9"/>
  <c r="E29" i="30" s="1"/>
  <c r="G29" i="30" s="1"/>
  <c r="H29" i="30" s="1"/>
  <c r="F24" i="1"/>
  <c r="H27" i="27" l="1"/>
  <c r="H34" i="27" s="1"/>
  <c r="G34" i="27"/>
  <c r="G40" i="27"/>
  <c r="H9" i="29"/>
  <c r="G22" i="29"/>
  <c r="E11" i="9"/>
  <c r="F27" i="2" s="1"/>
  <c r="F28" i="2"/>
  <c r="U11" i="26" l="1"/>
  <c r="H22" i="29"/>
  <c r="F22" i="2"/>
  <c r="H22" i="2" s="1"/>
  <c r="E21" i="30" s="1"/>
  <c r="G21" i="30" s="1"/>
  <c r="H21" i="30" s="1"/>
  <c r="W22" i="26" s="1"/>
  <c r="F18" i="2"/>
  <c r="H18" i="2" s="1"/>
  <c r="E17" i="30" s="1"/>
  <c r="G17" i="30" s="1"/>
  <c r="H17" i="30" s="1"/>
  <c r="W18" i="26" s="1"/>
  <c r="F14" i="2"/>
  <c r="H14" i="2" s="1"/>
  <c r="E13" i="30" s="1"/>
  <c r="G13" i="30" s="1"/>
  <c r="H13" i="30" s="1"/>
  <c r="W14" i="26" s="1"/>
  <c r="F20" i="2"/>
  <c r="H20" i="2" s="1"/>
  <c r="E19" i="30" s="1"/>
  <c r="G19" i="30" s="1"/>
  <c r="H19" i="30" s="1"/>
  <c r="W20" i="26" s="1"/>
  <c r="F23" i="2"/>
  <c r="H23" i="2" s="1"/>
  <c r="E22" i="30" s="1"/>
  <c r="G22" i="30" s="1"/>
  <c r="H22" i="30" s="1"/>
  <c r="W23" i="26" s="1"/>
  <c r="F15" i="2"/>
  <c r="H15" i="2" s="1"/>
  <c r="E14" i="30" s="1"/>
  <c r="G14" i="30" s="1"/>
  <c r="H14" i="30" s="1"/>
  <c r="W15" i="26" s="1"/>
  <c r="F11" i="2"/>
  <c r="H11" i="2" s="1"/>
  <c r="E10" i="30" s="1"/>
  <c r="F21" i="2"/>
  <c r="H21" i="2" s="1"/>
  <c r="E20" i="30" s="1"/>
  <c r="G20" i="30" s="1"/>
  <c r="H20" i="30" s="1"/>
  <c r="W21" i="26" s="1"/>
  <c r="F17" i="2"/>
  <c r="H17" i="2" s="1"/>
  <c r="E16" i="30" s="1"/>
  <c r="G16" i="30" s="1"/>
  <c r="H16" i="30" s="1"/>
  <c r="W17" i="26" s="1"/>
  <c r="F13" i="2"/>
  <c r="H13" i="2" s="1"/>
  <c r="E12" i="30" s="1"/>
  <c r="G12" i="30" s="1"/>
  <c r="H12" i="30" s="1"/>
  <c r="W13" i="26" s="1"/>
  <c r="F16" i="2"/>
  <c r="H16" i="2" s="1"/>
  <c r="E15" i="30" s="1"/>
  <c r="G15" i="30" s="1"/>
  <c r="H15" i="30" s="1"/>
  <c r="W16" i="26" s="1"/>
  <c r="F12" i="2"/>
  <c r="H12" i="2" s="1"/>
  <c r="E11" i="30" s="1"/>
  <c r="G11" i="30" s="1"/>
  <c r="H11" i="30" s="1"/>
  <c r="W12" i="26" s="1"/>
  <c r="F19" i="2"/>
  <c r="H19" i="2" s="1"/>
  <c r="E18" i="30" s="1"/>
  <c r="G18" i="30" s="1"/>
  <c r="H18" i="30" s="1"/>
  <c r="W19" i="26" s="1"/>
  <c r="U24" i="26" l="1"/>
  <c r="V24" i="26" s="1"/>
  <c r="V11" i="26"/>
  <c r="U27" i="26"/>
  <c r="G15" i="27"/>
  <c r="H15" i="27" s="1"/>
  <c r="H36" i="27" s="1"/>
  <c r="H37" i="27" s="1"/>
  <c r="H38" i="27" s="1"/>
  <c r="G10" i="30"/>
  <c r="Y19" i="26"/>
  <c r="X19" i="26"/>
  <c r="Y12" i="26"/>
  <c r="X12" i="26"/>
  <c r="Y16" i="26"/>
  <c r="X16" i="26"/>
  <c r="Y13" i="26"/>
  <c r="W28" i="26"/>
  <c r="X28" i="26" s="1"/>
  <c r="X13" i="26"/>
  <c r="X18" i="26"/>
  <c r="Y18" i="26"/>
  <c r="W31" i="26"/>
  <c r="X31" i="26" s="1"/>
  <c r="Y21" i="26"/>
  <c r="X21" i="26"/>
  <c r="W30" i="26"/>
  <c r="X30" i="26" s="1"/>
  <c r="Y15" i="26"/>
  <c r="X15" i="26"/>
  <c r="Y23" i="26"/>
  <c r="W33" i="26"/>
  <c r="X33" i="26" s="1"/>
  <c r="X23" i="26"/>
  <c r="X20" i="26"/>
  <c r="Y20" i="26"/>
  <c r="W29" i="26"/>
  <c r="X29" i="26" s="1"/>
  <c r="Y14" i="26"/>
  <c r="X14" i="26"/>
  <c r="Y17" i="26"/>
  <c r="W32" i="26"/>
  <c r="X32" i="26" s="1"/>
  <c r="X17" i="26"/>
  <c r="X22" i="26"/>
  <c r="Y22" i="26"/>
  <c r="I32" i="10"/>
  <c r="I28" i="10"/>
  <c r="I24" i="10"/>
  <c r="F24" i="2"/>
  <c r="V27" i="26" l="1"/>
  <c r="U34" i="26"/>
  <c r="V34" i="26" s="1"/>
  <c r="Z20" i="26"/>
  <c r="I20" i="28"/>
  <c r="I16" i="28"/>
  <c r="Y31" i="26"/>
  <c r="Z31" i="26" s="1"/>
  <c r="Z16" i="26"/>
  <c r="I23" i="28"/>
  <c r="Y33" i="26"/>
  <c r="Z33" i="26" s="1"/>
  <c r="Z23" i="26"/>
  <c r="I19" i="28"/>
  <c r="Z19" i="26"/>
  <c r="I14" i="28"/>
  <c r="Y29" i="26"/>
  <c r="Z29" i="26" s="1"/>
  <c r="Z14" i="26"/>
  <c r="Z15" i="26"/>
  <c r="I15" i="28"/>
  <c r="Y30" i="26"/>
  <c r="Z30" i="26" s="1"/>
  <c r="H10" i="30"/>
  <c r="G23" i="30"/>
  <c r="G32" i="30" s="1"/>
  <c r="I22" i="28"/>
  <c r="Z22" i="26"/>
  <c r="Z21" i="26"/>
  <c r="I21" i="28"/>
  <c r="Z18" i="26"/>
  <c r="I18" i="28"/>
  <c r="Z12" i="26"/>
  <c r="I12" i="28"/>
  <c r="Y32" i="26"/>
  <c r="Z32" i="26" s="1"/>
  <c r="I17" i="28"/>
  <c r="Z17" i="26"/>
  <c r="Y28" i="26"/>
  <c r="Z28" i="26" s="1"/>
  <c r="Z13" i="26"/>
  <c r="I13" i="28"/>
  <c r="E33" i="10"/>
  <c r="D33" i="10"/>
  <c r="F33" i="10"/>
  <c r="G33" i="10"/>
  <c r="H33" i="10"/>
  <c r="H25" i="10"/>
  <c r="E25" i="10"/>
  <c r="D25" i="10"/>
  <c r="F25" i="10"/>
  <c r="G25" i="10"/>
  <c r="E29" i="10"/>
  <c r="D29" i="10"/>
  <c r="F29" i="10"/>
  <c r="G29" i="10"/>
  <c r="H29" i="10"/>
  <c r="J18" i="28" l="1"/>
  <c r="L18" i="28"/>
  <c r="N18" i="28" s="1"/>
  <c r="L22" i="28"/>
  <c r="N22" i="28" s="1"/>
  <c r="J22" i="28"/>
  <c r="J14" i="28"/>
  <c r="I30" i="28"/>
  <c r="L14" i="28"/>
  <c r="N14" i="28" s="1"/>
  <c r="L12" i="28"/>
  <c r="N12" i="28" s="1"/>
  <c r="J12" i="28"/>
  <c r="J20" i="28"/>
  <c r="L20" i="28"/>
  <c r="N20" i="28" s="1"/>
  <c r="J15" i="28"/>
  <c r="L15" i="28"/>
  <c r="N15" i="28" s="1"/>
  <c r="I31" i="28"/>
  <c r="J21" i="28"/>
  <c r="L21" i="28"/>
  <c r="N21" i="28" s="1"/>
  <c r="J23" i="28"/>
  <c r="L23" i="28"/>
  <c r="N23" i="28" s="1"/>
  <c r="I34" i="28"/>
  <c r="J17" i="28"/>
  <c r="L17" i="28"/>
  <c r="N17" i="28" s="1"/>
  <c r="I33" i="28"/>
  <c r="J16" i="28"/>
  <c r="I32" i="28"/>
  <c r="L16" i="28"/>
  <c r="N16" i="28" s="1"/>
  <c r="J13" i="28"/>
  <c r="L13" i="28"/>
  <c r="N13" i="28" s="1"/>
  <c r="I29" i="28"/>
  <c r="W11" i="26"/>
  <c r="H23" i="30"/>
  <c r="J19" i="28"/>
  <c r="L19" i="28"/>
  <c r="N19" i="28" s="1"/>
  <c r="I25" i="10"/>
  <c r="I33" i="10"/>
  <c r="I29" i="10"/>
  <c r="L32" i="28" l="1"/>
  <c r="N32" i="28" s="1"/>
  <c r="J32" i="28"/>
  <c r="Y11" i="26"/>
  <c r="H32" i="30"/>
  <c r="L33" i="28"/>
  <c r="N33" i="28" s="1"/>
  <c r="J33" i="28"/>
  <c r="L31" i="28"/>
  <c r="N31" i="28" s="1"/>
  <c r="J31" i="28"/>
  <c r="J29" i="28"/>
  <c r="L29" i="28"/>
  <c r="N29" i="28" s="1"/>
  <c r="J34" i="28"/>
  <c r="L34" i="28"/>
  <c r="N34" i="28" s="1"/>
  <c r="W24" i="26"/>
  <c r="X24" i="26" s="1"/>
  <c r="X11" i="26"/>
  <c r="W27" i="26"/>
  <c r="J30" i="28"/>
  <c r="L30" i="28"/>
  <c r="N30" i="28" s="1"/>
  <c r="X27" i="26" l="1"/>
  <c r="W34" i="26"/>
  <c r="X34" i="26" s="1"/>
  <c r="Z11" i="26"/>
  <c r="Y27" i="26"/>
  <c r="I11" i="28"/>
  <c r="Y24" i="26"/>
  <c r="Z24" i="26" s="1"/>
  <c r="J11" i="28" l="1"/>
  <c r="L11" i="28"/>
  <c r="N11" i="28" s="1"/>
  <c r="I28" i="28"/>
  <c r="I24" i="28"/>
  <c r="Z27" i="26"/>
  <c r="Y34" i="26"/>
  <c r="Z34" i="26" s="1"/>
  <c r="J24" i="28" l="1"/>
  <c r="L24" i="28"/>
  <c r="N24" i="28" s="1"/>
  <c r="J28" i="28"/>
  <c r="L28" i="28"/>
  <c r="N28" i="28" s="1"/>
  <c r="I35" i="28"/>
  <c r="J35" i="28" l="1"/>
  <c r="L35" i="28"/>
  <c r="N35" i="28" s="1"/>
</calcChain>
</file>

<file path=xl/sharedStrings.xml><?xml version="1.0" encoding="utf-8"?>
<sst xmlns="http://schemas.openxmlformats.org/spreadsheetml/2006/main" count="705" uniqueCount="249">
  <si>
    <t>Puget Sound Energy</t>
  </si>
  <si>
    <t>Line</t>
  </si>
  <si>
    <t>Total</t>
  </si>
  <si>
    <t>Allocation</t>
  </si>
  <si>
    <t>Revenue</t>
  </si>
  <si>
    <t>Sch. 111</t>
  </si>
  <si>
    <t>No.</t>
  </si>
  <si>
    <t>Rate Class</t>
  </si>
  <si>
    <t>Schedules</t>
  </si>
  <si>
    <t>Factor</t>
  </si>
  <si>
    <t>Requirement</t>
  </si>
  <si>
    <t>Rate</t>
  </si>
  <si>
    <t>Mantle Rate</t>
  </si>
  <si>
    <t>(a)</t>
  </si>
  <si>
    <t>(b)</t>
  </si>
  <si>
    <t>(c)</t>
  </si>
  <si>
    <t>(d)</t>
  </si>
  <si>
    <t>(e)</t>
  </si>
  <si>
    <t>(f)</t>
  </si>
  <si>
    <t>(g)</t>
  </si>
  <si>
    <t>Residential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</si>
  <si>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</si>
  <si>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</si>
  <si>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</si>
  <si>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</si>
  <si>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</si>
  <si>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</si>
  <si>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</si>
  <si>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</si>
  <si>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</si>
  <si>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</si>
  <si>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</si>
  <si>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</si>
  <si>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</si>
  <si>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</si>
  <si>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</si>
  <si>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</si>
  <si>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Contracts</t>
  </si>
  <si>
    <t>Proposed Revenue Requirement</t>
  </si>
  <si>
    <t>No Cost Allowance Revenues</t>
  </si>
  <si>
    <t>Proposed Rates Effective August 1, 2023</t>
  </si>
  <si>
    <t>2023 Gas Schedule 111 Greenhouse Gas Emissions Cap and Invest Adjustment Filing</t>
  </si>
  <si>
    <r>
      <t xml:space="preserve">Gas Schedule 111 </t>
    </r>
    <r>
      <rPr>
        <b/>
        <sz val="14"/>
        <color rgb="FFFF0000"/>
        <rFont val="Times New Roman"/>
        <family val="1"/>
      </rPr>
      <t>Charge</t>
    </r>
  </si>
  <si>
    <t xml:space="preserve">Gas CCA Charge 2023 Revenue Requirement </t>
  </si>
  <si>
    <t>Forecasted Costs</t>
  </si>
  <si>
    <t>Rate Periods</t>
  </si>
  <si>
    <t>Aug-Dec 2023</t>
  </si>
  <si>
    <t>Gas CCA Emissions Expense</t>
  </si>
  <si>
    <t>Increase (Decrease) FIT</t>
  </si>
  <si>
    <t>Increase (Decrease) NOI</t>
  </si>
  <si>
    <t xml:space="preserve">Conversion Factor </t>
  </si>
  <si>
    <t>Revenue Requirement</t>
  </si>
  <si>
    <r>
      <t xml:space="preserve">Gas Schedule 111 </t>
    </r>
    <r>
      <rPr>
        <b/>
        <sz val="14"/>
        <color rgb="FFFF0000"/>
        <rFont val="Times New Roman"/>
        <family val="1"/>
      </rPr>
      <t>Credit</t>
    </r>
  </si>
  <si>
    <t xml:space="preserve">Gas CCA Credit 2023 Revenue Requirement </t>
  </si>
  <si>
    <t>Offsetting Credits</t>
  </si>
  <si>
    <t>CCA Allowance Proceeds</t>
  </si>
  <si>
    <r>
      <rPr>
        <b/>
        <sz val="14"/>
        <color rgb="FFFF0000"/>
        <rFont val="Times New Roman"/>
        <family val="1"/>
      </rPr>
      <t>Total</t>
    </r>
    <r>
      <rPr>
        <b/>
        <sz val="14"/>
        <color rgb="FF0000FF"/>
        <rFont val="Times New Roman"/>
        <family val="1"/>
      </rPr>
      <t xml:space="preserve"> Gas Schedule 111 </t>
    </r>
  </si>
  <si>
    <t xml:space="preserve">Total Gas CCA  2023 Net Revenue Requirement </t>
  </si>
  <si>
    <t>Net Charge</t>
  </si>
  <si>
    <t>Total CCA Costs and Proceeds</t>
  </si>
  <si>
    <t>Forecasted Therms &amp; Customers</t>
  </si>
  <si>
    <t>Rate Schedule</t>
  </si>
  <si>
    <t>Customers:</t>
  </si>
  <si>
    <t>Delivered Therms:</t>
  </si>
  <si>
    <t xml:space="preserve">Source: F2022 Load Forecast Calendar Month Therms &amp; Customer Counts (2-25-2022)  </t>
  </si>
  <si>
    <t>Development of Cap &amp; Invest Therm Forecast</t>
  </si>
  <si>
    <t>F2022 Forecast:</t>
  </si>
  <si>
    <t>Cap and Invest Therms:</t>
  </si>
  <si>
    <t>Development of Cap &amp; Invest Customer Count Forecast</t>
  </si>
  <si>
    <t>Cap and Invest Customer Counts:</t>
  </si>
  <si>
    <t>Low Income Therm Forecast</t>
  </si>
  <si>
    <r>
      <t xml:space="preserve">CCA Therms </t>
    </r>
    <r>
      <rPr>
        <vertAlign val="superscript"/>
        <sz val="11"/>
        <color theme="1"/>
        <rFont val="Calibri"/>
        <family val="2"/>
        <scheme val="minor"/>
      </rPr>
      <t>(1)</t>
    </r>
  </si>
  <si>
    <t>Aug. 2023 - Dec. 2023</t>
  </si>
  <si>
    <t>Residential (Low Income)</t>
  </si>
  <si>
    <t>% of Total</t>
  </si>
  <si>
    <t>Sales:</t>
  </si>
  <si>
    <t>Schedule 31</t>
  </si>
  <si>
    <t>Total Non-Vol. Credit Per Customer</t>
  </si>
  <si>
    <t>Mantles:</t>
  </si>
  <si>
    <t>Rate Change Impacts by Rate Schedule</t>
  </si>
  <si>
    <t>Forecasted</t>
  </si>
  <si>
    <t>UG-220067</t>
  </si>
  <si>
    <t>Base Sch.</t>
  </si>
  <si>
    <t>Therms</t>
  </si>
  <si>
    <t>5ME Dec. 2023</t>
  </si>
  <si>
    <t>Volume</t>
  </si>
  <si>
    <t>Base Schedule</t>
  </si>
  <si>
    <t>Aug. 2023 -</t>
  </si>
  <si>
    <t>Sch. 101</t>
  </si>
  <si>
    <t>Sch. 106</t>
  </si>
  <si>
    <t>Sch. 120</t>
  </si>
  <si>
    <t>Sch. 129</t>
  </si>
  <si>
    <t>Sch. 140</t>
  </si>
  <si>
    <t>Sch. 141D</t>
  </si>
  <si>
    <t>Sch. 141N</t>
  </si>
  <si>
    <t>Sch. 141R</t>
  </si>
  <si>
    <t>Sch. 141Z</t>
  </si>
  <si>
    <t>Sch. 142</t>
  </si>
  <si>
    <t>Total Forecasted</t>
  </si>
  <si>
    <t>Chrg. Revenue</t>
  </si>
  <si>
    <t>Percent</t>
  </si>
  <si>
    <t>Cred. Revenue</t>
  </si>
  <si>
    <t>Total Revenue</t>
  </si>
  <si>
    <t>Schedule</t>
  </si>
  <si>
    <r>
      <t>(Therms)</t>
    </r>
    <r>
      <rPr>
        <vertAlign val="superscript"/>
        <sz val="11"/>
        <color theme="1"/>
        <rFont val="Calibri"/>
        <family val="2"/>
      </rPr>
      <t xml:space="preserve"> (1)</t>
    </r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</si>
  <si>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</si>
  <si>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>$/Therm</t>
  </si>
  <si>
    <t>Dec. 2023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</si>
  <si>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</si>
  <si>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Change</t>
  </si>
  <si>
    <t>A</t>
  </si>
  <si>
    <t>B</t>
  </si>
  <si>
    <t>C</t>
  </si>
  <si>
    <t>D</t>
  </si>
  <si>
    <t>E=D/C</t>
  </si>
  <si>
    <t xml:space="preserve">F </t>
  </si>
  <si>
    <t xml:space="preserve">G=E*F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</si>
  <si>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</si>
  <si>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</si>
  <si>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</si>
  <si>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</si>
  <si>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</si>
  <si>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</si>
  <si>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</si>
  <si>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</si>
  <si>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</si>
  <si>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</si>
  <si>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</si>
  <si>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 = sum(G:R)</t>
  </si>
  <si>
    <t>T</t>
  </si>
  <si>
    <t>U= T/S</t>
  </si>
  <si>
    <t>V</t>
  </si>
  <si>
    <t>W= V/S</t>
  </si>
  <si>
    <t>X</t>
  </si>
  <si>
    <t>Y= X/S</t>
  </si>
  <si>
    <t>By Customer Class:</t>
  </si>
  <si>
    <t>Commercial &amp; industrial</t>
  </si>
  <si>
    <t>31,31T</t>
  </si>
  <si>
    <t>Large volume</t>
  </si>
  <si>
    <t>41,41T</t>
  </si>
  <si>
    <t>85,85T</t>
  </si>
  <si>
    <t>Limited interruptible</t>
  </si>
  <si>
    <t>86,86T</t>
  </si>
  <si>
    <t>Non-exclusive interruptible</t>
  </si>
  <si>
    <t>87,87T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</si>
  <si>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Weather normalized volume and base schedule margin for 12 months ending June 2021, at approved rates from UG-220067 GRC compliance filing.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</si>
  <si>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May 1, 2023.</t>
    </r>
  </si>
  <si>
    <t>Typical Residential Bill Impacts</t>
  </si>
  <si>
    <t>Schedule 111 Cap &amp; Invest</t>
  </si>
  <si>
    <t>Current Rates</t>
  </si>
  <si>
    <t>Rate Change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</si>
  <si>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</si>
  <si>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</si>
  <si>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Rates</t>
  </si>
  <si>
    <t>Volume (therms)</t>
  </si>
  <si>
    <t>Customer charge ($/month)</t>
  </si>
  <si>
    <t>Basic charge (Sch. 23)</t>
  </si>
  <si>
    <t>Subtotal</t>
  </si>
  <si>
    <t>Cap &amp; Invest Non-Vol Credit (Sch. 111)</t>
  </si>
  <si>
    <t>Volumetric charges ($/therm)</t>
  </si>
  <si>
    <t>Delivery charge (Sch. 23)</t>
  </si>
  <si>
    <t>Cap &amp; Invest charge (Sch. 111)</t>
  </si>
  <si>
    <t>Low income charge (Sch. 129)</t>
  </si>
  <si>
    <t>Property tax charge (Sch. 140)</t>
  </si>
  <si>
    <t>Dist. Pipeline Provisional (Sch. 141D)</t>
  </si>
  <si>
    <t>Rates Not Subject to Refund (Sch. 141N)</t>
  </si>
  <si>
    <t>Rates Subject to Refund (Sch. 141R)</t>
  </si>
  <si>
    <t>UP EDIT adjusting charge (Sch. 141Z)</t>
  </si>
  <si>
    <t>Decoupling charge (Sch. 142)</t>
  </si>
  <si>
    <t>Conservation charge (Sch. 120)</t>
  </si>
  <si>
    <t>Gas cost charge (Sch. 101)</t>
  </si>
  <si>
    <t>Gas cost amort. charge (Sch. 106)</t>
  </si>
  <si>
    <t>Total volumetric charges</t>
  </si>
  <si>
    <t>Total monthly bill</t>
  </si>
  <si>
    <t>Change from bill under current rates</t>
  </si>
  <si>
    <t>Percent change from bill under current rates</t>
  </si>
  <si>
    <t>Total volumetric rates less gas costs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</si>
  <si>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May 1, 2023</t>
    </r>
  </si>
  <si>
    <t>Gas Schedule 111 Charge</t>
  </si>
  <si>
    <t>Greenhouse Gas Emissions Cap and Invest Adjustment</t>
  </si>
  <si>
    <t>Current</t>
  </si>
  <si>
    <t>Proposed</t>
  </si>
  <si>
    <t>Sched 111</t>
  </si>
  <si>
    <t>Volume (Therms)</t>
  </si>
  <si>
    <t>Proposed Rates</t>
  </si>
  <si>
    <t>Customer Counts</t>
  </si>
  <si>
    <t>Monthly NVC</t>
  </si>
  <si>
    <t>Schedule 31T</t>
  </si>
  <si>
    <t>Average Rate Per Therm Impacts by Rate Schedule</t>
  </si>
  <si>
    <r>
      <t>Current Rates</t>
    </r>
    <r>
      <rPr>
        <vertAlign val="superscript"/>
        <sz val="11"/>
        <color theme="1"/>
        <rFont val="Calibri"/>
        <family val="2"/>
        <scheme val="minor"/>
      </rPr>
      <t xml:space="preserve"> (1)</t>
    </r>
  </si>
  <si>
    <t>Average Rate</t>
  </si>
  <si>
    <t>Per Therm</t>
  </si>
  <si>
    <t>% Change</t>
  </si>
  <si>
    <t>check</t>
  </si>
  <si>
    <t>E = D/C</t>
  </si>
  <si>
    <t>F</t>
  </si>
  <si>
    <t>G</t>
  </si>
  <si>
    <t>H = G/F</t>
  </si>
  <si>
    <t>I = (G-D)/D</t>
  </si>
  <si>
    <t>(1) Rates effective May 1, 2023</t>
  </si>
  <si>
    <t>Credit Rate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</si>
  <si>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Actual billed therms of customers who received PSE Help and/or LIHEAP for the 12 months ending March 31, 2023 grossed up by 10%.</t>
    </r>
  </si>
  <si>
    <r>
      <t xml:space="preserve">Therms </t>
    </r>
    <r>
      <rPr>
        <vertAlign val="superscript"/>
        <sz val="11"/>
        <color theme="1"/>
        <rFont val="Calibri"/>
        <family val="2"/>
        <scheme val="minor"/>
      </rPr>
      <t>(1)</t>
    </r>
  </si>
  <si>
    <t>Low Income Volumetric Credit</t>
  </si>
  <si>
    <t>Proposed Revenue Requirement for Non-Vol. Credit</t>
  </si>
  <si>
    <r>
      <t xml:space="preserve">Total CCA </t>
    </r>
    <r>
      <rPr>
        <vertAlign val="superscript"/>
        <sz val="11"/>
        <color theme="1"/>
        <rFont val="Calibri"/>
        <family val="2"/>
        <scheme val="minor"/>
      </rPr>
      <t>(2)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</si>
  <si>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F2022 Load Forecast adjusted to remove customers not eligible for the CCA non-volumetric credit.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</si>
  <si>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F2022 Load Forecast adjusted to remove therms not subject to the CCA charge.</t>
    </r>
  </si>
  <si>
    <r>
      <t xml:space="preserve">Sch. 111 </t>
    </r>
    <r>
      <rPr>
        <vertAlign val="superscript"/>
        <sz val="11"/>
        <color theme="1"/>
        <rFont val="Calibri"/>
        <family val="2"/>
        <scheme val="minor"/>
      </rPr>
      <t>(3)</t>
    </r>
  </si>
  <si>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Schedule's 23, 53, 31 &amp; 31T rates are informational only, credits will vary monthly to reflect seasonality of usage.</t>
    </r>
  </si>
  <si>
    <r>
      <rPr>
        <vertAlign val="superscript"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Customer Counts for this schedule are mantle counts since gas lighting is billed per mantle.</t>
    </r>
  </si>
  <si>
    <r>
      <t xml:space="preserve">Residential Gas Lights </t>
    </r>
    <r>
      <rPr>
        <vertAlign val="superscript"/>
        <sz val="11"/>
        <color theme="1"/>
        <rFont val="Calibri"/>
        <family val="2"/>
        <scheme val="minor"/>
      </rPr>
      <t>(4)</t>
    </r>
  </si>
  <si>
    <t>Monthly Non-Vol. Credit Per Customer</t>
  </si>
  <si>
    <r>
      <t xml:space="preserve">Forecasted Delivered Therms </t>
    </r>
    <r>
      <rPr>
        <vertAlign val="superscript"/>
        <sz val="11"/>
        <color theme="1"/>
        <rFont val="Calibri"/>
        <family val="2"/>
        <scheme val="minor"/>
      </rPr>
      <t>(1)</t>
    </r>
  </si>
  <si>
    <t>Gas Schedule 111 Credit</t>
  </si>
  <si>
    <t>Cred. Rates</t>
  </si>
  <si>
    <t>Non-Volumetric Credits:</t>
  </si>
  <si>
    <t>Volumetric Credits:</t>
  </si>
  <si>
    <t>Total Non-Volumetric &amp; Volumetric Credits</t>
  </si>
  <si>
    <r>
      <t xml:space="preserve">Low Income Therm Forecast </t>
    </r>
    <r>
      <rPr>
        <b/>
        <u/>
        <vertAlign val="superscript"/>
        <sz val="11"/>
        <color theme="1"/>
        <rFont val="Calibri"/>
        <family val="2"/>
        <scheme val="minor"/>
      </rPr>
      <t xml:space="preserve">(1) </t>
    </r>
    <r>
      <rPr>
        <b/>
        <u/>
        <sz val="11"/>
        <color theme="1"/>
        <rFont val="Calibri"/>
        <family val="2"/>
        <scheme val="minor"/>
      </rPr>
      <t>:</t>
    </r>
  </si>
  <si>
    <r>
      <t xml:space="preserve">National Security Customer Therms </t>
    </r>
    <r>
      <rPr>
        <b/>
        <u/>
        <vertAlign val="superscript"/>
        <sz val="11"/>
        <color theme="1"/>
        <rFont val="Calibri"/>
        <family val="2"/>
        <scheme val="minor"/>
      </rPr>
      <t>(2)</t>
    </r>
    <r>
      <rPr>
        <b/>
        <u/>
        <sz val="11"/>
        <color theme="1"/>
        <rFont val="Calibri"/>
        <family val="2"/>
        <scheme val="minor"/>
      </rPr>
      <t>:</t>
    </r>
  </si>
  <si>
    <r>
      <t xml:space="preserve">Emissions Intensive Trade Exposed Customer Therms </t>
    </r>
    <r>
      <rPr>
        <b/>
        <u/>
        <vertAlign val="superscript"/>
        <sz val="11"/>
        <color theme="1"/>
        <rFont val="Calibri"/>
        <family val="2"/>
        <scheme val="minor"/>
      </rPr>
      <t>(3)</t>
    </r>
    <r>
      <rPr>
        <b/>
        <u/>
        <sz val="11"/>
        <color theme="1"/>
        <rFont val="Calibri"/>
        <family val="2"/>
        <scheme val="minor"/>
      </rPr>
      <t>: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</si>
  <si>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CY2022 actual billed therms for &gt;25,000 metric ton emission customers.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</si>
  <si>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CY2022 actual billed therms for national security customers.</t>
    </r>
  </si>
  <si>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CY2022 actual billed therms for emissions intensive trade exposed customers.</t>
    </r>
  </si>
  <si>
    <r>
      <t xml:space="preserve">National Security Customer Counts </t>
    </r>
    <r>
      <rPr>
        <b/>
        <u/>
        <vertAlign val="superscript"/>
        <sz val="11"/>
        <color theme="1"/>
        <rFont val="Calibri"/>
        <family val="2"/>
        <scheme val="minor"/>
      </rPr>
      <t>(2)</t>
    </r>
    <r>
      <rPr>
        <b/>
        <u/>
        <sz val="11"/>
        <color theme="1"/>
        <rFont val="Calibri"/>
        <family val="2"/>
        <scheme val="minor"/>
      </rPr>
      <t>:</t>
    </r>
  </si>
  <si>
    <r>
      <t xml:space="preserve">Emissions Intensive Trade Exposed Customer Counts </t>
    </r>
    <r>
      <rPr>
        <b/>
        <u/>
        <vertAlign val="superscript"/>
        <sz val="11"/>
        <color theme="1"/>
        <rFont val="Calibri"/>
        <family val="2"/>
        <scheme val="minor"/>
      </rPr>
      <t>(3)</t>
    </r>
    <r>
      <rPr>
        <b/>
        <u/>
        <sz val="11"/>
        <color theme="1"/>
        <rFont val="Calibri"/>
        <family val="2"/>
        <scheme val="minor"/>
      </rPr>
      <t>:</t>
    </r>
  </si>
  <si>
    <r>
      <t xml:space="preserve">Low Income Customer Counts </t>
    </r>
    <r>
      <rPr>
        <b/>
        <u/>
        <vertAlign val="superscript"/>
        <sz val="11"/>
        <color theme="1"/>
        <rFont val="Calibri"/>
        <family val="2"/>
        <scheme val="minor"/>
      </rPr>
      <t>(4)</t>
    </r>
    <r>
      <rPr>
        <b/>
        <u/>
        <sz val="11"/>
        <color theme="1"/>
        <rFont val="Calibri"/>
        <family val="2"/>
        <scheme val="minor"/>
      </rPr>
      <t>:</t>
    </r>
  </si>
  <si>
    <r>
      <t xml:space="preserve">New Gas Connection after July 25, 2021 Customer Counts </t>
    </r>
    <r>
      <rPr>
        <b/>
        <u/>
        <vertAlign val="superscript"/>
        <sz val="11"/>
        <color theme="1"/>
        <rFont val="Calibri"/>
        <family val="2"/>
        <scheme val="minor"/>
      </rPr>
      <t>(5)</t>
    </r>
    <r>
      <rPr>
        <b/>
        <u/>
        <sz val="11"/>
        <color theme="1"/>
        <rFont val="Calibri"/>
        <family val="2"/>
        <scheme val="minor"/>
      </rPr>
      <t>:</t>
    </r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</si>
  <si>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CY2022 actual customer counts for &gt;25,000 metric ton emission customers.</t>
    </r>
  </si>
  <si>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CY2022 actual customer counts for national security customers.</t>
    </r>
  </si>
  <si>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CY2022 actual customer counts for emissions intensive trade exposed customers.</t>
    </r>
  </si>
  <si>
    <r>
      <rPr>
        <vertAlign val="superscript"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Actual customer counts of customers who received PSE Help and/or LIHEAP for the 12 months ending March 31, 2023 grossed up by 10%.</t>
    </r>
  </si>
  <si>
    <r>
      <rPr>
        <vertAlign val="superscript"/>
        <sz val="11"/>
        <color theme="1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May 2023 actual customer counts of new gas connections after July 25, 2021.</t>
    </r>
  </si>
  <si>
    <r>
      <t xml:space="preserve">Covered Entity &gt;25,000 Metric Ton Emissions Customer Therms </t>
    </r>
    <r>
      <rPr>
        <b/>
        <u/>
        <vertAlign val="superscript"/>
        <sz val="11"/>
        <color theme="1"/>
        <rFont val="Calibri"/>
        <family val="2"/>
        <scheme val="minor"/>
      </rPr>
      <t>(1)</t>
    </r>
    <r>
      <rPr>
        <b/>
        <u/>
        <sz val="11"/>
        <color theme="1"/>
        <rFont val="Calibri"/>
        <family val="2"/>
        <scheme val="minor"/>
      </rPr>
      <t>:</t>
    </r>
  </si>
  <si>
    <r>
      <t xml:space="preserve">Covered Entity &gt;25,000 Metric Ton Customer Counts </t>
    </r>
    <r>
      <rPr>
        <b/>
        <u/>
        <vertAlign val="superscript"/>
        <sz val="11"/>
        <color theme="1"/>
        <rFont val="Calibri"/>
        <family val="2"/>
        <scheme val="minor"/>
      </rPr>
      <t>(1)</t>
    </r>
    <r>
      <rPr>
        <b/>
        <u/>
        <sz val="11"/>
        <color theme="1"/>
        <rFont val="Calibri"/>
        <family val="2"/>
        <scheme val="minor"/>
      </rPr>
      <t>:</t>
    </r>
  </si>
  <si>
    <t>Calculation of Schedule 111 State Carbon Reduction Charge Volumetric Rates</t>
  </si>
  <si>
    <t>Calculation of Schedule 111 Low Income State Carbon Reduction Credit Volumetric Rates</t>
  </si>
  <si>
    <t>Calculation of Schedule 111 State Carbon Reduction Credit Monthly Non-Volumetric Rates</t>
  </si>
  <si>
    <t>Calculation of Schedule 111 State Carbon Reduction Credit Monthly Non-Volumetric Rates for Schedule's 23, 53, 31 &amp; 31T</t>
  </si>
  <si>
    <t>Cap &amp; Invest</t>
  </si>
  <si>
    <t>Base</t>
  </si>
  <si>
    <t>Charge Rate</t>
  </si>
  <si>
    <t>Customer</t>
  </si>
  <si>
    <t>Counts</t>
  </si>
  <si>
    <t>Monthly Credit</t>
  </si>
  <si>
    <t>Non-Volumetric Credit Per Customer by Month:</t>
  </si>
  <si>
    <t>Schedule 23</t>
  </si>
  <si>
    <t>16,23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</si>
</sst>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.00000_);_(&quot;$&quot;* \(#,##0.00000\);_(&quot;$&quot;* &quot;-&quot;??_);_(@_)"/>
    <numFmt numFmtId="167" formatCode="_(&quot;$&quot;* #,##0_);_(&quot;$&quot;* \(#,##0\);_(&quot;$&quot;* &quot;-&quot;??_);_(@_)"/>
    <numFmt numFmtId="168" formatCode="_(&quot;$&quot;* #,##0_);[Red]_(&quot;$&quot;* \(#,##0\);_(&quot;$&quot;* &quot;-&quot;_);_(@_)"/>
    <numFmt numFmtId="169" formatCode="0.000%"/>
    <numFmt numFmtId="170" formatCode="_(&quot;$&quot;* #,##0.00_);_(&quot;$&quot;* \(#,##0.00\);_(&quot;$&quot;* &quot;-&quot;_);_(@_)"/>
    <numFmt numFmtId="171" formatCode="_(&quot;$&quot;* #,##0.00000_);_(&quot;$&quot;* \(#,##0.00000\);_(&quot;$&quot;* &quot;-&quot;???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0000FF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u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164" fontId="4" fillId="0" borderId="0" xfId="0" applyNumberFormat="1" applyFont="1" applyFill="1"/>
    <xf numFmtId="165" fontId="5" fillId="0" borderId="0" xfId="0" applyNumberFormat="1" applyFont="1"/>
    <xf numFmtId="42" fontId="1" fillId="0" borderId="0" xfId="0" applyNumberFormat="1" applyFont="1"/>
    <xf numFmtId="166" fontId="1" fillId="0" borderId="0" xfId="0" applyNumberFormat="1" applyFont="1" applyFill="1"/>
    <xf numFmtId="44" fontId="1" fillId="0" borderId="0" xfId="0" applyNumberFormat="1" applyFont="1" applyFill="1"/>
    <xf numFmtId="42" fontId="1" fillId="0" borderId="2" xfId="0" applyNumberFormat="1" applyFont="1" applyBorder="1"/>
    <xf numFmtId="42" fontId="1" fillId="0" borderId="0" xfId="0" applyNumberFormat="1" applyFont="1" applyBorder="1"/>
    <xf numFmtId="165" fontId="1" fillId="0" borderId="0" xfId="0" applyNumberFormat="1" applyFont="1"/>
    <xf numFmtId="42" fontId="4" fillId="0" borderId="0" xfId="0" applyNumberFormat="1" applyFont="1" applyFill="1"/>
    <xf numFmtId="42" fontId="2" fillId="0" borderId="0" xfId="0" applyNumberFormat="1" applyFont="1"/>
    <xf numFmtId="0" fontId="1" fillId="0" borderId="0" xfId="0" applyFont="1" applyFill="1"/>
    <xf numFmtId="3" fontId="1" fillId="0" borderId="0" xfId="0" applyNumberFormat="1" applyFont="1" applyFill="1"/>
    <xf numFmtId="164" fontId="1" fillId="0" borderId="2" xfId="0" applyNumberFormat="1" applyFont="1" applyFill="1" applyBorder="1"/>
    <xf numFmtId="165" fontId="1" fillId="0" borderId="2" xfId="0" applyNumberFormat="1" applyFont="1" applyBorder="1"/>
    <xf numFmtId="164" fontId="1" fillId="0" borderId="0" xfId="0" applyNumberFormat="1" applyFon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horizontal="centerContinuous"/>
    </xf>
    <xf numFmtId="0" fontId="10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8" fillId="0" borderId="0" xfId="0" applyFont="1" applyFill="1"/>
    <xf numFmtId="0" fontId="10" fillId="0" borderId="0" xfId="0" applyFont="1" applyFill="1"/>
    <xf numFmtId="0" fontId="6" fillId="0" borderId="0" xfId="0" applyFont="1" applyFill="1"/>
    <xf numFmtId="0" fontId="11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37" fontId="6" fillId="0" borderId="2" xfId="0" applyNumberFormat="1" applyFont="1" applyFill="1" applyBorder="1"/>
    <xf numFmtId="168" fontId="6" fillId="0" borderId="0" xfId="0" applyNumberFormat="1" applyFont="1" applyFill="1" applyAlignment="1" applyProtection="1">
      <alignment horizontal="left"/>
    </xf>
    <xf numFmtId="9" fontId="12" fillId="0" borderId="0" xfId="0" applyNumberFormat="1" applyFont="1" applyFill="1" applyAlignment="1"/>
    <xf numFmtId="37" fontId="6" fillId="0" borderId="0" xfId="0" applyNumberFormat="1" applyFont="1" applyFill="1"/>
    <xf numFmtId="168" fontId="12" fillId="0" borderId="0" xfId="0" applyNumberFormat="1" applyFont="1" applyFill="1" applyAlignment="1" applyProtection="1">
      <alignment horizontal="left"/>
    </xf>
    <xf numFmtId="37" fontId="6" fillId="0" borderId="2" xfId="0" applyNumberFormat="1" applyFont="1" applyBorder="1"/>
    <xf numFmtId="5" fontId="6" fillId="0" borderId="3" xfId="0" applyNumberFormat="1" applyFont="1" applyBorder="1"/>
    <xf numFmtId="5" fontId="6" fillId="0" borderId="0" xfId="0" applyNumberFormat="1" applyFont="1"/>
    <xf numFmtId="0" fontId="0" fillId="0" borderId="0" xfId="0" applyFo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1" xfId="0" applyFont="1" applyFill="1" applyBorder="1"/>
    <xf numFmtId="17" fontId="13" fillId="0" borderId="1" xfId="0" applyNumberFormat="1" applyFont="1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13" fillId="0" borderId="0" xfId="0" applyNumberFormat="1" applyFont="1" applyFill="1"/>
    <xf numFmtId="3" fontId="0" fillId="0" borderId="0" xfId="0" applyNumberFormat="1" applyFont="1" applyFill="1"/>
    <xf numFmtId="0" fontId="0" fillId="0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3" fontId="0" fillId="0" borderId="2" xfId="0" applyNumberFormat="1" applyFont="1" applyBorder="1"/>
    <xf numFmtId="3" fontId="0" fillId="0" borderId="0" xfId="0" applyNumberFormat="1" applyFont="1"/>
    <xf numFmtId="0" fontId="14" fillId="0" borderId="0" xfId="0" applyFont="1" applyFill="1" applyAlignment="1">
      <alignment horizontal="left"/>
    </xf>
    <xf numFmtId="3" fontId="4" fillId="0" borderId="0" xfId="0" applyNumberFormat="1" applyFont="1" applyFill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9" fontId="5" fillId="0" borderId="0" xfId="0" applyNumberFormat="1" applyFont="1"/>
    <xf numFmtId="0" fontId="0" fillId="0" borderId="0" xfId="0" applyFont="1" applyAlignment="1">
      <alignment horizontal="centerContinuous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2" fontId="0" fillId="0" borderId="0" xfId="0" applyNumberFormat="1" applyFont="1"/>
    <xf numFmtId="164" fontId="0" fillId="0" borderId="0" xfId="0" applyNumberFormat="1" applyFont="1"/>
    <xf numFmtId="44" fontId="0" fillId="0" borderId="0" xfId="0" applyNumberFormat="1" applyFont="1" applyFill="1"/>
    <xf numFmtId="44" fontId="0" fillId="0" borderId="0" xfId="0" applyNumberFormat="1" applyFont="1"/>
    <xf numFmtId="164" fontId="0" fillId="0" borderId="2" xfId="0" applyNumberFormat="1" applyFont="1" applyFill="1" applyBorder="1"/>
    <xf numFmtId="165" fontId="0" fillId="0" borderId="2" xfId="0" applyNumberFormat="1" applyFont="1" applyBorder="1"/>
    <xf numFmtId="42" fontId="0" fillId="0" borderId="2" xfId="0" applyNumberFormat="1" applyFont="1" applyBorder="1"/>
    <xf numFmtId="164" fontId="0" fillId="0" borderId="2" xfId="0" applyNumberFormat="1" applyFont="1" applyBorder="1"/>
    <xf numFmtId="165" fontId="0" fillId="0" borderId="0" xfId="0" applyNumberFormat="1" applyFont="1"/>
    <xf numFmtId="44" fontId="0" fillId="0" borderId="2" xfId="0" applyNumberFormat="1" applyFont="1" applyFill="1" applyBorder="1"/>
    <xf numFmtId="166" fontId="4" fillId="0" borderId="0" xfId="0" applyNumberFormat="1" applyFont="1" applyFill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0" fontId="15" fillId="0" borderId="0" xfId="0" applyFont="1"/>
    <xf numFmtId="44" fontId="0" fillId="0" borderId="0" xfId="0" applyNumberFormat="1" applyFont="1" applyFill="1" applyAlignment="1">
      <alignment horizontal="center"/>
    </xf>
    <xf numFmtId="44" fontId="0" fillId="0" borderId="0" xfId="0" applyNumberFormat="1" applyFont="1" applyFill="1" applyBorder="1" applyAlignment="1">
      <alignment horizontal="center"/>
    </xf>
    <xf numFmtId="44" fontId="0" fillId="0" borderId="0" xfId="0" applyNumberFormat="1" applyFont="1"/>
    <xf numFmtId="167" fontId="4" fillId="0" borderId="0" xfId="0" applyNumberFormat="1" applyFont="1"/>
    <xf numFmtId="42" fontId="0" fillId="0" borderId="2" xfId="0" applyNumberFormat="1" applyFont="1" applyFill="1" applyBorder="1"/>
    <xf numFmtId="44" fontId="4" fillId="0" borderId="0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7" fontId="4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quotePrefix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42" fontId="0" fillId="0" borderId="0" xfId="0" applyNumberFormat="1" applyFont="1" applyBorder="1" applyAlignment="1">
      <alignment horizontal="center"/>
    </xf>
    <xf numFmtId="42" fontId="4" fillId="0" borderId="0" xfId="0" applyNumberFormat="1" applyFont="1"/>
    <xf numFmtId="166" fontId="0" fillId="0" borderId="0" xfId="0" applyNumberFormat="1"/>
    <xf numFmtId="42" fontId="0" fillId="0" borderId="0" xfId="0" applyNumberFormat="1"/>
    <xf numFmtId="42" fontId="5" fillId="0" borderId="0" xfId="0" applyNumberFormat="1" applyFont="1"/>
    <xf numFmtId="10" fontId="0" fillId="0" borderId="0" xfId="0" applyNumberFormat="1" applyFont="1"/>
    <xf numFmtId="10" fontId="0" fillId="0" borderId="0" xfId="1" applyNumberFormat="1" applyFont="1"/>
    <xf numFmtId="42" fontId="13" fillId="0" borderId="0" xfId="0" applyNumberFormat="1" applyFont="1"/>
    <xf numFmtId="166" fontId="0" fillId="0" borderId="1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42" fontId="5" fillId="0" borderId="2" xfId="0" applyNumberFormat="1" applyFont="1" applyBorder="1"/>
    <xf numFmtId="10" fontId="0" fillId="0" borderId="2" xfId="0" applyNumberFormat="1" applyFont="1" applyBorder="1"/>
    <xf numFmtId="3" fontId="0" fillId="0" borderId="0" xfId="0" applyNumberFormat="1"/>
    <xf numFmtId="10" fontId="0" fillId="0" borderId="0" xfId="0" applyNumberFormat="1"/>
    <xf numFmtId="0" fontId="17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3" fontId="19" fillId="0" borderId="0" xfId="0" applyNumberFormat="1" applyFont="1" applyBorder="1"/>
    <xf numFmtId="42" fontId="19" fillId="0" borderId="0" xfId="0" applyNumberFormat="1" applyFont="1" applyBorder="1"/>
    <xf numFmtId="0" fontId="19" fillId="0" borderId="0" xfId="0" applyFont="1"/>
    <xf numFmtId="42" fontId="19" fillId="0" borderId="0" xfId="0" applyNumberFormat="1" applyFont="1"/>
    <xf numFmtId="10" fontId="19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4" fontId="19" fillId="0" borderId="0" xfId="0" applyNumberFormat="1" applyFont="1" applyFill="1"/>
    <xf numFmtId="167" fontId="19" fillId="0" borderId="0" xfId="0" applyNumberFormat="1" applyFont="1" applyFill="1"/>
    <xf numFmtId="0" fontId="19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164" fontId="19" fillId="0" borderId="2" xfId="0" applyNumberFormat="1" applyFont="1" applyFill="1" applyBorder="1"/>
    <xf numFmtId="167" fontId="19" fillId="0" borderId="2" xfId="0" applyNumberFormat="1" applyFont="1" applyFill="1" applyBorder="1"/>
    <xf numFmtId="166" fontId="0" fillId="0" borderId="2" xfId="0" applyNumberFormat="1" applyBorder="1"/>
    <xf numFmtId="0" fontId="19" fillId="0" borderId="0" xfId="0" applyFont="1" applyFill="1"/>
    <xf numFmtId="0" fontId="19" fillId="0" borderId="0" xfId="0" applyFont="1" applyBorder="1"/>
    <xf numFmtId="44" fontId="19" fillId="0" borderId="0" xfId="0" applyNumberFormat="1" applyFont="1"/>
    <xf numFmtId="0" fontId="5" fillId="0" borderId="0" xfId="0" applyFont="1" applyFill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1" fillId="0" borderId="0" xfId="0" applyFont="1"/>
    <xf numFmtId="170" fontId="5" fillId="0" borderId="0" xfId="0" applyNumberFormat="1" applyFont="1"/>
    <xf numFmtId="0" fontId="21" fillId="0" borderId="0" xfId="0" applyFont="1" applyBorder="1"/>
    <xf numFmtId="44" fontId="4" fillId="0" borderId="0" xfId="0" applyNumberFormat="1" applyFont="1"/>
    <xf numFmtId="44" fontId="21" fillId="0" borderId="0" xfId="0" applyNumberFormat="1" applyFont="1" applyBorder="1"/>
    <xf numFmtId="44" fontId="5" fillId="0" borderId="0" xfId="0" applyNumberFormat="1" applyFont="1"/>
    <xf numFmtId="44" fontId="5" fillId="0" borderId="2" xfId="0" applyNumberFormat="1" applyFont="1" applyBorder="1"/>
    <xf numFmtId="44" fontId="21" fillId="0" borderId="0" xfId="0" applyNumberFormat="1" applyFont="1"/>
    <xf numFmtId="171" fontId="4" fillId="0" borderId="0" xfId="0" applyNumberFormat="1" applyFont="1"/>
    <xf numFmtId="171" fontId="21" fillId="0" borderId="0" xfId="0" applyNumberFormat="1" applyFont="1" applyBorder="1"/>
    <xf numFmtId="171" fontId="5" fillId="0" borderId="0" xfId="0" applyNumberFormat="1" applyFont="1"/>
    <xf numFmtId="171" fontId="0" fillId="0" borderId="0" xfId="0" applyNumberFormat="1" applyFont="1"/>
    <xf numFmtId="171" fontId="5" fillId="0" borderId="2" xfId="0" applyNumberFormat="1" applyFont="1" applyBorder="1"/>
    <xf numFmtId="171" fontId="0" fillId="0" borderId="0" xfId="0" applyNumberFormat="1" applyFont="1" applyFill="1"/>
    <xf numFmtId="170" fontId="5" fillId="0" borderId="2" xfId="0" applyNumberFormat="1" applyFont="1" applyBorder="1"/>
    <xf numFmtId="171" fontId="5" fillId="0" borderId="0" xfId="0" applyNumberFormat="1" applyFont="1" applyBorder="1"/>
    <xf numFmtId="44" fontId="5" fillId="0" borderId="0" xfId="0" applyNumberFormat="1" applyFont="1" applyBorder="1"/>
    <xf numFmtId="165" fontId="5" fillId="0" borderId="0" xfId="0" applyNumberFormat="1" applyFont="1" applyBorder="1"/>
    <xf numFmtId="10" fontId="5" fillId="0" borderId="0" xfId="0" applyNumberFormat="1" applyFont="1"/>
    <xf numFmtId="0" fontId="5" fillId="0" borderId="0" xfId="0" applyFont="1" applyFill="1" applyAlignment="1"/>
    <xf numFmtId="0" fontId="5" fillId="0" borderId="0" xfId="0" applyFont="1" applyAlignment="1"/>
    <xf numFmtId="0" fontId="22" fillId="0" borderId="0" xfId="0" applyFont="1" applyAlignment="1">
      <alignment horizontal="centerContinuous"/>
    </xf>
    <xf numFmtId="0" fontId="22" fillId="0" borderId="0" xfId="0" applyFont="1"/>
    <xf numFmtId="0" fontId="5" fillId="0" borderId="0" xfId="0" applyFont="1" applyAlignment="1">
      <alignment horizontal="center"/>
    </xf>
    <xf numFmtId="0" fontId="0" fillId="0" borderId="0" xfId="0" applyFont="1" applyBorder="1"/>
    <xf numFmtId="0" fontId="4" fillId="0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166" fontId="13" fillId="0" borderId="0" xfId="0" applyNumberFormat="1" applyFont="1"/>
    <xf numFmtId="166" fontId="4" fillId="0" borderId="0" xfId="0" applyNumberFormat="1" applyFont="1"/>
    <xf numFmtId="42" fontId="15" fillId="0" borderId="0" xfId="0" applyNumberFormat="1" applyFont="1" applyBorder="1" applyAlignment="1">
      <alignment horizontal="center"/>
    </xf>
    <xf numFmtId="166" fontId="0" fillId="0" borderId="0" xfId="0" applyNumberFormat="1" applyFont="1"/>
    <xf numFmtId="0" fontId="0" fillId="0" borderId="0" xfId="0" quotePrefix="1" applyFont="1"/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left"/>
    </xf>
    <xf numFmtId="166" fontId="1" fillId="0" borderId="0" xfId="0" applyNumberFormat="1" applyFont="1"/>
    <xf numFmtId="167" fontId="4" fillId="0" borderId="0" xfId="0" applyNumberFormat="1" applyFont="1" applyBorder="1"/>
    <xf numFmtId="10" fontId="2" fillId="0" borderId="0" xfId="0" applyNumberFormat="1" applyFont="1"/>
    <xf numFmtId="166" fontId="0" fillId="0" borderId="0" xfId="0" applyNumberFormat="1" applyBorder="1"/>
    <xf numFmtId="0" fontId="0" fillId="0" borderId="0" xfId="0" applyBorder="1"/>
    <xf numFmtId="164" fontId="0" fillId="0" borderId="2" xfId="0" applyNumberFormat="1" applyBorder="1"/>
    <xf numFmtId="166" fontId="0" fillId="0" borderId="2" xfId="0" applyNumberFormat="1" applyFont="1" applyBorder="1"/>
    <xf numFmtId="167" fontId="0" fillId="0" borderId="0" xfId="0" applyNumberFormat="1" applyFont="1" applyBorder="1"/>
    <xf numFmtId="42" fontId="0" fillId="0" borderId="0" xfId="0" applyNumberFormat="1" applyBorder="1"/>
    <xf numFmtId="3" fontId="19" fillId="0" borderId="0" xfId="0" applyNumberFormat="1" applyFont="1" applyFill="1" applyBorder="1"/>
    <xf numFmtId="167" fontId="19" fillId="0" borderId="0" xfId="0" applyNumberFormat="1" applyFont="1" applyFill="1" applyBorder="1"/>
    <xf numFmtId="171" fontId="19" fillId="0" borderId="0" xfId="0" applyNumberFormat="1" applyFont="1" applyFill="1" applyBorder="1"/>
    <xf numFmtId="171" fontId="23" fillId="0" borderId="0" xfId="0" applyNumberFormat="1" applyFont="1" applyFill="1" applyBorder="1"/>
    <xf numFmtId="43" fontId="2" fillId="0" borderId="0" xfId="0" applyNumberFormat="1" applyFont="1"/>
    <xf numFmtId="167" fontId="0" fillId="0" borderId="0" xfId="0" applyNumberFormat="1" applyFont="1"/>
    <xf numFmtId="167" fontId="19" fillId="0" borderId="0" xfId="0" applyNumberFormat="1" applyFont="1" applyBorder="1"/>
    <xf numFmtId="42" fontId="23" fillId="0" borderId="0" xfId="0" applyNumberFormat="1" applyFont="1" applyBorder="1"/>
    <xf numFmtId="166" fontId="19" fillId="0" borderId="0" xfId="0" applyNumberFormat="1" applyFont="1" applyFill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 vertical="center" textRotation="180"/>
    </xf>
    <xf numFmtId="164" fontId="19" fillId="0" borderId="2" xfId="0" applyNumberFormat="1" applyFont="1" applyBorder="1" applyAlignment="1">
      <alignment horizontal="left"/>
    </xf>
    <xf numFmtId="167" fontId="19" fillId="0" borderId="2" xfId="0" applyNumberFormat="1" applyFont="1" applyBorder="1" applyAlignment="1">
      <alignment horizontal="left"/>
    </xf>
    <xf numFmtId="166" fontId="19" fillId="0" borderId="2" xfId="0" applyNumberFormat="1" applyFont="1" applyFill="1" applyBorder="1"/>
    <xf numFmtId="167" fontId="23" fillId="0" borderId="0" xfId="0" applyNumberFormat="1" applyFont="1" applyFill="1"/>
    <xf numFmtId="0" fontId="0" fillId="0" borderId="0" xfId="0" quotePrefix="1"/>
    <xf numFmtId="3" fontId="13" fillId="0" borderId="0" xfId="0" applyNumberFormat="1" applyFont="1"/>
    <xf numFmtId="44" fontId="13" fillId="0" borderId="0" xfId="0" applyNumberFormat="1" applyFont="1"/>
    <xf numFmtId="171" fontId="13" fillId="0" borderId="0" xfId="0" applyNumberFormat="1" applyFont="1"/>
    <xf numFmtId="171" fontId="13" fillId="0" borderId="0" xfId="0" applyNumberFormat="1" applyFont="1" applyFill="1"/>
    <xf numFmtId="0" fontId="0" fillId="0" borderId="0" xfId="0" applyFont="1" applyFill="1" applyBorder="1" applyAlignment="1">
      <alignment horizontal="left"/>
    </xf>
    <xf numFmtId="0" fontId="14" fillId="0" borderId="0" xfId="0" applyFont="1"/>
    <xf numFmtId="0" fontId="15" fillId="0" borderId="4" xfId="0" applyFont="1" applyBorder="1"/>
    <xf numFmtId="42" fontId="15" fillId="0" borderId="4" xfId="0" applyNumberFormat="1" applyFont="1" applyBorder="1"/>
    <xf numFmtId="165" fontId="15" fillId="0" borderId="4" xfId="0" applyNumberFormat="1" applyFont="1" applyBorder="1"/>
    <xf numFmtId="0" fontId="14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7" fontId="0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="90" zoomScaleNormal="90" workbookViewId="0">
      <selection activeCell="D30" sqref="D30"/>
    </sheetView>
  </sheetViews>
  <sheetFormatPr defaultColWidth="9.140625" defaultRowHeight="15" x14ac:dyDescent="0.25"/>
  <cols>
    <col min="1" max="1" width="4.42578125" style="1" customWidth="1"/>
    <col min="2" max="2" width="38.28515625" style="1" customWidth="1"/>
    <col min="3" max="3" width="13.28515625" style="1" customWidth="1"/>
    <col min="4" max="4" width="15.42578125" style="1" customWidth="1"/>
    <col min="5" max="5" width="14.5703125" style="1" customWidth="1"/>
    <col min="6" max="6" width="15.85546875" style="1" customWidth="1"/>
    <col min="7" max="8" width="12.42578125" style="1" customWidth="1"/>
    <col min="9" max="16384" width="9.140625" style="1"/>
  </cols>
  <sheetData>
    <row r="1" spans="1:9" x14ac:dyDescent="0.25">
      <c r="A1" s="224" t="s">
        <v>0</v>
      </c>
      <c r="B1" s="224"/>
      <c r="C1" s="224"/>
      <c r="D1" s="224"/>
      <c r="E1" s="224"/>
      <c r="F1" s="224"/>
      <c r="G1" s="224"/>
      <c r="H1" s="224"/>
    </row>
    <row r="2" spans="1:9" x14ac:dyDescent="0.25">
      <c r="A2" s="2" t="s">
        <v>41</v>
      </c>
      <c r="B2" s="2"/>
      <c r="C2" s="2"/>
      <c r="D2" s="2"/>
      <c r="E2" s="2"/>
      <c r="F2" s="2"/>
      <c r="G2" s="2"/>
      <c r="H2" s="2"/>
    </row>
    <row r="3" spans="1:9" x14ac:dyDescent="0.25">
      <c r="A3" s="225" t="s">
        <v>236</v>
      </c>
      <c r="B3" s="224"/>
      <c r="C3" s="224"/>
      <c r="D3" s="224"/>
      <c r="E3" s="224"/>
      <c r="F3" s="224"/>
      <c r="G3" s="224"/>
      <c r="H3" s="224"/>
    </row>
    <row r="4" spans="1:9" x14ac:dyDescent="0.25">
      <c r="A4" s="224" t="s">
        <v>40</v>
      </c>
      <c r="B4" s="224"/>
      <c r="C4" s="224"/>
      <c r="D4" s="224"/>
      <c r="E4" s="224"/>
      <c r="F4" s="224"/>
      <c r="G4" s="224"/>
      <c r="H4" s="224"/>
    </row>
    <row r="5" spans="1:9" ht="13.5" customHeight="1" x14ac:dyDescent="0.25">
      <c r="E5" s="4"/>
      <c r="F5" s="4"/>
      <c r="G5" s="4"/>
      <c r="H5" s="4"/>
    </row>
    <row r="6" spans="1:9" ht="13.5" customHeight="1" x14ac:dyDescent="0.25">
      <c r="E6" s="4"/>
      <c r="F6" s="64" t="s">
        <v>240</v>
      </c>
      <c r="G6" s="64" t="s">
        <v>181</v>
      </c>
      <c r="H6" s="64" t="s">
        <v>181</v>
      </c>
    </row>
    <row r="7" spans="1:9" ht="17.25" x14ac:dyDescent="0.25">
      <c r="B7" s="4"/>
      <c r="C7" s="4"/>
      <c r="D7" s="23" t="s">
        <v>71</v>
      </c>
      <c r="E7" s="3"/>
      <c r="F7" s="64" t="s">
        <v>4</v>
      </c>
      <c r="G7" s="4" t="s">
        <v>5</v>
      </c>
      <c r="H7" s="4" t="s">
        <v>5</v>
      </c>
    </row>
    <row r="8" spans="1:9" x14ac:dyDescent="0.25">
      <c r="A8" s="5" t="s">
        <v>1</v>
      </c>
      <c r="B8" s="4"/>
      <c r="C8" s="4"/>
      <c r="D8" s="223" t="s">
        <v>87</v>
      </c>
      <c r="E8" s="3" t="s">
        <v>3</v>
      </c>
      <c r="F8" s="64" t="s">
        <v>10</v>
      </c>
      <c r="G8" s="23" t="s">
        <v>242</v>
      </c>
      <c r="H8" s="23" t="s">
        <v>12</v>
      </c>
    </row>
    <row r="9" spans="1:9" x14ac:dyDescent="0.25">
      <c r="A9" s="6" t="s">
        <v>6</v>
      </c>
      <c r="B9" s="6" t="s">
        <v>7</v>
      </c>
      <c r="C9" s="6" t="s">
        <v>8</v>
      </c>
      <c r="D9" s="51" t="s">
        <v>107</v>
      </c>
      <c r="E9" s="6" t="s">
        <v>9</v>
      </c>
      <c r="F9" s="65" t="s">
        <v>241</v>
      </c>
      <c r="G9" s="65" t="s">
        <v>241</v>
      </c>
      <c r="H9" s="65" t="s">
        <v>241</v>
      </c>
    </row>
    <row r="10" spans="1:9" x14ac:dyDescent="0.25">
      <c r="B10" s="5" t="s">
        <v>13</v>
      </c>
      <c r="C10" s="5" t="s">
        <v>14</v>
      </c>
      <c r="D10" s="7" t="s">
        <v>15</v>
      </c>
      <c r="E10" s="23" t="s">
        <v>16</v>
      </c>
      <c r="F10" s="7" t="s">
        <v>17</v>
      </c>
      <c r="G10" s="23" t="s">
        <v>18</v>
      </c>
      <c r="H10" s="24" t="s">
        <v>19</v>
      </c>
      <c r="I10" s="3"/>
    </row>
    <row r="11" spans="1:9" x14ac:dyDescent="0.25">
      <c r="A11" s="5">
        <v>1</v>
      </c>
      <c r="B11" s="1" t="s">
        <v>20</v>
      </c>
      <c r="C11" s="5">
        <v>23</v>
      </c>
      <c r="D11" s="8">
        <f>SUM('CCA Therm Forecast'!G81:G82)</f>
        <v>237030173</v>
      </c>
      <c r="E11" s="9">
        <f>D11/$D$24</f>
        <v>0.55878475770968261</v>
      </c>
      <c r="F11" s="10">
        <f>$F$26*E11</f>
        <v>58540349.885723174</v>
      </c>
      <c r="G11" s="11">
        <f>ROUND(F11/D11,5)</f>
        <v>0.24697</v>
      </c>
      <c r="H11" s="12"/>
    </row>
    <row r="12" spans="1:9" x14ac:dyDescent="0.25">
      <c r="A12" s="5">
        <f>A11+1</f>
        <v>2</v>
      </c>
      <c r="B12" s="1" t="s">
        <v>21</v>
      </c>
      <c r="C12" s="5">
        <v>16</v>
      </c>
      <c r="D12" s="8">
        <f>'CCA Therm Forecast'!G80</f>
        <v>2945</v>
      </c>
      <c r="E12" s="62">
        <f t="shared" ref="E12:E23" si="0">D12/$D$24</f>
        <v>6.9426651072604806E-6</v>
      </c>
      <c r="F12" s="10">
        <f t="shared" ref="F12:F23" si="1">$F$26*E12</f>
        <v>727.3391747195609</v>
      </c>
      <c r="G12" s="11">
        <f t="shared" ref="G12:G23" si="2">ROUND(F12/D12,5)</f>
        <v>0.24697</v>
      </c>
      <c r="H12" s="12">
        <f>ROUND(G12*19,2)</f>
        <v>4.6900000000000004</v>
      </c>
    </row>
    <row r="13" spans="1:9" x14ac:dyDescent="0.25">
      <c r="A13" s="5">
        <f t="shared" ref="A13:A26" si="3">A12+1</f>
        <v>3</v>
      </c>
      <c r="B13" s="1" t="s">
        <v>22</v>
      </c>
      <c r="C13" s="5">
        <v>31</v>
      </c>
      <c r="D13" s="8">
        <f>'CCA Therm Forecast'!G83</f>
        <v>101406651.59263071</v>
      </c>
      <c r="E13" s="9">
        <f t="shared" si="0"/>
        <v>0.23906024504457646</v>
      </c>
      <c r="F13" s="10">
        <f t="shared" si="1"/>
        <v>25044832.013737883</v>
      </c>
      <c r="G13" s="11">
        <f t="shared" si="2"/>
        <v>0.24697</v>
      </c>
      <c r="H13" s="11"/>
    </row>
    <row r="14" spans="1:9" x14ac:dyDescent="0.25">
      <c r="A14" s="5">
        <f t="shared" si="3"/>
        <v>4</v>
      </c>
      <c r="B14" s="1" t="s">
        <v>23</v>
      </c>
      <c r="C14" s="5">
        <v>41</v>
      </c>
      <c r="D14" s="8">
        <f>'CCA Therm Forecast'!G84</f>
        <v>28452770.755159236</v>
      </c>
      <c r="E14" s="9">
        <f t="shared" si="0"/>
        <v>6.7075741503132585E-2</v>
      </c>
      <c r="F14" s="10">
        <f t="shared" si="1"/>
        <v>7027101.7995050512</v>
      </c>
      <c r="G14" s="11">
        <f t="shared" si="2"/>
        <v>0.24697</v>
      </c>
      <c r="H14" s="11"/>
    </row>
    <row r="15" spans="1:9" x14ac:dyDescent="0.25">
      <c r="A15" s="5">
        <f t="shared" si="3"/>
        <v>5</v>
      </c>
      <c r="B15" s="1" t="s">
        <v>24</v>
      </c>
      <c r="C15" s="5">
        <v>85</v>
      </c>
      <c r="D15" s="8">
        <f>'CCA Therm Forecast'!G85</f>
        <v>3995124.4247881505</v>
      </c>
      <c r="E15" s="9">
        <f t="shared" si="0"/>
        <v>9.4182719671106249E-3</v>
      </c>
      <c r="F15" s="10">
        <f t="shared" si="1"/>
        <v>986692.86995836126</v>
      </c>
      <c r="G15" s="11">
        <f t="shared" si="2"/>
        <v>0.24697</v>
      </c>
      <c r="H15" s="11"/>
    </row>
    <row r="16" spans="1:9" x14ac:dyDescent="0.25">
      <c r="A16" s="5">
        <f t="shared" si="3"/>
        <v>6</v>
      </c>
      <c r="B16" s="1" t="s">
        <v>25</v>
      </c>
      <c r="C16" s="5">
        <v>86</v>
      </c>
      <c r="D16" s="8">
        <f>'CCA Therm Forecast'!G86</f>
        <v>2027748</v>
      </c>
      <c r="E16" s="9">
        <f t="shared" si="0"/>
        <v>4.7802972108377676E-3</v>
      </c>
      <c r="F16" s="10">
        <f t="shared" si="1"/>
        <v>500801.54732062487</v>
      </c>
      <c r="G16" s="11">
        <f t="shared" si="2"/>
        <v>0.24697</v>
      </c>
      <c r="H16" s="11"/>
    </row>
    <row r="17" spans="1:8" x14ac:dyDescent="0.25">
      <c r="A17" s="5">
        <f t="shared" si="3"/>
        <v>7</v>
      </c>
      <c r="B17" s="1" t="s">
        <v>26</v>
      </c>
      <c r="C17" s="5">
        <v>87</v>
      </c>
      <c r="D17" s="8">
        <f>'CCA Therm Forecast'!G87</f>
        <v>529173.38832380553</v>
      </c>
      <c r="E17" s="9">
        <f t="shared" si="0"/>
        <v>1.2474952865217266E-3</v>
      </c>
      <c r="F17" s="10">
        <f t="shared" si="1"/>
        <v>130692.20222308673</v>
      </c>
      <c r="G17" s="11">
        <f t="shared" si="2"/>
        <v>0.24697</v>
      </c>
      <c r="H17" s="11"/>
    </row>
    <row r="18" spans="1:8" x14ac:dyDescent="0.25">
      <c r="A18" s="5">
        <f t="shared" si="3"/>
        <v>8</v>
      </c>
      <c r="B18" s="1" t="s">
        <v>27</v>
      </c>
      <c r="C18" s="5" t="s">
        <v>28</v>
      </c>
      <c r="D18" s="8">
        <f>'CCA Therm Forecast'!G88</f>
        <v>15141</v>
      </c>
      <c r="E18" s="9">
        <f t="shared" si="0"/>
        <v>3.5694021184730369E-5</v>
      </c>
      <c r="F18" s="10">
        <f t="shared" si="1"/>
        <v>3739.4371627941841</v>
      </c>
      <c r="G18" s="11">
        <f t="shared" si="2"/>
        <v>0.24697</v>
      </c>
      <c r="H18" s="11"/>
    </row>
    <row r="19" spans="1:8" x14ac:dyDescent="0.25">
      <c r="A19" s="5">
        <f t="shared" si="3"/>
        <v>9</v>
      </c>
      <c r="B19" s="1" t="s">
        <v>29</v>
      </c>
      <c r="C19" s="5" t="s">
        <v>30</v>
      </c>
      <c r="D19" s="8">
        <f>'CCA Therm Forecast'!G89</f>
        <v>9596298</v>
      </c>
      <c r="E19" s="9">
        <f t="shared" si="0"/>
        <v>2.2622710792350946E-2</v>
      </c>
      <c r="F19" s="10">
        <f t="shared" si="1"/>
        <v>2370038.5289246091</v>
      </c>
      <c r="G19" s="11">
        <f t="shared" si="2"/>
        <v>0.24697</v>
      </c>
      <c r="H19" s="11"/>
    </row>
    <row r="20" spans="1:8" x14ac:dyDescent="0.25">
      <c r="A20" s="5">
        <f t="shared" si="3"/>
        <v>10</v>
      </c>
      <c r="B20" s="1" t="s">
        <v>31</v>
      </c>
      <c r="C20" s="5" t="s">
        <v>32</v>
      </c>
      <c r="D20" s="8">
        <f>'CCA Therm Forecast'!G90</f>
        <v>28109638.626885779</v>
      </c>
      <c r="E20" s="9">
        <f t="shared" si="0"/>
        <v>6.6266827596801803E-2</v>
      </c>
      <c r="F20" s="10">
        <f t="shared" si="1"/>
        <v>6942356.9984869929</v>
      </c>
      <c r="G20" s="11">
        <f t="shared" si="2"/>
        <v>0.24697</v>
      </c>
      <c r="H20" s="11"/>
    </row>
    <row r="21" spans="1:8" x14ac:dyDescent="0.25">
      <c r="A21" s="5">
        <f t="shared" si="3"/>
        <v>11</v>
      </c>
      <c r="B21" s="1" t="s">
        <v>33</v>
      </c>
      <c r="C21" s="5" t="s">
        <v>34</v>
      </c>
      <c r="D21" s="8">
        <f>'CCA Therm Forecast'!G91</f>
        <v>551738</v>
      </c>
      <c r="E21" s="9">
        <f t="shared" si="0"/>
        <v>1.300690037673916E-3</v>
      </c>
      <c r="F21" s="10">
        <f t="shared" si="1"/>
        <v>136265.08033324993</v>
      </c>
      <c r="G21" s="11">
        <f t="shared" si="2"/>
        <v>0.24697</v>
      </c>
      <c r="H21" s="11"/>
    </row>
    <row r="22" spans="1:8" x14ac:dyDescent="0.25">
      <c r="A22" s="5">
        <f t="shared" si="3"/>
        <v>12</v>
      </c>
      <c r="B22" s="1" t="s">
        <v>35</v>
      </c>
      <c r="C22" s="5" t="s">
        <v>36</v>
      </c>
      <c r="D22" s="8">
        <f>'CCA Therm Forecast'!G92</f>
        <v>5755133.3500792636</v>
      </c>
      <c r="E22" s="9">
        <f t="shared" si="0"/>
        <v>1.3567389982080277E-2</v>
      </c>
      <c r="F22" s="10">
        <f t="shared" si="1"/>
        <v>1421369.7593370706</v>
      </c>
      <c r="G22" s="11">
        <f t="shared" si="2"/>
        <v>0.24697</v>
      </c>
      <c r="H22" s="11"/>
    </row>
    <row r="23" spans="1:8" x14ac:dyDescent="0.25">
      <c r="A23" s="5">
        <f t="shared" si="3"/>
        <v>13</v>
      </c>
      <c r="B23" s="1" t="s">
        <v>37</v>
      </c>
      <c r="D23" s="8">
        <f>'CCA Therm Forecast'!G93</f>
        <v>6716152.4196225004</v>
      </c>
      <c r="E23" s="9">
        <f t="shared" si="0"/>
        <v>1.5832936182939281E-2</v>
      </c>
      <c r="F23" s="10">
        <f t="shared" si="1"/>
        <v>1658716.7260370159</v>
      </c>
      <c r="G23" s="11">
        <f t="shared" si="2"/>
        <v>0.24697</v>
      </c>
      <c r="H23" s="11"/>
    </row>
    <row r="24" spans="1:8" x14ac:dyDescent="0.25">
      <c r="A24" s="5">
        <f t="shared" si="3"/>
        <v>14</v>
      </c>
      <c r="B24" s="1" t="s">
        <v>2</v>
      </c>
      <c r="D24" s="20">
        <f>SUM(D11:D23)</f>
        <v>424188687.55748945</v>
      </c>
      <c r="E24" s="21">
        <f>SUM(E11:E23)</f>
        <v>0.99999999999999989</v>
      </c>
      <c r="F24" s="13">
        <f>SUM(F11:F23)</f>
        <v>104763684.18792464</v>
      </c>
      <c r="G24" s="14"/>
      <c r="H24" s="14"/>
    </row>
    <row r="25" spans="1:8" x14ac:dyDescent="0.25">
      <c r="A25" s="5">
        <f t="shared" si="3"/>
        <v>15</v>
      </c>
      <c r="D25" s="15"/>
    </row>
    <row r="26" spans="1:8" x14ac:dyDescent="0.25">
      <c r="A26" s="5">
        <f t="shared" si="3"/>
        <v>16</v>
      </c>
      <c r="B26" s="1" t="s">
        <v>38</v>
      </c>
      <c r="E26" s="16"/>
      <c r="F26" s="92">
        <f>'Forecast Rev Req'!E12</f>
        <v>104763684.18792464</v>
      </c>
      <c r="G26" s="17"/>
      <c r="H26" s="17"/>
    </row>
    <row r="27" spans="1:8" x14ac:dyDescent="0.25">
      <c r="A27" s="5"/>
      <c r="E27" s="16"/>
      <c r="F27" s="16"/>
      <c r="G27" s="10"/>
      <c r="H27" s="10"/>
    </row>
    <row r="28" spans="1:8" ht="17.25" x14ac:dyDescent="0.25">
      <c r="A28" s="5"/>
      <c r="B28" s="44" t="s">
        <v>207</v>
      </c>
      <c r="D28" s="5"/>
      <c r="E28" s="16"/>
      <c r="F28" s="16"/>
      <c r="G28" s="10"/>
      <c r="H28" s="10"/>
    </row>
    <row r="29" spans="1:8" x14ac:dyDescent="0.25">
      <c r="D29" s="5"/>
    </row>
    <row r="30" spans="1:8" x14ac:dyDescent="0.25">
      <c r="D30" s="22"/>
    </row>
    <row r="31" spans="1:8" x14ac:dyDescent="0.25">
      <c r="D31" s="18"/>
    </row>
    <row r="32" spans="1:8" x14ac:dyDescent="0.25">
      <c r="D32" s="18"/>
      <c r="F32" s="10"/>
    </row>
    <row r="33" spans="4:4" x14ac:dyDescent="0.25">
      <c r="D33" s="18"/>
    </row>
    <row r="34" spans="4:4" x14ac:dyDescent="0.25">
      <c r="D34" s="18"/>
    </row>
    <row r="35" spans="4:4" x14ac:dyDescent="0.25">
      <c r="D35" s="19"/>
    </row>
  </sheetData>
  <mergeCells count="3">
    <mergeCell ref="A1:H1"/>
    <mergeCell ref="A3:H3"/>
    <mergeCell ref="A4:H4"/>
  </mergeCells>
  <printOptions horizontalCentered="1"/>
  <pageMargins left="0.45" right="0.45" top="0.75" bottom="0.75" header="0.3" footer="0.3"/>
  <pageSetup scale="97" orientation="landscape" blackAndWhite="1" r:id="rId1"/>
  <headerFooter>
    <oddFooter>&amp;L&amp;F 
&amp;A&amp;C&amp;P&amp;R&amp;D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zoomScale="90" zoomScaleNormal="90" workbookViewId="0">
      <selection activeCell="K25" sqref="K25"/>
    </sheetView>
  </sheetViews>
  <sheetFormatPr defaultColWidth="8.7109375" defaultRowHeight="15" x14ac:dyDescent="0.25"/>
  <cols>
    <col min="1" max="1" width="37.7109375" style="44" customWidth="1"/>
    <col min="2" max="2" width="9.140625" style="44" bestFit="1" customWidth="1"/>
    <col min="3" max="3" width="18.5703125" style="44" bestFit="1" customWidth="1"/>
    <col min="4" max="5" width="13.7109375" style="44" customWidth="1"/>
    <col min="6" max="6" width="14.42578125" style="44" customWidth="1"/>
    <col min="7" max="8" width="15.28515625" style="44" bestFit="1" customWidth="1"/>
    <col min="9" max="9" width="7.85546875" style="44" bestFit="1" customWidth="1"/>
    <col min="10" max="16384" width="8.7109375" style="44"/>
  </cols>
  <sheetData>
    <row r="1" spans="1:21" s="139" customFormat="1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95"/>
    </row>
    <row r="2" spans="1:21" s="139" customFormat="1" x14ac:dyDescent="0.25">
      <c r="A2" s="225" t="s">
        <v>214</v>
      </c>
      <c r="B2" s="230"/>
      <c r="C2" s="230"/>
      <c r="D2" s="230"/>
      <c r="E2" s="230"/>
      <c r="F2" s="230"/>
      <c r="G2" s="230"/>
      <c r="H2" s="230"/>
      <c r="I2" s="230"/>
      <c r="J2" s="167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</row>
    <row r="3" spans="1:21" s="139" customFormat="1" x14ac:dyDescent="0.25">
      <c r="A3" s="225" t="s">
        <v>179</v>
      </c>
      <c r="B3" s="225"/>
      <c r="C3" s="225"/>
      <c r="D3" s="225"/>
      <c r="E3" s="225"/>
      <c r="F3" s="225"/>
      <c r="G3" s="225"/>
      <c r="H3" s="225"/>
      <c r="I3" s="225"/>
      <c r="J3" s="95"/>
    </row>
    <row r="4" spans="1:21" s="139" customFormat="1" x14ac:dyDescent="0.25">
      <c r="A4" s="225" t="s">
        <v>40</v>
      </c>
      <c r="B4" s="225"/>
      <c r="C4" s="225"/>
      <c r="D4" s="225"/>
      <c r="E4" s="225"/>
      <c r="F4" s="225"/>
      <c r="G4" s="225"/>
      <c r="H4" s="225"/>
      <c r="I4" s="225"/>
      <c r="J4" s="95"/>
    </row>
    <row r="5" spans="1:21" x14ac:dyDescent="0.25">
      <c r="D5" s="180"/>
      <c r="E5" s="180"/>
    </row>
    <row r="6" spans="1:21" x14ac:dyDescent="0.25">
      <c r="A6" s="217" t="s">
        <v>216</v>
      </c>
      <c r="D6" s="181"/>
      <c r="E6" s="181"/>
    </row>
    <row r="7" spans="1:21" x14ac:dyDescent="0.25">
      <c r="A7" s="64"/>
      <c r="B7" s="64"/>
      <c r="C7" s="64" t="s">
        <v>80</v>
      </c>
      <c r="D7" s="64" t="s">
        <v>180</v>
      </c>
      <c r="E7" s="64" t="s">
        <v>181</v>
      </c>
      <c r="F7" s="169" t="s">
        <v>80</v>
      </c>
      <c r="G7" s="169" t="s">
        <v>80</v>
      </c>
      <c r="H7" s="64" t="s">
        <v>182</v>
      </c>
      <c r="I7" s="64"/>
      <c r="R7" s="170"/>
      <c r="S7" s="170"/>
      <c r="T7" s="170"/>
    </row>
    <row r="8" spans="1:21" x14ac:dyDescent="0.25">
      <c r="A8" s="64"/>
      <c r="B8" s="64" t="s">
        <v>11</v>
      </c>
      <c r="C8" s="64" t="s">
        <v>185</v>
      </c>
      <c r="D8" s="64" t="s">
        <v>182</v>
      </c>
      <c r="E8" s="64" t="s">
        <v>182</v>
      </c>
      <c r="F8" s="169" t="s">
        <v>4</v>
      </c>
      <c r="G8" s="169" t="s">
        <v>4</v>
      </c>
      <c r="H8" s="64" t="s">
        <v>4</v>
      </c>
      <c r="I8" s="64" t="s">
        <v>100</v>
      </c>
      <c r="R8" s="170"/>
      <c r="S8" s="170"/>
      <c r="T8" s="170"/>
    </row>
    <row r="9" spans="1:21" x14ac:dyDescent="0.25">
      <c r="A9" s="65" t="s">
        <v>7</v>
      </c>
      <c r="B9" s="65" t="s">
        <v>103</v>
      </c>
      <c r="C9" s="171" t="str">
        <f>'Rate Impacts Sch 111'!$T$7</f>
        <v>5ME Dec. 2023</v>
      </c>
      <c r="D9" s="65" t="s">
        <v>186</v>
      </c>
      <c r="E9" s="65" t="s">
        <v>186</v>
      </c>
      <c r="F9" s="144" t="s">
        <v>149</v>
      </c>
      <c r="G9" s="144" t="s">
        <v>184</v>
      </c>
      <c r="H9" s="65" t="s">
        <v>109</v>
      </c>
      <c r="I9" s="65" t="s">
        <v>109</v>
      </c>
      <c r="R9" s="170"/>
      <c r="S9" s="172"/>
      <c r="T9" s="170"/>
    </row>
    <row r="10" spans="1:21" x14ac:dyDescent="0.25">
      <c r="A10" s="44" t="s">
        <v>20</v>
      </c>
      <c r="B10" s="180">
        <v>23</v>
      </c>
      <c r="C10" s="212">
        <v>3998230</v>
      </c>
      <c r="D10" s="173">
        <v>0</v>
      </c>
      <c r="E10" s="149">
        <f>'Sch. 111 Non-Vol Credit Rates'!H11</f>
        <v>-12.1</v>
      </c>
      <c r="F10" s="108">
        <f>C10*D10</f>
        <v>0</v>
      </c>
      <c r="G10" s="108">
        <f>C10*E10</f>
        <v>-48378583</v>
      </c>
      <c r="H10" s="66">
        <f>G10-F10</f>
        <v>-48378583</v>
      </c>
      <c r="I10" s="74">
        <f>IF(D10=0,1,H10/F10)</f>
        <v>1</v>
      </c>
      <c r="R10" s="170"/>
      <c r="S10" s="175"/>
      <c r="T10" s="170"/>
    </row>
    <row r="11" spans="1:21" x14ac:dyDescent="0.25">
      <c r="A11" s="44" t="s">
        <v>21</v>
      </c>
      <c r="B11" s="180">
        <v>16</v>
      </c>
      <c r="C11" s="52">
        <v>155</v>
      </c>
      <c r="D11" s="173">
        <v>0</v>
      </c>
      <c r="E11" s="149">
        <f>'Sch. 111 Non-Vol Credit Rates'!H12</f>
        <v>-3.88</v>
      </c>
      <c r="F11" s="108">
        <f t="shared" ref="F11:F21" si="0">C11*D11</f>
        <v>0</v>
      </c>
      <c r="G11" s="108">
        <f t="shared" ref="G11:G22" si="1">C11*E11</f>
        <v>-601.4</v>
      </c>
      <c r="H11" s="66">
        <f t="shared" ref="H11:H22" si="2">G11-F11</f>
        <v>-601.4</v>
      </c>
      <c r="I11" s="74">
        <f t="shared" ref="I11:I23" si="3">IF(D11=0,1,H11/F11)</f>
        <v>1</v>
      </c>
      <c r="R11" s="170"/>
      <c r="S11" s="170"/>
      <c r="T11" s="170"/>
    </row>
    <row r="12" spans="1:21" x14ac:dyDescent="0.25">
      <c r="A12" s="44" t="s">
        <v>22</v>
      </c>
      <c r="B12" s="180">
        <v>31</v>
      </c>
      <c r="C12" s="212">
        <v>286089</v>
      </c>
      <c r="D12" s="173">
        <v>0</v>
      </c>
      <c r="E12" s="149">
        <f>'Sch. 111 Non-Vol Credit Rates'!H13</f>
        <v>-72.34</v>
      </c>
      <c r="F12" s="108">
        <f t="shared" si="0"/>
        <v>0</v>
      </c>
      <c r="G12" s="108">
        <f t="shared" si="1"/>
        <v>-20695678.260000002</v>
      </c>
      <c r="H12" s="66">
        <f t="shared" si="2"/>
        <v>-20695678.260000002</v>
      </c>
      <c r="I12" s="74">
        <f t="shared" si="3"/>
        <v>1</v>
      </c>
      <c r="R12" s="170"/>
      <c r="S12" s="170"/>
      <c r="T12" s="170"/>
    </row>
    <row r="13" spans="1:21" x14ac:dyDescent="0.25">
      <c r="A13" s="44" t="s">
        <v>23</v>
      </c>
      <c r="B13" s="180">
        <v>41</v>
      </c>
      <c r="C13" s="212">
        <v>6309</v>
      </c>
      <c r="D13" s="173">
        <v>0</v>
      </c>
      <c r="E13" s="149">
        <f>'Sch. 111 Non-Vol Credit Rates'!H14</f>
        <v>-920.44</v>
      </c>
      <c r="F13" s="108">
        <f t="shared" si="0"/>
        <v>0</v>
      </c>
      <c r="G13" s="108">
        <f t="shared" si="1"/>
        <v>-5807055.96</v>
      </c>
      <c r="H13" s="66">
        <f t="shared" si="2"/>
        <v>-5807055.96</v>
      </c>
      <c r="I13" s="74">
        <f t="shared" si="3"/>
        <v>1</v>
      </c>
    </row>
    <row r="14" spans="1:21" x14ac:dyDescent="0.25">
      <c r="A14" s="44" t="s">
        <v>24</v>
      </c>
      <c r="B14" s="180">
        <v>85</v>
      </c>
      <c r="C14" s="212">
        <v>145</v>
      </c>
      <c r="D14" s="173">
        <v>0</v>
      </c>
      <c r="E14" s="149">
        <f>'Sch. 111 Non-Vol Credit Rates'!H15</f>
        <v>-5623.33</v>
      </c>
      <c r="F14" s="108">
        <f t="shared" si="0"/>
        <v>0</v>
      </c>
      <c r="G14" s="108">
        <f t="shared" si="1"/>
        <v>-815382.85</v>
      </c>
      <c r="H14" s="66">
        <f t="shared" si="2"/>
        <v>-815382.85</v>
      </c>
      <c r="I14" s="74">
        <f t="shared" si="3"/>
        <v>1</v>
      </c>
    </row>
    <row r="15" spans="1:21" x14ac:dyDescent="0.25">
      <c r="A15" s="44" t="s">
        <v>25</v>
      </c>
      <c r="B15" s="180">
        <v>86</v>
      </c>
      <c r="C15" s="212">
        <v>479</v>
      </c>
      <c r="D15" s="173">
        <v>0</v>
      </c>
      <c r="E15" s="149">
        <f>'Sch. 111 Non-Vol Credit Rates'!H16</f>
        <v>-863.99</v>
      </c>
      <c r="F15" s="108">
        <f t="shared" si="0"/>
        <v>0</v>
      </c>
      <c r="G15" s="108">
        <f t="shared" si="1"/>
        <v>-413851.21</v>
      </c>
      <c r="H15" s="66">
        <f t="shared" si="2"/>
        <v>-413851.21</v>
      </c>
      <c r="I15" s="74">
        <f t="shared" si="3"/>
        <v>1</v>
      </c>
    </row>
    <row r="16" spans="1:21" x14ac:dyDescent="0.25">
      <c r="A16" s="44" t="s">
        <v>26</v>
      </c>
      <c r="B16" s="180">
        <v>87</v>
      </c>
      <c r="C16" s="212">
        <v>10</v>
      </c>
      <c r="D16" s="173">
        <v>0</v>
      </c>
      <c r="E16" s="149">
        <f>'Sch. 111 Non-Vol Credit Rates'!H17</f>
        <v>-10800.13</v>
      </c>
      <c r="F16" s="108">
        <f t="shared" si="0"/>
        <v>0</v>
      </c>
      <c r="G16" s="108">
        <f t="shared" si="1"/>
        <v>-108001.29999999999</v>
      </c>
      <c r="H16" s="66">
        <f t="shared" si="2"/>
        <v>-108001.29999999999</v>
      </c>
      <c r="I16" s="74">
        <f t="shared" si="3"/>
        <v>1</v>
      </c>
    </row>
    <row r="17" spans="1:9" x14ac:dyDescent="0.25">
      <c r="A17" s="44" t="s">
        <v>27</v>
      </c>
      <c r="B17" s="180" t="s">
        <v>28</v>
      </c>
      <c r="C17" s="212">
        <v>10</v>
      </c>
      <c r="D17" s="173">
        <v>0</v>
      </c>
      <c r="E17" s="149">
        <f>'Sch. 111 Non-Vol Credit Rates'!H18</f>
        <v>-309.02</v>
      </c>
      <c r="F17" s="108">
        <f t="shared" si="0"/>
        <v>0</v>
      </c>
      <c r="G17" s="108">
        <f t="shared" si="1"/>
        <v>-3090.2</v>
      </c>
      <c r="H17" s="66">
        <f t="shared" si="2"/>
        <v>-3090.2</v>
      </c>
      <c r="I17" s="74">
        <f t="shared" si="3"/>
        <v>1</v>
      </c>
    </row>
    <row r="18" spans="1:9" x14ac:dyDescent="0.25">
      <c r="A18" s="44" t="s">
        <v>29</v>
      </c>
      <c r="B18" s="180" t="s">
        <v>30</v>
      </c>
      <c r="C18" s="212">
        <v>510</v>
      </c>
      <c r="D18" s="173">
        <v>0</v>
      </c>
      <c r="E18" s="149">
        <f>'Sch. 111 Non-Vol Credit Rates'!H19</f>
        <v>-3840.3</v>
      </c>
      <c r="F18" s="108">
        <f t="shared" si="0"/>
        <v>0</v>
      </c>
      <c r="G18" s="108">
        <f t="shared" si="1"/>
        <v>-1958553</v>
      </c>
      <c r="H18" s="66">
        <f t="shared" si="2"/>
        <v>-1958553</v>
      </c>
      <c r="I18" s="74">
        <f t="shared" si="3"/>
        <v>1</v>
      </c>
    </row>
    <row r="19" spans="1:9" x14ac:dyDescent="0.25">
      <c r="A19" s="44" t="s">
        <v>31</v>
      </c>
      <c r="B19" s="180" t="s">
        <v>32</v>
      </c>
      <c r="C19" s="212">
        <v>440</v>
      </c>
      <c r="D19" s="173">
        <v>0</v>
      </c>
      <c r="E19" s="149">
        <f>'Sch. 111 Non-Vol Credit Rates'!H20</f>
        <v>-13038.68</v>
      </c>
      <c r="F19" s="108">
        <f t="shared" si="0"/>
        <v>0</v>
      </c>
      <c r="G19" s="108">
        <f t="shared" si="1"/>
        <v>-5737019.2000000002</v>
      </c>
      <c r="H19" s="66">
        <f t="shared" si="2"/>
        <v>-5737019.2000000002</v>
      </c>
      <c r="I19" s="74">
        <f t="shared" si="3"/>
        <v>1</v>
      </c>
    </row>
    <row r="20" spans="1:9" x14ac:dyDescent="0.25">
      <c r="A20" s="44" t="s">
        <v>33</v>
      </c>
      <c r="B20" s="180" t="s">
        <v>34</v>
      </c>
      <c r="C20" s="212">
        <v>30</v>
      </c>
      <c r="D20" s="173">
        <v>0</v>
      </c>
      <c r="E20" s="149">
        <f>'Sch. 111 Non-Vol Credit Rates'!H21</f>
        <v>-3753.55</v>
      </c>
      <c r="F20" s="108">
        <f t="shared" si="0"/>
        <v>0</v>
      </c>
      <c r="G20" s="108">
        <f t="shared" si="1"/>
        <v>-112606.5</v>
      </c>
      <c r="H20" s="66">
        <f t="shared" si="2"/>
        <v>-112606.5</v>
      </c>
      <c r="I20" s="74">
        <f t="shared" si="3"/>
        <v>1</v>
      </c>
    </row>
    <row r="21" spans="1:9" x14ac:dyDescent="0.25">
      <c r="A21" s="44" t="s">
        <v>35</v>
      </c>
      <c r="B21" s="180" t="s">
        <v>36</v>
      </c>
      <c r="C21" s="212">
        <v>15</v>
      </c>
      <c r="D21" s="173">
        <v>0</v>
      </c>
      <c r="E21" s="149">
        <f>'Sch. 111 Non-Vol Credit Rates'!H22</f>
        <v>-78306.03</v>
      </c>
      <c r="F21" s="108">
        <f t="shared" si="0"/>
        <v>0</v>
      </c>
      <c r="G21" s="108">
        <f t="shared" si="1"/>
        <v>-1174590.45</v>
      </c>
      <c r="H21" s="66">
        <f t="shared" si="2"/>
        <v>-1174590.45</v>
      </c>
      <c r="I21" s="74">
        <f t="shared" si="3"/>
        <v>1</v>
      </c>
    </row>
    <row r="22" spans="1:9" x14ac:dyDescent="0.25">
      <c r="A22" s="44" t="s">
        <v>37</v>
      </c>
      <c r="B22" s="180"/>
      <c r="C22" s="212">
        <v>40</v>
      </c>
      <c r="D22" s="173">
        <v>0</v>
      </c>
      <c r="E22" s="149">
        <f>'Sch. 111 Non-Vol Credit Rates'!H23</f>
        <v>-34268.230000000003</v>
      </c>
      <c r="F22" s="108">
        <f>C22*D22</f>
        <v>0</v>
      </c>
      <c r="G22" s="108">
        <f t="shared" si="1"/>
        <v>-1370729.2000000002</v>
      </c>
      <c r="H22" s="66">
        <f t="shared" si="2"/>
        <v>-1370729.2000000002</v>
      </c>
      <c r="I22" s="74">
        <f t="shared" si="3"/>
        <v>1</v>
      </c>
    </row>
    <row r="23" spans="1:9" x14ac:dyDescent="0.25">
      <c r="A23" s="44" t="s">
        <v>2</v>
      </c>
      <c r="C23" s="56">
        <f>SUM(C10:C22)</f>
        <v>4292462</v>
      </c>
      <c r="D23" s="176"/>
      <c r="E23" s="176"/>
      <c r="F23" s="115">
        <f t="shared" ref="F23:H23" si="4">SUM(F10:F22)</f>
        <v>0</v>
      </c>
      <c r="G23" s="115">
        <f t="shared" si="4"/>
        <v>-86575742.529999986</v>
      </c>
      <c r="H23" s="72">
        <f t="shared" si="4"/>
        <v>-86575742.529999986</v>
      </c>
      <c r="I23" s="71">
        <f t="shared" si="3"/>
        <v>1</v>
      </c>
    </row>
    <row r="24" spans="1:9" x14ac:dyDescent="0.25">
      <c r="F24" s="66"/>
      <c r="G24" s="66"/>
    </row>
    <row r="25" spans="1:9" x14ac:dyDescent="0.25">
      <c r="A25" s="217" t="s">
        <v>217</v>
      </c>
      <c r="C25" s="57"/>
      <c r="F25" s="66"/>
      <c r="G25" s="66"/>
    </row>
    <row r="26" spans="1:9" x14ac:dyDescent="0.25">
      <c r="A26" s="64"/>
      <c r="B26" s="64"/>
      <c r="C26" s="64" t="s">
        <v>80</v>
      </c>
      <c r="D26" s="64" t="s">
        <v>180</v>
      </c>
      <c r="E26" s="64" t="s">
        <v>181</v>
      </c>
      <c r="F26" s="182" t="s">
        <v>80</v>
      </c>
      <c r="G26" s="182" t="s">
        <v>80</v>
      </c>
      <c r="H26" s="64" t="s">
        <v>182</v>
      </c>
      <c r="I26" s="64"/>
    </row>
    <row r="27" spans="1:9" x14ac:dyDescent="0.25">
      <c r="A27" s="64"/>
      <c r="B27" s="64" t="s">
        <v>11</v>
      </c>
      <c r="C27" s="64" t="s">
        <v>183</v>
      </c>
      <c r="D27" s="64" t="s">
        <v>182</v>
      </c>
      <c r="E27" s="64" t="s">
        <v>182</v>
      </c>
      <c r="F27" s="182" t="s">
        <v>4</v>
      </c>
      <c r="G27" s="182" t="s">
        <v>4</v>
      </c>
      <c r="H27" s="64" t="s">
        <v>4</v>
      </c>
      <c r="I27" s="64" t="s">
        <v>100</v>
      </c>
    </row>
    <row r="28" spans="1:9" x14ac:dyDescent="0.25">
      <c r="A28" s="65" t="s">
        <v>7</v>
      </c>
      <c r="B28" s="65" t="s">
        <v>103</v>
      </c>
      <c r="C28" s="171" t="str">
        <f>'Rate Impacts Sch 111'!$T$7</f>
        <v>5ME Dec. 2023</v>
      </c>
      <c r="D28" s="65" t="s">
        <v>215</v>
      </c>
      <c r="E28" s="65" t="s">
        <v>215</v>
      </c>
      <c r="F28" s="144" t="s">
        <v>149</v>
      </c>
      <c r="G28" s="144" t="s">
        <v>184</v>
      </c>
      <c r="H28" s="65" t="s">
        <v>109</v>
      </c>
      <c r="I28" s="65" t="s">
        <v>109</v>
      </c>
    </row>
    <row r="29" spans="1:9" x14ac:dyDescent="0.25">
      <c r="A29" s="44" t="s">
        <v>73</v>
      </c>
      <c r="B29" s="180">
        <v>23</v>
      </c>
      <c r="C29" s="212">
        <v>5518560.3455083277</v>
      </c>
      <c r="D29" s="173">
        <v>0</v>
      </c>
      <c r="E29" s="174">
        <f>'Sch. 111 Low Inc. Credit Rates'!$F$11</f>
        <v>-0.24697</v>
      </c>
      <c r="F29" s="108">
        <f>C29*D29</f>
        <v>0</v>
      </c>
      <c r="G29" s="108">
        <f>C29*E29</f>
        <v>-1362918.8485301917</v>
      </c>
      <c r="H29" s="66">
        <f>G29-F29</f>
        <v>-1362918.8485301917</v>
      </c>
      <c r="I29" s="74">
        <f>IF(D29=0,1,H29/F29)</f>
        <v>1</v>
      </c>
    </row>
    <row r="32" spans="1:9" x14ac:dyDescent="0.25">
      <c r="A32" s="218" t="s">
        <v>218</v>
      </c>
      <c r="B32" s="218"/>
      <c r="C32" s="218"/>
      <c r="D32" s="218"/>
      <c r="E32" s="218"/>
      <c r="F32" s="219">
        <f>SUM(F23,F29)</f>
        <v>0</v>
      </c>
      <c r="G32" s="219">
        <f>SUM(G23,G29)</f>
        <v>-87938661.378530174</v>
      </c>
      <c r="H32" s="219">
        <f>SUM(H23,H29)</f>
        <v>-87938661.378530174</v>
      </c>
      <c r="I32" s="220">
        <f>IF(D32=0,1,H32/F32)</f>
        <v>1</v>
      </c>
    </row>
    <row r="42" spans="2:2" ht="17.25" x14ac:dyDescent="0.25">
      <c r="B42" s="178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3" orientation="landscape" blackAndWhite="1" r:id="rId1"/>
  <headerFooter>
    <oddFooter>&amp;L&amp;F 
&amp;A&amp;C&amp;P&amp;R&amp;D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23" sqref="M23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zoomScale="85" zoomScaleNormal="85" workbookViewId="0">
      <selection activeCell="H39" sqref="H39"/>
    </sheetView>
  </sheetViews>
  <sheetFormatPr defaultColWidth="9.140625" defaultRowHeight="15" x14ac:dyDescent="0.25"/>
  <cols>
    <col min="1" max="1" width="9.140625" style="25"/>
    <col min="2" max="2" width="5.140625" style="25" customWidth="1"/>
    <col min="3" max="3" width="42.85546875" style="25" bestFit="1" customWidth="1"/>
    <col min="4" max="4" width="6" style="25" customWidth="1"/>
    <col min="5" max="5" width="20.42578125" style="25" customWidth="1"/>
    <col min="6" max="6" width="31.140625" style="25" bestFit="1" customWidth="1"/>
    <col min="7" max="8" width="10.140625" bestFit="1" customWidth="1"/>
    <col min="9" max="16384" width="9.140625" style="25"/>
  </cols>
  <sheetData>
    <row r="2" spans="2:8" ht="18.75" x14ac:dyDescent="0.3">
      <c r="C2" s="26"/>
    </row>
    <row r="3" spans="2:8" ht="18.75" x14ac:dyDescent="0.3">
      <c r="B3" s="27" t="s">
        <v>42</v>
      </c>
      <c r="C3" s="28"/>
      <c r="D3" s="29"/>
      <c r="E3" s="29"/>
    </row>
    <row r="4" spans="2:8" s="32" customFormat="1" ht="18.75" x14ac:dyDescent="0.3">
      <c r="B4" s="30"/>
      <c r="C4" s="31"/>
      <c r="G4"/>
      <c r="H4"/>
    </row>
    <row r="5" spans="2:8" ht="15.75" x14ac:dyDescent="0.25">
      <c r="B5" s="91">
        <f t="shared" ref="B5:B12" si="0">+ROW()</f>
        <v>5</v>
      </c>
      <c r="C5" s="33" t="s">
        <v>43</v>
      </c>
      <c r="D5" s="33"/>
      <c r="E5" s="34"/>
    </row>
    <row r="6" spans="2:8" x14ac:dyDescent="0.25">
      <c r="B6" s="91">
        <f t="shared" si="0"/>
        <v>6</v>
      </c>
      <c r="E6" s="35" t="s">
        <v>44</v>
      </c>
    </row>
    <row r="7" spans="2:8" x14ac:dyDescent="0.25">
      <c r="B7" s="91">
        <f t="shared" si="0"/>
        <v>7</v>
      </c>
      <c r="C7" s="25" t="s">
        <v>45</v>
      </c>
      <c r="E7" s="35" t="s">
        <v>46</v>
      </c>
    </row>
    <row r="8" spans="2:8" x14ac:dyDescent="0.25">
      <c r="B8" s="91">
        <f t="shared" si="0"/>
        <v>8</v>
      </c>
      <c r="C8" s="25" t="s">
        <v>47</v>
      </c>
      <c r="E8" s="36">
        <v>99886337.933813661</v>
      </c>
    </row>
    <row r="9" spans="2:8" x14ac:dyDescent="0.25">
      <c r="B9" s="91">
        <f t="shared" si="0"/>
        <v>9</v>
      </c>
      <c r="C9" s="37" t="s">
        <v>48</v>
      </c>
      <c r="D9" s="38">
        <v>0.21</v>
      </c>
      <c r="E9" s="39">
        <f>-E8*D9</f>
        <v>-20976130.966100868</v>
      </c>
    </row>
    <row r="10" spans="2:8" x14ac:dyDescent="0.25">
      <c r="B10" s="91">
        <f t="shared" si="0"/>
        <v>10</v>
      </c>
      <c r="C10" s="37" t="s">
        <v>49</v>
      </c>
      <c r="D10" s="40"/>
      <c r="E10" s="41">
        <f>-E8-E9</f>
        <v>-78910206.96771279</v>
      </c>
    </row>
    <row r="11" spans="2:8" x14ac:dyDescent="0.25">
      <c r="B11" s="91">
        <f t="shared" si="0"/>
        <v>11</v>
      </c>
      <c r="C11" s="25" t="s">
        <v>50</v>
      </c>
      <c r="E11" s="25">
        <v>0.75322100000000003</v>
      </c>
    </row>
    <row r="12" spans="2:8" ht="15.75" thickBot="1" x14ac:dyDescent="0.3">
      <c r="B12" s="91">
        <f t="shared" si="0"/>
        <v>12</v>
      </c>
      <c r="C12" s="25" t="s">
        <v>51</v>
      </c>
      <c r="E12" s="42">
        <f>-E10/E11</f>
        <v>104763684.18792464</v>
      </c>
    </row>
    <row r="13" spans="2:8" ht="15.75" thickTop="1" x14ac:dyDescent="0.25"/>
    <row r="14" spans="2:8" ht="18.75" x14ac:dyDescent="0.3">
      <c r="B14" s="27" t="s">
        <v>52</v>
      </c>
      <c r="C14" s="29"/>
      <c r="D14" s="29"/>
      <c r="E14" s="29"/>
    </row>
    <row r="15" spans="2:8" s="32" customFormat="1" ht="18.75" x14ac:dyDescent="0.3">
      <c r="B15" s="30"/>
      <c r="G15"/>
      <c r="H15"/>
    </row>
    <row r="16" spans="2:8" ht="15.75" x14ac:dyDescent="0.25">
      <c r="B16" s="91">
        <f t="shared" ref="B16:B23" si="1">+ROW()</f>
        <v>16</v>
      </c>
      <c r="C16" s="33" t="s">
        <v>53</v>
      </c>
      <c r="D16" s="33"/>
      <c r="E16" s="34"/>
    </row>
    <row r="17" spans="2:6" x14ac:dyDescent="0.25">
      <c r="B17" s="91">
        <f t="shared" si="1"/>
        <v>17</v>
      </c>
      <c r="E17" s="35" t="s">
        <v>54</v>
      </c>
    </row>
    <row r="18" spans="2:6" x14ac:dyDescent="0.25">
      <c r="B18" s="91">
        <f t="shared" si="1"/>
        <v>18</v>
      </c>
      <c r="C18" s="25" t="s">
        <v>45</v>
      </c>
      <c r="E18" s="35" t="str">
        <f>+E7</f>
        <v>Aug-Dec 2023</v>
      </c>
    </row>
    <row r="19" spans="2:6" x14ac:dyDescent="0.25">
      <c r="B19" s="91">
        <f t="shared" si="1"/>
        <v>19</v>
      </c>
      <c r="C19" s="25" t="s">
        <v>55</v>
      </c>
      <c r="E19" s="36">
        <v>-83843464.684794679</v>
      </c>
    </row>
    <row r="20" spans="2:6" x14ac:dyDescent="0.25">
      <c r="B20" s="91">
        <f t="shared" si="1"/>
        <v>20</v>
      </c>
      <c r="C20" s="37" t="s">
        <v>48</v>
      </c>
      <c r="D20" s="38">
        <v>0.21</v>
      </c>
      <c r="E20" s="39">
        <f>-E19*D20</f>
        <v>17607127.583806884</v>
      </c>
    </row>
    <row r="21" spans="2:6" x14ac:dyDescent="0.25">
      <c r="B21" s="91">
        <f t="shared" si="1"/>
        <v>21</v>
      </c>
      <c r="C21" s="37" t="s">
        <v>49</v>
      </c>
      <c r="D21" s="40"/>
      <c r="E21" s="41">
        <f>-E19-E20</f>
        <v>66236337.100987792</v>
      </c>
    </row>
    <row r="22" spans="2:6" x14ac:dyDescent="0.25">
      <c r="B22" s="91">
        <f t="shared" si="1"/>
        <v>22</v>
      </c>
      <c r="C22" s="25" t="s">
        <v>50</v>
      </c>
      <c r="E22" s="25">
        <v>0.75322100000000003</v>
      </c>
    </row>
    <row r="23" spans="2:6" ht="15.75" thickBot="1" x14ac:dyDescent="0.3">
      <c r="B23" s="91">
        <f t="shared" si="1"/>
        <v>23</v>
      </c>
      <c r="C23" s="25" t="s">
        <v>51</v>
      </c>
      <c r="E23" s="42">
        <f>-E21/E22</f>
        <v>-87937454.081853524</v>
      </c>
    </row>
    <row r="24" spans="2:6" ht="15.75" thickTop="1" x14ac:dyDescent="0.25"/>
    <row r="25" spans="2:6" ht="18.75" x14ac:dyDescent="0.3">
      <c r="B25" s="27" t="s">
        <v>56</v>
      </c>
      <c r="C25" s="29"/>
      <c r="D25" s="29"/>
      <c r="E25" s="29"/>
    </row>
    <row r="27" spans="2:6" ht="15.75" x14ac:dyDescent="0.25">
      <c r="B27" s="91">
        <f t="shared" ref="B27:B34" si="2">+ROW()</f>
        <v>27</v>
      </c>
      <c r="C27" s="33" t="s">
        <v>57</v>
      </c>
      <c r="D27" s="33"/>
      <c r="E27" s="34"/>
    </row>
    <row r="28" spans="2:6" x14ac:dyDescent="0.25">
      <c r="B28" s="91">
        <f t="shared" si="2"/>
        <v>28</v>
      </c>
      <c r="E28" s="35" t="s">
        <v>58</v>
      </c>
      <c r="F28" s="43"/>
    </row>
    <row r="29" spans="2:6" x14ac:dyDescent="0.25">
      <c r="B29" s="91">
        <f t="shared" si="2"/>
        <v>29</v>
      </c>
      <c r="C29" s="25" t="s">
        <v>45</v>
      </c>
      <c r="E29" s="35" t="str">
        <f>+E7</f>
        <v>Aug-Dec 2023</v>
      </c>
      <c r="F29" s="43"/>
    </row>
    <row r="30" spans="2:6" x14ac:dyDescent="0.25">
      <c r="B30" s="91">
        <f t="shared" si="2"/>
        <v>30</v>
      </c>
      <c r="C30" s="25" t="s">
        <v>59</v>
      </c>
      <c r="E30" s="43">
        <f>+E19+E8</f>
        <v>16042873.249018982</v>
      </c>
      <c r="F30" s="43"/>
    </row>
    <row r="31" spans="2:6" x14ac:dyDescent="0.25">
      <c r="B31" s="91">
        <f t="shared" si="2"/>
        <v>31</v>
      </c>
      <c r="C31" s="37" t="s">
        <v>48</v>
      </c>
      <c r="D31" s="38">
        <v>0.21</v>
      </c>
      <c r="E31" s="39">
        <f>-E30*D31</f>
        <v>-3369003.3822939862</v>
      </c>
      <c r="F31" s="43"/>
    </row>
    <row r="32" spans="2:6" x14ac:dyDescent="0.25">
      <c r="B32" s="91">
        <f t="shared" si="2"/>
        <v>32</v>
      </c>
      <c r="C32" s="37" t="s">
        <v>49</v>
      </c>
      <c r="D32" s="40"/>
      <c r="E32" s="41">
        <f>-E30-E31</f>
        <v>-12673869.866724996</v>
      </c>
      <c r="F32" s="43"/>
    </row>
    <row r="33" spans="2:6" x14ac:dyDescent="0.25">
      <c r="B33" s="91">
        <f t="shared" si="2"/>
        <v>33</v>
      </c>
      <c r="C33" s="25" t="s">
        <v>50</v>
      </c>
      <c r="E33" s="25">
        <v>0.75322100000000003</v>
      </c>
      <c r="F33" s="43"/>
    </row>
    <row r="34" spans="2:6" ht="15.75" thickBot="1" x14ac:dyDescent="0.3">
      <c r="B34" s="91">
        <f t="shared" si="2"/>
        <v>34</v>
      </c>
      <c r="C34" s="25" t="s">
        <v>51</v>
      </c>
      <c r="E34" s="42">
        <f>-E32/E33</f>
        <v>16826230.106071122</v>
      </c>
      <c r="F34" s="43"/>
    </row>
    <row r="35" spans="2:6" ht="15.75" thickTop="1" x14ac:dyDescent="0.25">
      <c r="E35"/>
    </row>
    <row r="36" spans="2:6" x14ac:dyDescent="0.25">
      <c r="E36"/>
    </row>
  </sheetData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="90" zoomScaleNormal="90" workbookViewId="0">
      <selection activeCell="K19" sqref="K19"/>
    </sheetView>
  </sheetViews>
  <sheetFormatPr defaultColWidth="9.140625" defaultRowHeight="15" x14ac:dyDescent="0.25"/>
  <cols>
    <col min="1" max="1" width="17.85546875" style="44" customWidth="1"/>
    <col min="2" max="4" width="11" style="44" bestFit="1" customWidth="1"/>
    <col min="5" max="6" width="12" style="44" bestFit="1" customWidth="1"/>
    <col min="7" max="7" width="13.85546875" style="44" customWidth="1"/>
    <col min="8" max="16384" width="9.140625" style="44"/>
  </cols>
  <sheetData>
    <row r="1" spans="1:7" x14ac:dyDescent="0.25">
      <c r="A1" s="225" t="s">
        <v>0</v>
      </c>
      <c r="B1" s="225"/>
      <c r="C1" s="225"/>
      <c r="D1" s="225"/>
      <c r="E1" s="225"/>
      <c r="F1" s="225"/>
      <c r="G1" s="225"/>
    </row>
    <row r="2" spans="1:7" x14ac:dyDescent="0.25">
      <c r="A2" s="231" t="str">
        <f>'Sch. 111 Charge Rates'!A2</f>
        <v>2023 Gas Schedule 111 Greenhouse Gas Emissions Cap and Invest Adjustment Filing</v>
      </c>
      <c r="B2" s="231"/>
      <c r="C2" s="231"/>
      <c r="D2" s="231"/>
      <c r="E2" s="231"/>
      <c r="F2" s="231"/>
      <c r="G2" s="231"/>
    </row>
    <row r="3" spans="1:7" x14ac:dyDescent="0.25">
      <c r="A3" s="231" t="s">
        <v>70</v>
      </c>
      <c r="B3" s="231"/>
      <c r="C3" s="231"/>
      <c r="D3" s="231"/>
      <c r="E3" s="231"/>
      <c r="F3" s="231"/>
      <c r="G3" s="231"/>
    </row>
    <row r="4" spans="1:7" x14ac:dyDescent="0.25">
      <c r="A4" s="232" t="str">
        <f>'F2022 Forecast'!A4:G4</f>
        <v>August 2023 - December 2023</v>
      </c>
      <c r="B4" s="231"/>
      <c r="C4" s="231"/>
      <c r="D4" s="231"/>
      <c r="E4" s="231"/>
      <c r="F4" s="231"/>
      <c r="G4" s="231"/>
    </row>
    <row r="5" spans="1:7" x14ac:dyDescent="0.25">
      <c r="A5" s="45"/>
      <c r="B5" s="45"/>
      <c r="C5" s="45"/>
      <c r="D5" s="45"/>
      <c r="E5" s="45"/>
      <c r="F5" s="46"/>
      <c r="G5" s="46"/>
    </row>
    <row r="6" spans="1:7" ht="17.25" x14ac:dyDescent="0.25">
      <c r="A6" s="221" t="s">
        <v>219</v>
      </c>
      <c r="B6" s="45"/>
      <c r="C6" s="45"/>
      <c r="D6" s="45"/>
      <c r="E6" s="45"/>
      <c r="F6" s="46"/>
      <c r="G6" s="46"/>
    </row>
    <row r="7" spans="1:7" x14ac:dyDescent="0.25">
      <c r="A7" s="48" t="s">
        <v>61</v>
      </c>
      <c r="B7" s="49">
        <v>45139</v>
      </c>
      <c r="C7" s="50">
        <f>EDATE(B7,1)</f>
        <v>45170</v>
      </c>
      <c r="D7" s="50">
        <f t="shared" ref="D7:F7" si="0">EDATE(C7,1)</f>
        <v>45200</v>
      </c>
      <c r="E7" s="50">
        <f t="shared" si="0"/>
        <v>45231</v>
      </c>
      <c r="F7" s="50">
        <f t="shared" si="0"/>
        <v>45261</v>
      </c>
      <c r="G7" s="51" t="s">
        <v>2</v>
      </c>
    </row>
    <row r="8" spans="1:7" x14ac:dyDescent="0.25">
      <c r="A8" s="47">
        <v>16</v>
      </c>
      <c r="B8" s="59"/>
      <c r="C8" s="59"/>
      <c r="D8" s="59"/>
      <c r="E8" s="59"/>
      <c r="F8" s="59"/>
      <c r="G8" s="53">
        <f t="shared" ref="G8:G21" si="1">SUM(B8:F8)</f>
        <v>0</v>
      </c>
    </row>
    <row r="9" spans="1:7" x14ac:dyDescent="0.25">
      <c r="A9" s="47">
        <v>23</v>
      </c>
      <c r="B9" s="52">
        <v>298000.38812691905</v>
      </c>
      <c r="C9" s="52">
        <v>430380.78269101609</v>
      </c>
      <c r="D9" s="52">
        <v>992094.63793036889</v>
      </c>
      <c r="E9" s="52">
        <v>1647488.8445406179</v>
      </c>
      <c r="F9" s="52">
        <v>2150595.6922194064</v>
      </c>
      <c r="G9" s="53">
        <f t="shared" si="1"/>
        <v>5518560.3455083277</v>
      </c>
    </row>
    <row r="10" spans="1:7" x14ac:dyDescent="0.25">
      <c r="A10" s="47">
        <v>53</v>
      </c>
      <c r="B10" s="59"/>
      <c r="C10" s="59"/>
      <c r="D10" s="59"/>
      <c r="E10" s="59"/>
      <c r="F10" s="59"/>
      <c r="G10" s="53">
        <f t="shared" si="1"/>
        <v>0</v>
      </c>
    </row>
    <row r="11" spans="1:7" x14ac:dyDescent="0.25">
      <c r="A11" s="47">
        <v>31</v>
      </c>
      <c r="B11" s="59"/>
      <c r="C11" s="59"/>
      <c r="D11" s="59"/>
      <c r="E11" s="59"/>
      <c r="F11" s="59"/>
      <c r="G11" s="53">
        <f t="shared" si="1"/>
        <v>0</v>
      </c>
    </row>
    <row r="12" spans="1:7" x14ac:dyDescent="0.25">
      <c r="A12" s="47">
        <v>41</v>
      </c>
      <c r="B12" s="59"/>
      <c r="C12" s="59"/>
      <c r="D12" s="59"/>
      <c r="E12" s="59"/>
      <c r="F12" s="59"/>
      <c r="G12" s="53">
        <f t="shared" si="1"/>
        <v>0</v>
      </c>
    </row>
    <row r="13" spans="1:7" x14ac:dyDescent="0.25">
      <c r="A13" s="47">
        <v>85</v>
      </c>
      <c r="B13" s="59"/>
      <c r="C13" s="59"/>
      <c r="D13" s="59"/>
      <c r="E13" s="59"/>
      <c r="F13" s="59"/>
      <c r="G13" s="53">
        <f t="shared" si="1"/>
        <v>0</v>
      </c>
    </row>
    <row r="14" spans="1:7" x14ac:dyDescent="0.25">
      <c r="A14" s="47">
        <v>86</v>
      </c>
      <c r="B14" s="59"/>
      <c r="C14" s="59"/>
      <c r="D14" s="59"/>
      <c r="E14" s="59"/>
      <c r="F14" s="59"/>
      <c r="G14" s="53">
        <f t="shared" si="1"/>
        <v>0</v>
      </c>
    </row>
    <row r="15" spans="1:7" x14ac:dyDescent="0.25">
      <c r="A15" s="47">
        <v>87</v>
      </c>
      <c r="B15" s="59"/>
      <c r="C15" s="59"/>
      <c r="D15" s="59"/>
      <c r="E15" s="59"/>
      <c r="F15" s="59"/>
      <c r="G15" s="53">
        <f t="shared" si="1"/>
        <v>0</v>
      </c>
    </row>
    <row r="16" spans="1:7" x14ac:dyDescent="0.25">
      <c r="A16" s="47" t="s">
        <v>28</v>
      </c>
      <c r="B16" s="59"/>
      <c r="C16" s="59"/>
      <c r="D16" s="59"/>
      <c r="E16" s="59"/>
      <c r="F16" s="59"/>
      <c r="G16" s="53">
        <f t="shared" si="1"/>
        <v>0</v>
      </c>
    </row>
    <row r="17" spans="1:7" x14ac:dyDescent="0.25">
      <c r="A17" s="47" t="s">
        <v>30</v>
      </c>
      <c r="B17" s="59"/>
      <c r="C17" s="59"/>
      <c r="D17" s="59"/>
      <c r="E17" s="59"/>
      <c r="F17" s="59"/>
      <c r="G17" s="53">
        <f t="shared" si="1"/>
        <v>0</v>
      </c>
    </row>
    <row r="18" spans="1:7" x14ac:dyDescent="0.25">
      <c r="A18" s="47" t="s">
        <v>32</v>
      </c>
      <c r="B18" s="59"/>
      <c r="C18" s="59"/>
      <c r="D18" s="59"/>
      <c r="E18" s="59"/>
      <c r="F18" s="59"/>
      <c r="G18" s="53">
        <f t="shared" si="1"/>
        <v>0</v>
      </c>
    </row>
    <row r="19" spans="1:7" x14ac:dyDescent="0.25">
      <c r="A19" s="47" t="s">
        <v>34</v>
      </c>
      <c r="B19" s="59"/>
      <c r="C19" s="59"/>
      <c r="D19" s="59"/>
      <c r="E19" s="59"/>
      <c r="F19" s="59"/>
      <c r="G19" s="53">
        <f t="shared" si="1"/>
        <v>0</v>
      </c>
    </row>
    <row r="20" spans="1:7" x14ac:dyDescent="0.25">
      <c r="A20" s="47" t="s">
        <v>36</v>
      </c>
      <c r="B20" s="59"/>
      <c r="C20" s="59"/>
      <c r="D20" s="59"/>
      <c r="E20" s="59"/>
      <c r="F20" s="59"/>
      <c r="G20" s="53">
        <f t="shared" si="1"/>
        <v>0</v>
      </c>
    </row>
    <row r="21" spans="1:7" x14ac:dyDescent="0.25">
      <c r="A21" s="54" t="s">
        <v>37</v>
      </c>
      <c r="B21" s="59"/>
      <c r="C21" s="59"/>
      <c r="D21" s="59"/>
      <c r="E21" s="59"/>
      <c r="F21" s="59"/>
      <c r="G21" s="53">
        <f t="shared" si="1"/>
        <v>0</v>
      </c>
    </row>
    <row r="22" spans="1:7" x14ac:dyDescent="0.25">
      <c r="A22" s="55" t="s">
        <v>2</v>
      </c>
      <c r="B22" s="56">
        <f>SUM(B8:B21)</f>
        <v>298000.38812691905</v>
      </c>
      <c r="C22" s="56">
        <f t="shared" ref="C22:F22" si="2">SUM(C8:C21)</f>
        <v>430380.78269101609</v>
      </c>
      <c r="D22" s="56">
        <f t="shared" si="2"/>
        <v>992094.63793036889</v>
      </c>
      <c r="E22" s="56">
        <f t="shared" si="2"/>
        <v>1647488.8445406179</v>
      </c>
      <c r="F22" s="56">
        <f t="shared" si="2"/>
        <v>2150595.6922194064</v>
      </c>
      <c r="G22" s="56">
        <f>SUM(G8:G21)</f>
        <v>5518560.3455083277</v>
      </c>
    </row>
    <row r="23" spans="1:7" x14ac:dyDescent="0.25">
      <c r="A23" s="55"/>
      <c r="B23" s="57"/>
      <c r="C23" s="57"/>
      <c r="D23" s="57"/>
      <c r="E23" s="57"/>
      <c r="F23" s="57"/>
      <c r="G23" s="57"/>
    </row>
    <row r="24" spans="1:7" ht="15" customHeight="1" x14ac:dyDescent="0.25">
      <c r="A24" s="226" t="s">
        <v>201</v>
      </c>
      <c r="B24" s="226"/>
      <c r="C24" s="226"/>
      <c r="D24" s="226"/>
      <c r="E24" s="226"/>
      <c r="F24" s="226"/>
      <c r="G24" s="226"/>
    </row>
    <row r="25" spans="1:7" x14ac:dyDescent="0.25">
      <c r="A25" s="226"/>
      <c r="B25" s="226"/>
      <c r="C25" s="226"/>
      <c r="D25" s="226"/>
      <c r="E25" s="226"/>
      <c r="F25" s="226"/>
      <c r="G25" s="226"/>
    </row>
  </sheetData>
  <mergeCells count="5">
    <mergeCell ref="A1:G1"/>
    <mergeCell ref="A2:G2"/>
    <mergeCell ref="A3:G3"/>
    <mergeCell ref="A4:G4"/>
    <mergeCell ref="A24:G25"/>
  </mergeCells>
  <printOptions horizontalCentered="1"/>
  <pageMargins left="0.7" right="0.7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zoomScale="90" zoomScaleNormal="90" workbookViewId="0">
      <pane ySplit="4" topLeftCell="A65" activePane="bottomLeft" state="frozen"/>
      <selection pane="bottomLeft" activeCell="I90" sqref="I90"/>
    </sheetView>
  </sheetViews>
  <sheetFormatPr defaultColWidth="9.140625" defaultRowHeight="15" x14ac:dyDescent="0.25"/>
  <cols>
    <col min="1" max="1" width="17.85546875" style="44" customWidth="1"/>
    <col min="2" max="4" width="11" style="44" bestFit="1" customWidth="1"/>
    <col min="5" max="6" width="12" style="44" bestFit="1" customWidth="1"/>
    <col min="7" max="7" width="13.85546875" style="44" customWidth="1"/>
    <col min="8" max="16384" width="9.140625" style="44"/>
  </cols>
  <sheetData>
    <row r="1" spans="1:7" x14ac:dyDescent="0.25">
      <c r="A1" s="225" t="s">
        <v>0</v>
      </c>
      <c r="B1" s="225"/>
      <c r="C1" s="225"/>
      <c r="D1" s="225"/>
      <c r="E1" s="225"/>
      <c r="F1" s="225"/>
      <c r="G1" s="225"/>
    </row>
    <row r="2" spans="1:7" x14ac:dyDescent="0.25">
      <c r="A2" s="231" t="str">
        <f>'Sch. 111 Charge Rates'!A2</f>
        <v>2023 Gas Schedule 111 Greenhouse Gas Emissions Cap and Invest Adjustment Filing</v>
      </c>
      <c r="B2" s="231"/>
      <c r="C2" s="231"/>
      <c r="D2" s="231"/>
      <c r="E2" s="231"/>
      <c r="F2" s="231"/>
      <c r="G2" s="231"/>
    </row>
    <row r="3" spans="1:7" x14ac:dyDescent="0.25">
      <c r="A3" s="231" t="s">
        <v>65</v>
      </c>
      <c r="B3" s="231"/>
      <c r="C3" s="231"/>
      <c r="D3" s="231"/>
      <c r="E3" s="231"/>
      <c r="F3" s="231"/>
      <c r="G3" s="231"/>
    </row>
    <row r="4" spans="1:7" x14ac:dyDescent="0.25">
      <c r="A4" s="232" t="str">
        <f>'F2022 Forecast'!A4:G4</f>
        <v>August 2023 - December 2023</v>
      </c>
      <c r="B4" s="231"/>
      <c r="C4" s="231"/>
      <c r="D4" s="231"/>
      <c r="E4" s="231"/>
      <c r="F4" s="231"/>
      <c r="G4" s="231"/>
    </row>
    <row r="5" spans="1:7" x14ac:dyDescent="0.25">
      <c r="A5" s="45"/>
      <c r="B5" s="45"/>
      <c r="C5" s="45"/>
      <c r="D5" s="45"/>
      <c r="E5" s="45"/>
      <c r="F5" s="46"/>
      <c r="G5" s="46"/>
    </row>
    <row r="6" spans="1:7" x14ac:dyDescent="0.25">
      <c r="A6" s="58" t="s">
        <v>66</v>
      </c>
      <c r="B6" s="45"/>
      <c r="C6" s="45"/>
      <c r="D6" s="45"/>
      <c r="E6" s="45"/>
      <c r="F6" s="46"/>
      <c r="G6" s="46"/>
    </row>
    <row r="7" spans="1:7" x14ac:dyDescent="0.25">
      <c r="A7" s="48" t="s">
        <v>61</v>
      </c>
      <c r="B7" s="49">
        <v>45139</v>
      </c>
      <c r="C7" s="50">
        <f>EDATE(B7,1)</f>
        <v>45170</v>
      </c>
      <c r="D7" s="50">
        <f t="shared" ref="D7:F7" si="0">EDATE(C7,1)</f>
        <v>45200</v>
      </c>
      <c r="E7" s="50">
        <f t="shared" si="0"/>
        <v>45231</v>
      </c>
      <c r="F7" s="50">
        <f t="shared" si="0"/>
        <v>45261</v>
      </c>
      <c r="G7" s="51" t="s">
        <v>2</v>
      </c>
    </row>
    <row r="8" spans="1:7" x14ac:dyDescent="0.25">
      <c r="A8" s="47">
        <v>16</v>
      </c>
      <c r="B8" s="59">
        <f>'F2022 Forecast'!B8</f>
        <v>589</v>
      </c>
      <c r="C8" s="59">
        <f>'F2022 Forecast'!C8</f>
        <v>589</v>
      </c>
      <c r="D8" s="59">
        <f>'F2022 Forecast'!D8</f>
        <v>589</v>
      </c>
      <c r="E8" s="59">
        <f>'F2022 Forecast'!E8</f>
        <v>589</v>
      </c>
      <c r="F8" s="59">
        <f>'F2022 Forecast'!F8</f>
        <v>589</v>
      </c>
      <c r="G8" s="53">
        <f t="shared" ref="G8:G21" si="1">SUM(B8:F8)</f>
        <v>2945</v>
      </c>
    </row>
    <row r="9" spans="1:7" x14ac:dyDescent="0.25">
      <c r="A9" s="47">
        <v>23</v>
      </c>
      <c r="B9" s="59">
        <f>'F2022 Forecast'!B9</f>
        <v>12799549</v>
      </c>
      <c r="C9" s="59">
        <f>'F2022 Forecast'!C9</f>
        <v>18485479</v>
      </c>
      <c r="D9" s="59">
        <f>'F2022 Forecast'!D9</f>
        <v>42611904</v>
      </c>
      <c r="E9" s="59">
        <f>'F2022 Forecast'!E9</f>
        <v>70762036</v>
      </c>
      <c r="F9" s="59">
        <f>'F2022 Forecast'!F9</f>
        <v>92371205</v>
      </c>
      <c r="G9" s="53">
        <f t="shared" si="1"/>
        <v>237030173</v>
      </c>
    </row>
    <row r="10" spans="1:7" x14ac:dyDescent="0.25">
      <c r="A10" s="47">
        <v>53</v>
      </c>
      <c r="B10" s="59">
        <f>'F2022 Forecast'!B10</f>
        <v>0</v>
      </c>
      <c r="C10" s="59">
        <f>'F2022 Forecast'!C10</f>
        <v>0</v>
      </c>
      <c r="D10" s="59">
        <f>'F2022 Forecast'!D10</f>
        <v>0</v>
      </c>
      <c r="E10" s="59">
        <f>'F2022 Forecast'!E10</f>
        <v>0</v>
      </c>
      <c r="F10" s="59">
        <f>'F2022 Forecast'!F10</f>
        <v>0</v>
      </c>
      <c r="G10" s="53">
        <f t="shared" si="1"/>
        <v>0</v>
      </c>
    </row>
    <row r="11" spans="1:7" x14ac:dyDescent="0.25">
      <c r="A11" s="47">
        <v>31</v>
      </c>
      <c r="B11" s="59">
        <f>'F2022 Forecast'!B11</f>
        <v>9999282</v>
      </c>
      <c r="C11" s="59">
        <f>'F2022 Forecast'!C11</f>
        <v>11696231</v>
      </c>
      <c r="D11" s="59">
        <f>'F2022 Forecast'!D11</f>
        <v>19346533</v>
      </c>
      <c r="E11" s="59">
        <f>'F2022 Forecast'!E11</f>
        <v>27879405</v>
      </c>
      <c r="F11" s="59">
        <f>'F2022 Forecast'!F11</f>
        <v>34726167</v>
      </c>
      <c r="G11" s="53">
        <f t="shared" si="1"/>
        <v>103647618</v>
      </c>
    </row>
    <row r="12" spans="1:7" x14ac:dyDescent="0.25">
      <c r="A12" s="47">
        <v>41</v>
      </c>
      <c r="B12" s="59">
        <f>'F2022 Forecast'!B12</f>
        <v>3161567</v>
      </c>
      <c r="C12" s="59">
        <f>'F2022 Forecast'!C12</f>
        <v>3759483</v>
      </c>
      <c r="D12" s="59">
        <f>'F2022 Forecast'!D12</f>
        <v>5805117</v>
      </c>
      <c r="E12" s="59">
        <f>'F2022 Forecast'!E12</f>
        <v>7530476</v>
      </c>
      <c r="F12" s="59">
        <f>'F2022 Forecast'!F12</f>
        <v>8250462</v>
      </c>
      <c r="G12" s="53">
        <f t="shared" si="1"/>
        <v>28507105</v>
      </c>
    </row>
    <row r="13" spans="1:7" x14ac:dyDescent="0.25">
      <c r="A13" s="47">
        <v>85</v>
      </c>
      <c r="B13" s="59">
        <f>'F2022 Forecast'!B13</f>
        <v>832251</v>
      </c>
      <c r="C13" s="59">
        <f>'F2022 Forecast'!C13</f>
        <v>779550</v>
      </c>
      <c r="D13" s="59">
        <f>'F2022 Forecast'!D13</f>
        <v>1067853</v>
      </c>
      <c r="E13" s="59">
        <f>'F2022 Forecast'!E13</f>
        <v>1204779</v>
      </c>
      <c r="F13" s="59">
        <f>'F2022 Forecast'!F13</f>
        <v>1468068</v>
      </c>
      <c r="G13" s="53">
        <f t="shared" si="1"/>
        <v>5352501</v>
      </c>
    </row>
    <row r="14" spans="1:7" x14ac:dyDescent="0.25">
      <c r="A14" s="47">
        <v>86</v>
      </c>
      <c r="B14" s="59">
        <f>'F2022 Forecast'!B14</f>
        <v>152007</v>
      </c>
      <c r="C14" s="59">
        <f>'F2022 Forecast'!C14</f>
        <v>166978</v>
      </c>
      <c r="D14" s="59">
        <f>'F2022 Forecast'!D14</f>
        <v>363562</v>
      </c>
      <c r="E14" s="59">
        <f>'F2022 Forecast'!E14</f>
        <v>543680</v>
      </c>
      <c r="F14" s="59">
        <f>'F2022 Forecast'!F14</f>
        <v>801521</v>
      </c>
      <c r="G14" s="53">
        <f t="shared" si="1"/>
        <v>2027748</v>
      </c>
    </row>
    <row r="15" spans="1:7" x14ac:dyDescent="0.25">
      <c r="A15" s="47">
        <v>87</v>
      </c>
      <c r="B15" s="59">
        <f>'F2022 Forecast'!B15</f>
        <v>1005946</v>
      </c>
      <c r="C15" s="59">
        <f>'F2022 Forecast'!C15</f>
        <v>1004039</v>
      </c>
      <c r="D15" s="59">
        <f>'F2022 Forecast'!D15</f>
        <v>1534262</v>
      </c>
      <c r="E15" s="59">
        <f>'F2022 Forecast'!E15</f>
        <v>1582171</v>
      </c>
      <c r="F15" s="59">
        <f>'F2022 Forecast'!F15</f>
        <v>1937626</v>
      </c>
      <c r="G15" s="53">
        <f t="shared" si="1"/>
        <v>7064044</v>
      </c>
    </row>
    <row r="16" spans="1:7" x14ac:dyDescent="0.25">
      <c r="A16" s="47" t="s">
        <v>28</v>
      </c>
      <c r="B16" s="59">
        <f>'F2022 Forecast'!B16</f>
        <v>1835</v>
      </c>
      <c r="C16" s="59">
        <f>'F2022 Forecast'!C16</f>
        <v>2343</v>
      </c>
      <c r="D16" s="59">
        <f>'F2022 Forecast'!D16</f>
        <v>2751</v>
      </c>
      <c r="E16" s="59">
        <f>'F2022 Forecast'!E16</f>
        <v>3920</v>
      </c>
      <c r="F16" s="59">
        <f>'F2022 Forecast'!F16</f>
        <v>4292</v>
      </c>
      <c r="G16" s="53">
        <f t="shared" si="1"/>
        <v>15141</v>
      </c>
    </row>
    <row r="17" spans="1:7" x14ac:dyDescent="0.25">
      <c r="A17" s="47" t="s">
        <v>30</v>
      </c>
      <c r="B17" s="59">
        <f>'F2022 Forecast'!B17</f>
        <v>1775579</v>
      </c>
      <c r="C17" s="59">
        <f>'F2022 Forecast'!C17</f>
        <v>2017119</v>
      </c>
      <c r="D17" s="59">
        <f>'F2022 Forecast'!D17</f>
        <v>1757599</v>
      </c>
      <c r="E17" s="59">
        <f>'F2022 Forecast'!E17</f>
        <v>2051608</v>
      </c>
      <c r="F17" s="59">
        <f>'F2022 Forecast'!F17</f>
        <v>1994393</v>
      </c>
      <c r="G17" s="53">
        <f t="shared" si="1"/>
        <v>9596298</v>
      </c>
    </row>
    <row r="18" spans="1:7" x14ac:dyDescent="0.25">
      <c r="A18" s="47" t="s">
        <v>32</v>
      </c>
      <c r="B18" s="59">
        <f>'F2022 Forecast'!B18</f>
        <v>5952306</v>
      </c>
      <c r="C18" s="59">
        <f>'F2022 Forecast'!C18</f>
        <v>6882341</v>
      </c>
      <c r="D18" s="59">
        <f>'F2022 Forecast'!D18</f>
        <v>5593547</v>
      </c>
      <c r="E18" s="59">
        <f>'F2022 Forecast'!E18</f>
        <v>6008165</v>
      </c>
      <c r="F18" s="59">
        <f>'F2022 Forecast'!F18</f>
        <v>5710222</v>
      </c>
      <c r="G18" s="53">
        <f t="shared" si="1"/>
        <v>30146581</v>
      </c>
    </row>
    <row r="19" spans="1:7" x14ac:dyDescent="0.25">
      <c r="A19" s="47" t="s">
        <v>34</v>
      </c>
      <c r="B19" s="59">
        <f>'F2022 Forecast'!B19</f>
        <v>100786</v>
      </c>
      <c r="C19" s="59">
        <f>'F2022 Forecast'!C19</f>
        <v>131542</v>
      </c>
      <c r="D19" s="59">
        <f>'F2022 Forecast'!D19</f>
        <v>98743</v>
      </c>
      <c r="E19" s="59">
        <f>'F2022 Forecast'!E19</f>
        <v>114025</v>
      </c>
      <c r="F19" s="59">
        <f>'F2022 Forecast'!F19</f>
        <v>106642</v>
      </c>
      <c r="G19" s="53">
        <f t="shared" si="1"/>
        <v>551738</v>
      </c>
    </row>
    <row r="20" spans="1:7" x14ac:dyDescent="0.25">
      <c r="A20" s="47" t="s">
        <v>36</v>
      </c>
      <c r="B20" s="59">
        <f>'F2022 Forecast'!B20</f>
        <v>8922464</v>
      </c>
      <c r="C20" s="59">
        <f>'F2022 Forecast'!C20</f>
        <v>10013921</v>
      </c>
      <c r="D20" s="59">
        <f>'F2022 Forecast'!D20</f>
        <v>7479343</v>
      </c>
      <c r="E20" s="59">
        <f>'F2022 Forecast'!E20</f>
        <v>7623170</v>
      </c>
      <c r="F20" s="59">
        <f>'F2022 Forecast'!F20</f>
        <v>8318329</v>
      </c>
      <c r="G20" s="53">
        <f t="shared" si="1"/>
        <v>42357227</v>
      </c>
    </row>
    <row r="21" spans="1:7" x14ac:dyDescent="0.25">
      <c r="A21" s="54" t="s">
        <v>37</v>
      </c>
      <c r="B21" s="59">
        <f>'F2022 Forecast'!B21</f>
        <v>2072278</v>
      </c>
      <c r="C21" s="59">
        <f>'F2022 Forecast'!C21</f>
        <v>2587516</v>
      </c>
      <c r="D21" s="59">
        <f>'F2022 Forecast'!D21</f>
        <v>2629021</v>
      </c>
      <c r="E21" s="59">
        <f>'F2022 Forecast'!E21</f>
        <v>3483217</v>
      </c>
      <c r="F21" s="59">
        <f>'F2022 Forecast'!F21</f>
        <v>3865764</v>
      </c>
      <c r="G21" s="53">
        <f t="shared" si="1"/>
        <v>14637796</v>
      </c>
    </row>
    <row r="22" spans="1:7" x14ac:dyDescent="0.25">
      <c r="A22" s="55" t="s">
        <v>2</v>
      </c>
      <c r="B22" s="56">
        <f>SUM(B8:B21)</f>
        <v>46776439</v>
      </c>
      <c r="C22" s="56">
        <f t="shared" ref="C22:F22" si="2">SUM(C8:C21)</f>
        <v>57527131</v>
      </c>
      <c r="D22" s="56">
        <f t="shared" si="2"/>
        <v>88290824</v>
      </c>
      <c r="E22" s="56">
        <f t="shared" si="2"/>
        <v>128787241</v>
      </c>
      <c r="F22" s="56">
        <f t="shared" si="2"/>
        <v>159555280</v>
      </c>
      <c r="G22" s="56">
        <f>SUM(G8:G21)</f>
        <v>480936915</v>
      </c>
    </row>
    <row r="23" spans="1:7" x14ac:dyDescent="0.25">
      <c r="A23" s="55"/>
      <c r="B23" s="57"/>
      <c r="C23" s="57"/>
      <c r="D23" s="57"/>
      <c r="E23" s="57"/>
      <c r="F23" s="57"/>
      <c r="G23" s="57"/>
    </row>
    <row r="24" spans="1:7" ht="17.25" x14ac:dyDescent="0.25">
      <c r="A24" s="58" t="s">
        <v>234</v>
      </c>
    </row>
    <row r="25" spans="1:7" x14ac:dyDescent="0.25">
      <c r="A25" s="48" t="s">
        <v>61</v>
      </c>
      <c r="B25" s="50">
        <f>B7</f>
        <v>45139</v>
      </c>
      <c r="C25" s="50">
        <f t="shared" ref="C25:F25" si="3">C7</f>
        <v>45170</v>
      </c>
      <c r="D25" s="50">
        <f t="shared" si="3"/>
        <v>45200</v>
      </c>
      <c r="E25" s="50">
        <f t="shared" si="3"/>
        <v>45231</v>
      </c>
      <c r="F25" s="50">
        <f t="shared" si="3"/>
        <v>45261</v>
      </c>
      <c r="G25" s="51" t="s">
        <v>2</v>
      </c>
    </row>
    <row r="26" spans="1:7" x14ac:dyDescent="0.25">
      <c r="A26" s="47">
        <v>16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3">
        <f t="shared" ref="G26:G39" si="4">SUM(B26:F26)</f>
        <v>0</v>
      </c>
    </row>
    <row r="27" spans="1:7" x14ac:dyDescent="0.25">
      <c r="A27" s="47">
        <v>23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3">
        <f t="shared" si="4"/>
        <v>0</v>
      </c>
    </row>
    <row r="28" spans="1:7" x14ac:dyDescent="0.25">
      <c r="A28" s="47">
        <v>53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3">
        <f t="shared" si="4"/>
        <v>0</v>
      </c>
    </row>
    <row r="29" spans="1:7" x14ac:dyDescent="0.25">
      <c r="A29" s="47">
        <v>31</v>
      </c>
      <c r="B29" s="52">
        <v>8704.4206354311027</v>
      </c>
      <c r="C29" s="52">
        <v>10181.622487811519</v>
      </c>
      <c r="D29" s="52">
        <v>16841.245308338017</v>
      </c>
      <c r="E29" s="52">
        <v>24269.149343476965</v>
      </c>
      <c r="F29" s="52">
        <v>30229.286925223885</v>
      </c>
      <c r="G29" s="53">
        <f t="shared" si="4"/>
        <v>90225.724700281484</v>
      </c>
    </row>
    <row r="30" spans="1:7" x14ac:dyDescent="0.25">
      <c r="A30" s="47">
        <v>41</v>
      </c>
      <c r="B30" s="52">
        <v>6025.913731277953</v>
      </c>
      <c r="C30" s="52">
        <v>7165.5353918503188</v>
      </c>
      <c r="D30" s="52">
        <v>11064.49246274872</v>
      </c>
      <c r="E30" s="52">
        <v>14353.008723667434</v>
      </c>
      <c r="F30" s="52">
        <v>15725.294531220428</v>
      </c>
      <c r="G30" s="53">
        <f t="shared" si="4"/>
        <v>54334.244840764848</v>
      </c>
    </row>
    <row r="31" spans="1:7" x14ac:dyDescent="0.25">
      <c r="A31" s="47">
        <v>85</v>
      </c>
      <c r="B31" s="52">
        <v>0</v>
      </c>
      <c r="C31" s="52">
        <v>0</v>
      </c>
      <c r="D31" s="52">
        <v>0</v>
      </c>
      <c r="E31" s="52">
        <v>0</v>
      </c>
      <c r="F31" s="52">
        <v>0</v>
      </c>
      <c r="G31" s="53">
        <f t="shared" si="4"/>
        <v>0</v>
      </c>
    </row>
    <row r="32" spans="1:7" x14ac:dyDescent="0.25">
      <c r="A32" s="47">
        <v>86</v>
      </c>
      <c r="B32" s="52">
        <v>0</v>
      </c>
      <c r="C32" s="52">
        <v>0</v>
      </c>
      <c r="D32" s="52">
        <v>0</v>
      </c>
      <c r="E32" s="52">
        <v>0</v>
      </c>
      <c r="F32" s="52">
        <v>0</v>
      </c>
      <c r="G32" s="53">
        <f t="shared" si="4"/>
        <v>0</v>
      </c>
    </row>
    <row r="33" spans="1:7" x14ac:dyDescent="0.25">
      <c r="A33" s="47">
        <v>87</v>
      </c>
      <c r="B33" s="52">
        <v>749529.45046190184</v>
      </c>
      <c r="C33" s="52">
        <v>748108.54649485892</v>
      </c>
      <c r="D33" s="52">
        <v>1143177.2219627877</v>
      </c>
      <c r="E33" s="52">
        <v>1178874.174326214</v>
      </c>
      <c r="F33" s="52">
        <v>1443723.3718118996</v>
      </c>
      <c r="G33" s="53">
        <f t="shared" si="4"/>
        <v>5263412.7650576616</v>
      </c>
    </row>
    <row r="34" spans="1:7" x14ac:dyDescent="0.25">
      <c r="A34" s="47" t="s">
        <v>28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53">
        <f t="shared" si="4"/>
        <v>0</v>
      </c>
    </row>
    <row r="35" spans="1:7" x14ac:dyDescent="0.25">
      <c r="A35" s="47" t="s">
        <v>30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3">
        <f t="shared" si="4"/>
        <v>0</v>
      </c>
    </row>
    <row r="36" spans="1:7" x14ac:dyDescent="0.25">
      <c r="A36" s="47" t="s">
        <v>32</v>
      </c>
      <c r="B36" s="52">
        <v>402185.0540577728</v>
      </c>
      <c r="C36" s="52">
        <v>465025.60304006987</v>
      </c>
      <c r="D36" s="52">
        <v>377944.44750819146</v>
      </c>
      <c r="E36" s="52">
        <v>405959.33161249082</v>
      </c>
      <c r="F36" s="52">
        <v>385827.93689569779</v>
      </c>
      <c r="G36" s="53">
        <f t="shared" si="4"/>
        <v>2036942.3731142229</v>
      </c>
    </row>
    <row r="37" spans="1:7" x14ac:dyDescent="0.25">
      <c r="A37" s="47" t="s">
        <v>34</v>
      </c>
      <c r="B37" s="52">
        <v>0</v>
      </c>
      <c r="C37" s="52">
        <v>0</v>
      </c>
      <c r="D37" s="52">
        <v>0</v>
      </c>
      <c r="E37" s="52">
        <v>0</v>
      </c>
      <c r="F37" s="52">
        <v>0</v>
      </c>
      <c r="G37" s="53">
        <f t="shared" si="4"/>
        <v>0</v>
      </c>
    </row>
    <row r="38" spans="1:7" x14ac:dyDescent="0.25">
      <c r="A38" s="47" t="s">
        <v>36</v>
      </c>
      <c r="B38" s="52">
        <v>7710156.8267452065</v>
      </c>
      <c r="C38" s="52">
        <v>8653316.0975081753</v>
      </c>
      <c r="D38" s="52">
        <v>6463114.6162112802</v>
      </c>
      <c r="E38" s="52">
        <v>6587399.6484535271</v>
      </c>
      <c r="F38" s="52">
        <v>7188106.4610025473</v>
      </c>
      <c r="G38" s="53">
        <f t="shared" si="4"/>
        <v>36602093.649920732</v>
      </c>
    </row>
    <row r="39" spans="1:7" x14ac:dyDescent="0.25">
      <c r="A39" s="54" t="s">
        <v>37</v>
      </c>
      <c r="B39" s="52">
        <v>1121469.9067713148</v>
      </c>
      <c r="C39" s="52">
        <v>1400305.0398109162</v>
      </c>
      <c r="D39" s="52">
        <v>1422766.6055277472</v>
      </c>
      <c r="E39" s="52">
        <v>1885038.1291768088</v>
      </c>
      <c r="F39" s="52">
        <v>2092063.8990907131</v>
      </c>
      <c r="G39" s="53">
        <f t="shared" si="4"/>
        <v>7921643.5803774996</v>
      </c>
    </row>
    <row r="40" spans="1:7" x14ac:dyDescent="0.25">
      <c r="A40" s="55" t="s">
        <v>2</v>
      </c>
      <c r="B40" s="56">
        <f>SUM(B26:B39)</f>
        <v>9998071.5724029057</v>
      </c>
      <c r="C40" s="56">
        <f t="shared" ref="C40:F40" si="5">SUM(C26:C39)</f>
        <v>11284102.444733683</v>
      </c>
      <c r="D40" s="56">
        <f t="shared" si="5"/>
        <v>9434908.6289810929</v>
      </c>
      <c r="E40" s="56">
        <f t="shared" si="5"/>
        <v>10095893.441636186</v>
      </c>
      <c r="F40" s="56">
        <f t="shared" si="5"/>
        <v>11155676.250257302</v>
      </c>
      <c r="G40" s="56">
        <f>SUM(G26:G39)</f>
        <v>51968652.33801116</v>
      </c>
    </row>
    <row r="42" spans="1:7" ht="17.25" x14ac:dyDescent="0.25">
      <c r="A42" s="58" t="s">
        <v>220</v>
      </c>
    </row>
    <row r="43" spans="1:7" x14ac:dyDescent="0.25">
      <c r="A43" s="48" t="s">
        <v>61</v>
      </c>
      <c r="B43" s="50">
        <f>B7</f>
        <v>45139</v>
      </c>
      <c r="C43" s="50">
        <f t="shared" ref="C43:F43" si="6">C7</f>
        <v>45170</v>
      </c>
      <c r="D43" s="50">
        <f t="shared" si="6"/>
        <v>45200</v>
      </c>
      <c r="E43" s="50">
        <f t="shared" si="6"/>
        <v>45231</v>
      </c>
      <c r="F43" s="50">
        <f t="shared" si="6"/>
        <v>45261</v>
      </c>
      <c r="G43" s="51" t="s">
        <v>2</v>
      </c>
    </row>
    <row r="44" spans="1:7" x14ac:dyDescent="0.25">
      <c r="A44" s="47">
        <v>16</v>
      </c>
      <c r="B44" s="52">
        <v>0</v>
      </c>
      <c r="C44" s="52">
        <v>0</v>
      </c>
      <c r="D44" s="52">
        <v>0</v>
      </c>
      <c r="E44" s="52">
        <v>0</v>
      </c>
      <c r="F44" s="52">
        <v>0</v>
      </c>
      <c r="G44" s="53">
        <f t="shared" ref="G44:G57" si="7">SUM(B44:F44)</f>
        <v>0</v>
      </c>
    </row>
    <row r="45" spans="1:7" x14ac:dyDescent="0.25">
      <c r="A45" s="47">
        <v>23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  <c r="G45" s="53">
        <f t="shared" si="7"/>
        <v>0</v>
      </c>
    </row>
    <row r="46" spans="1:7" x14ac:dyDescent="0.25">
      <c r="A46" s="47">
        <v>53</v>
      </c>
      <c r="B46" s="52">
        <v>0</v>
      </c>
      <c r="C46" s="52">
        <v>0</v>
      </c>
      <c r="D46" s="52">
        <v>0</v>
      </c>
      <c r="E46" s="52">
        <v>0</v>
      </c>
      <c r="F46" s="52">
        <v>0</v>
      </c>
      <c r="G46" s="53">
        <f t="shared" si="7"/>
        <v>0</v>
      </c>
    </row>
    <row r="47" spans="1:7" x14ac:dyDescent="0.25">
      <c r="A47" s="47">
        <v>31</v>
      </c>
      <c r="B47" s="52">
        <v>207490.17690768195</v>
      </c>
      <c r="C47" s="52">
        <v>242702.72999032467</v>
      </c>
      <c r="D47" s="52">
        <v>401450.37960928661</v>
      </c>
      <c r="E47" s="52">
        <v>578511.80470066878</v>
      </c>
      <c r="F47" s="52">
        <v>720585.59146103763</v>
      </c>
      <c r="G47" s="53">
        <f t="shared" si="7"/>
        <v>2150740.6826689998</v>
      </c>
    </row>
    <row r="48" spans="1:7" x14ac:dyDescent="0.25">
      <c r="A48" s="47">
        <v>41</v>
      </c>
      <c r="B48" s="52">
        <v>0</v>
      </c>
      <c r="C48" s="52">
        <v>0</v>
      </c>
      <c r="D48" s="52">
        <v>0</v>
      </c>
      <c r="E48" s="52">
        <v>0</v>
      </c>
      <c r="F48" s="52">
        <v>0</v>
      </c>
      <c r="G48" s="53">
        <f t="shared" si="7"/>
        <v>0</v>
      </c>
    </row>
    <row r="49" spans="1:7" x14ac:dyDescent="0.25">
      <c r="A49" s="47">
        <v>85</v>
      </c>
      <c r="B49" s="52">
        <v>211056.10481840867</v>
      </c>
      <c r="C49" s="52">
        <v>197691.30528072716</v>
      </c>
      <c r="D49" s="52">
        <v>270803.99386561522</v>
      </c>
      <c r="E49" s="52">
        <v>305527.97522264026</v>
      </c>
      <c r="F49" s="52">
        <v>372297.19602445845</v>
      </c>
      <c r="G49" s="53">
        <f t="shared" si="7"/>
        <v>1357376.5752118498</v>
      </c>
    </row>
    <row r="50" spans="1:7" x14ac:dyDescent="0.25">
      <c r="A50" s="47">
        <v>86</v>
      </c>
      <c r="B50" s="52">
        <v>0</v>
      </c>
      <c r="C50" s="52">
        <v>0</v>
      </c>
      <c r="D50" s="52">
        <v>0</v>
      </c>
      <c r="E50" s="52">
        <v>0</v>
      </c>
      <c r="F50" s="52">
        <v>0</v>
      </c>
      <c r="G50" s="53">
        <f t="shared" si="7"/>
        <v>0</v>
      </c>
    </row>
    <row r="51" spans="1:7" x14ac:dyDescent="0.25">
      <c r="A51" s="47">
        <v>87</v>
      </c>
      <c r="B51" s="52">
        <v>181060.3012912329</v>
      </c>
      <c r="C51" s="52">
        <v>180717.06020815053</v>
      </c>
      <c r="D51" s="52">
        <v>276151.94054123142</v>
      </c>
      <c r="E51" s="52">
        <v>284775.08529707487</v>
      </c>
      <c r="F51" s="52">
        <v>348753.45928084262</v>
      </c>
      <c r="G51" s="53">
        <f t="shared" si="7"/>
        <v>1271457.8466185324</v>
      </c>
    </row>
    <row r="52" spans="1:7" x14ac:dyDescent="0.25">
      <c r="A52" s="47" t="s">
        <v>28</v>
      </c>
      <c r="B52" s="52">
        <v>0</v>
      </c>
      <c r="C52" s="52">
        <v>0</v>
      </c>
      <c r="D52" s="52">
        <v>0</v>
      </c>
      <c r="E52" s="52">
        <v>0</v>
      </c>
      <c r="F52" s="52">
        <v>0</v>
      </c>
      <c r="G52" s="53">
        <f t="shared" si="7"/>
        <v>0</v>
      </c>
    </row>
    <row r="53" spans="1:7" x14ac:dyDescent="0.25">
      <c r="A53" s="47" t="s">
        <v>30</v>
      </c>
      <c r="B53" s="52">
        <v>0</v>
      </c>
      <c r="C53" s="52">
        <v>0</v>
      </c>
      <c r="D53" s="52">
        <v>0</v>
      </c>
      <c r="E53" s="52">
        <v>0</v>
      </c>
      <c r="F53" s="52">
        <v>0</v>
      </c>
      <c r="G53" s="53">
        <f t="shared" si="7"/>
        <v>0</v>
      </c>
    </row>
    <row r="54" spans="1:7" x14ac:dyDescent="0.25">
      <c r="A54" s="47" t="s">
        <v>32</v>
      </c>
      <c r="B54" s="52">
        <v>0</v>
      </c>
      <c r="C54" s="52">
        <v>0</v>
      </c>
      <c r="D54" s="52">
        <v>0</v>
      </c>
      <c r="E54" s="52">
        <v>0</v>
      </c>
      <c r="F54" s="52">
        <v>0</v>
      </c>
      <c r="G54" s="53">
        <f t="shared" si="7"/>
        <v>0</v>
      </c>
    </row>
    <row r="55" spans="1:7" x14ac:dyDescent="0.25">
      <c r="A55" s="47" t="s">
        <v>34</v>
      </c>
      <c r="B55" s="52">
        <v>0</v>
      </c>
      <c r="C55" s="52">
        <v>0</v>
      </c>
      <c r="D55" s="52">
        <v>0</v>
      </c>
      <c r="E55" s="52">
        <v>0</v>
      </c>
      <c r="F55" s="52">
        <v>0</v>
      </c>
      <c r="G55" s="53">
        <f t="shared" si="7"/>
        <v>0</v>
      </c>
    </row>
    <row r="56" spans="1:7" x14ac:dyDescent="0.25">
      <c r="A56" s="47" t="s">
        <v>36</v>
      </c>
      <c r="B56" s="52">
        <v>0</v>
      </c>
      <c r="C56" s="52">
        <v>0</v>
      </c>
      <c r="D56" s="52">
        <v>0</v>
      </c>
      <c r="E56" s="52">
        <v>0</v>
      </c>
      <c r="F56" s="52">
        <v>0</v>
      </c>
      <c r="G56" s="53">
        <f t="shared" si="7"/>
        <v>0</v>
      </c>
    </row>
    <row r="57" spans="1:7" x14ac:dyDescent="0.25">
      <c r="A57" s="54" t="s">
        <v>37</v>
      </c>
      <c r="B57" s="52">
        <v>0</v>
      </c>
      <c r="C57" s="52">
        <v>0</v>
      </c>
      <c r="D57" s="52">
        <v>0</v>
      </c>
      <c r="E57" s="52">
        <v>0</v>
      </c>
      <c r="F57" s="52">
        <v>0</v>
      </c>
      <c r="G57" s="53">
        <f t="shared" si="7"/>
        <v>0</v>
      </c>
    </row>
    <row r="58" spans="1:7" x14ac:dyDescent="0.25">
      <c r="A58" s="55" t="s">
        <v>2</v>
      </c>
      <c r="B58" s="56">
        <f>SUM(B44:B57)</f>
        <v>599606.58301732352</v>
      </c>
      <c r="C58" s="56">
        <f t="shared" ref="C58:F58" si="8">SUM(C44:C57)</f>
        <v>621111.09547920234</v>
      </c>
      <c r="D58" s="56">
        <f t="shared" si="8"/>
        <v>948406.3140161332</v>
      </c>
      <c r="E58" s="56">
        <f t="shared" si="8"/>
        <v>1168814.865220384</v>
      </c>
      <c r="F58" s="56">
        <f t="shared" si="8"/>
        <v>1441636.2467663388</v>
      </c>
      <c r="G58" s="56">
        <f>SUM(G44:G57)</f>
        <v>4779575.104499382</v>
      </c>
    </row>
    <row r="60" spans="1:7" ht="17.25" x14ac:dyDescent="0.25">
      <c r="A60" s="58" t="s">
        <v>221</v>
      </c>
    </row>
    <row r="61" spans="1:7" x14ac:dyDescent="0.25">
      <c r="A61" s="48" t="s">
        <v>61</v>
      </c>
      <c r="B61" s="50">
        <f>B7</f>
        <v>45139</v>
      </c>
      <c r="C61" s="50">
        <f t="shared" ref="C61:F61" si="9">C7</f>
        <v>45170</v>
      </c>
      <c r="D61" s="50">
        <f t="shared" si="9"/>
        <v>45200</v>
      </c>
      <c r="E61" s="50">
        <f t="shared" si="9"/>
        <v>45231</v>
      </c>
      <c r="F61" s="50">
        <f t="shared" si="9"/>
        <v>45261</v>
      </c>
      <c r="G61" s="51" t="s">
        <v>2</v>
      </c>
    </row>
    <row r="62" spans="1:7" x14ac:dyDescent="0.25">
      <c r="A62" s="47">
        <v>16</v>
      </c>
      <c r="B62" s="52">
        <v>0</v>
      </c>
      <c r="C62" s="52">
        <v>0</v>
      </c>
      <c r="D62" s="52">
        <v>0</v>
      </c>
      <c r="E62" s="52">
        <v>0</v>
      </c>
      <c r="F62" s="52">
        <v>0</v>
      </c>
      <c r="G62" s="53">
        <f t="shared" ref="G62:G75" si="10">SUM(B62:F62)</f>
        <v>0</v>
      </c>
    </row>
    <row r="63" spans="1:7" x14ac:dyDescent="0.25">
      <c r="A63" s="47">
        <v>23</v>
      </c>
      <c r="B63" s="52">
        <v>0</v>
      </c>
      <c r="C63" s="52">
        <v>0</v>
      </c>
      <c r="D63" s="52">
        <v>0</v>
      </c>
      <c r="E63" s="52">
        <v>0</v>
      </c>
      <c r="F63" s="52">
        <v>0</v>
      </c>
      <c r="G63" s="53">
        <f t="shared" si="10"/>
        <v>0</v>
      </c>
    </row>
    <row r="64" spans="1:7" x14ac:dyDescent="0.25">
      <c r="A64" s="47">
        <v>53</v>
      </c>
      <c r="B64" s="52">
        <v>0</v>
      </c>
      <c r="C64" s="52">
        <v>0</v>
      </c>
      <c r="D64" s="52">
        <v>0</v>
      </c>
      <c r="E64" s="52">
        <v>0</v>
      </c>
      <c r="F64" s="52">
        <v>0</v>
      </c>
      <c r="G64" s="53">
        <f t="shared" si="10"/>
        <v>0</v>
      </c>
    </row>
    <row r="65" spans="1:7" x14ac:dyDescent="0.25">
      <c r="A65" s="47">
        <v>31</v>
      </c>
      <c r="B65" s="52">
        <v>0</v>
      </c>
      <c r="C65" s="52">
        <v>0</v>
      </c>
      <c r="D65" s="52">
        <v>0</v>
      </c>
      <c r="E65" s="52">
        <v>0</v>
      </c>
      <c r="F65" s="52">
        <v>0</v>
      </c>
      <c r="G65" s="53">
        <f t="shared" si="10"/>
        <v>0</v>
      </c>
    </row>
    <row r="66" spans="1:7" x14ac:dyDescent="0.25">
      <c r="A66" s="47">
        <v>41</v>
      </c>
      <c r="B66" s="52">
        <v>0</v>
      </c>
      <c r="C66" s="52">
        <v>0</v>
      </c>
      <c r="D66" s="52">
        <v>0</v>
      </c>
      <c r="E66" s="52">
        <v>0</v>
      </c>
      <c r="F66" s="52">
        <v>0</v>
      </c>
      <c r="G66" s="53">
        <f t="shared" si="10"/>
        <v>0</v>
      </c>
    </row>
    <row r="67" spans="1:7" x14ac:dyDescent="0.25">
      <c r="A67" s="47">
        <v>85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3">
        <f t="shared" si="10"/>
        <v>0</v>
      </c>
    </row>
    <row r="68" spans="1:7" x14ac:dyDescent="0.25">
      <c r="A68" s="47">
        <v>86</v>
      </c>
      <c r="B68" s="52">
        <v>0</v>
      </c>
      <c r="C68" s="52">
        <v>0</v>
      </c>
      <c r="D68" s="52">
        <v>0</v>
      </c>
      <c r="E68" s="52">
        <v>0</v>
      </c>
      <c r="F68" s="52">
        <v>0</v>
      </c>
      <c r="G68" s="53">
        <f t="shared" si="10"/>
        <v>0</v>
      </c>
    </row>
    <row r="69" spans="1:7" x14ac:dyDescent="0.25">
      <c r="A69" s="47">
        <v>87</v>
      </c>
      <c r="B69" s="52">
        <v>0</v>
      </c>
      <c r="C69" s="52">
        <v>0</v>
      </c>
      <c r="D69" s="52">
        <v>0</v>
      </c>
      <c r="E69" s="52">
        <v>0</v>
      </c>
      <c r="F69" s="52">
        <v>0</v>
      </c>
      <c r="G69" s="53">
        <f t="shared" si="10"/>
        <v>0</v>
      </c>
    </row>
    <row r="70" spans="1:7" x14ac:dyDescent="0.25">
      <c r="A70" s="47" t="s">
        <v>28</v>
      </c>
      <c r="B70" s="52">
        <v>0</v>
      </c>
      <c r="C70" s="52">
        <v>0</v>
      </c>
      <c r="D70" s="52">
        <v>0</v>
      </c>
      <c r="E70" s="52">
        <v>0</v>
      </c>
      <c r="F70" s="52">
        <v>0</v>
      </c>
      <c r="G70" s="53">
        <f t="shared" si="10"/>
        <v>0</v>
      </c>
    </row>
    <row r="71" spans="1:7" x14ac:dyDescent="0.25">
      <c r="A71" s="47" t="s">
        <v>30</v>
      </c>
      <c r="B71" s="52">
        <v>0</v>
      </c>
      <c r="C71" s="52">
        <v>0</v>
      </c>
      <c r="D71" s="52">
        <v>0</v>
      </c>
      <c r="E71" s="52">
        <v>0</v>
      </c>
      <c r="F71" s="52">
        <v>0</v>
      </c>
      <c r="G71" s="53">
        <f t="shared" si="10"/>
        <v>0</v>
      </c>
    </row>
    <row r="72" spans="1:7" x14ac:dyDescent="0.25">
      <c r="A72" s="47" t="s">
        <v>32</v>
      </c>
      <c r="B72" s="52">
        <v>0</v>
      </c>
      <c r="C72" s="52">
        <v>0</v>
      </c>
      <c r="D72" s="52">
        <v>0</v>
      </c>
      <c r="E72" s="52">
        <v>0</v>
      </c>
      <c r="F72" s="52">
        <v>0</v>
      </c>
      <c r="G72" s="53">
        <f t="shared" si="10"/>
        <v>0</v>
      </c>
    </row>
    <row r="73" spans="1:7" x14ac:dyDescent="0.25">
      <c r="A73" s="47" t="s">
        <v>34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3">
        <f t="shared" si="10"/>
        <v>0</v>
      </c>
    </row>
    <row r="74" spans="1:7" x14ac:dyDescent="0.25">
      <c r="A74" s="47" t="s">
        <v>36</v>
      </c>
      <c r="B74" s="52">
        <v>0</v>
      </c>
      <c r="C74" s="52">
        <v>0</v>
      </c>
      <c r="D74" s="52">
        <v>0</v>
      </c>
      <c r="E74" s="52">
        <v>0</v>
      </c>
      <c r="F74" s="52">
        <v>0</v>
      </c>
      <c r="G74" s="53">
        <f t="shared" si="10"/>
        <v>0</v>
      </c>
    </row>
    <row r="75" spans="1:7" x14ac:dyDescent="0.25">
      <c r="A75" s="54" t="s">
        <v>37</v>
      </c>
      <c r="B75" s="52">
        <v>0</v>
      </c>
      <c r="C75" s="52">
        <v>0</v>
      </c>
      <c r="D75" s="52">
        <v>0</v>
      </c>
      <c r="E75" s="52">
        <v>0</v>
      </c>
      <c r="F75" s="52">
        <v>0</v>
      </c>
      <c r="G75" s="53">
        <f t="shared" si="10"/>
        <v>0</v>
      </c>
    </row>
    <row r="76" spans="1:7" x14ac:dyDescent="0.25">
      <c r="A76" s="55" t="s">
        <v>2</v>
      </c>
      <c r="B76" s="56">
        <f>SUM(B62:B75)</f>
        <v>0</v>
      </c>
      <c r="C76" s="56">
        <f t="shared" ref="C76:F76" si="11">SUM(C62:C75)</f>
        <v>0</v>
      </c>
      <c r="D76" s="56">
        <f t="shared" si="11"/>
        <v>0</v>
      </c>
      <c r="E76" s="56">
        <f t="shared" si="11"/>
        <v>0</v>
      </c>
      <c r="F76" s="56">
        <f t="shared" si="11"/>
        <v>0</v>
      </c>
      <c r="G76" s="56">
        <f>SUM(G62:G75)</f>
        <v>0</v>
      </c>
    </row>
    <row r="78" spans="1:7" x14ac:dyDescent="0.25">
      <c r="A78" s="58" t="s">
        <v>67</v>
      </c>
    </row>
    <row r="79" spans="1:7" x14ac:dyDescent="0.25">
      <c r="A79" s="48" t="s">
        <v>61</v>
      </c>
      <c r="B79" s="50">
        <f>B7</f>
        <v>45139</v>
      </c>
      <c r="C79" s="50">
        <f t="shared" ref="C79:F79" si="12">C7</f>
        <v>45170</v>
      </c>
      <c r="D79" s="50">
        <f t="shared" si="12"/>
        <v>45200</v>
      </c>
      <c r="E79" s="50">
        <f t="shared" si="12"/>
        <v>45231</v>
      </c>
      <c r="F79" s="50">
        <f t="shared" si="12"/>
        <v>45261</v>
      </c>
      <c r="G79" s="51" t="s">
        <v>2</v>
      </c>
    </row>
    <row r="80" spans="1:7" x14ac:dyDescent="0.25">
      <c r="A80" s="47">
        <v>16</v>
      </c>
      <c r="B80" s="53">
        <f>B8-B26-B44-B62</f>
        <v>589</v>
      </c>
      <c r="C80" s="53">
        <f t="shared" ref="C80:F80" si="13">C8-C26-C44-C62</f>
        <v>589</v>
      </c>
      <c r="D80" s="53">
        <f t="shared" si="13"/>
        <v>589</v>
      </c>
      <c r="E80" s="53">
        <f t="shared" si="13"/>
        <v>589</v>
      </c>
      <c r="F80" s="53">
        <f t="shared" si="13"/>
        <v>589</v>
      </c>
      <c r="G80" s="53">
        <f t="shared" ref="G80:G93" si="14">SUM(B80:F80)</f>
        <v>2945</v>
      </c>
    </row>
    <row r="81" spans="1:7" x14ac:dyDescent="0.25">
      <c r="A81" s="47">
        <v>23</v>
      </c>
      <c r="B81" s="53">
        <f t="shared" ref="B81:F93" si="15">B9-B27-B45-B63</f>
        <v>12799549</v>
      </c>
      <c r="C81" s="53">
        <f t="shared" si="15"/>
        <v>18485479</v>
      </c>
      <c r="D81" s="53">
        <f t="shared" si="15"/>
        <v>42611904</v>
      </c>
      <c r="E81" s="53">
        <f t="shared" si="15"/>
        <v>70762036</v>
      </c>
      <c r="F81" s="53">
        <f t="shared" si="15"/>
        <v>92371205</v>
      </c>
      <c r="G81" s="53">
        <f t="shared" si="14"/>
        <v>237030173</v>
      </c>
    </row>
    <row r="82" spans="1:7" x14ac:dyDescent="0.25">
      <c r="A82" s="47">
        <v>53</v>
      </c>
      <c r="B82" s="53">
        <f t="shared" si="15"/>
        <v>0</v>
      </c>
      <c r="C82" s="53">
        <f t="shared" si="15"/>
        <v>0</v>
      </c>
      <c r="D82" s="53">
        <f t="shared" si="15"/>
        <v>0</v>
      </c>
      <c r="E82" s="53">
        <f t="shared" si="15"/>
        <v>0</v>
      </c>
      <c r="F82" s="53">
        <f t="shared" si="15"/>
        <v>0</v>
      </c>
      <c r="G82" s="53">
        <f t="shared" si="14"/>
        <v>0</v>
      </c>
    </row>
    <row r="83" spans="1:7" x14ac:dyDescent="0.25">
      <c r="A83" s="47">
        <v>31</v>
      </c>
      <c r="B83" s="53">
        <f t="shared" si="15"/>
        <v>9783087.4024568852</v>
      </c>
      <c r="C83" s="53">
        <f t="shared" si="15"/>
        <v>11443346.647521865</v>
      </c>
      <c r="D83" s="53">
        <f t="shared" si="15"/>
        <v>18928241.375082374</v>
      </c>
      <c r="E83" s="53">
        <f t="shared" si="15"/>
        <v>27276624.045955855</v>
      </c>
      <c r="F83" s="53">
        <f t="shared" si="15"/>
        <v>33975352.121613733</v>
      </c>
      <c r="G83" s="53">
        <f t="shared" si="14"/>
        <v>101406651.59263071</v>
      </c>
    </row>
    <row r="84" spans="1:7" x14ac:dyDescent="0.25">
      <c r="A84" s="47">
        <v>41</v>
      </c>
      <c r="B84" s="53">
        <f t="shared" si="15"/>
        <v>3155541.0862687221</v>
      </c>
      <c r="C84" s="53">
        <f t="shared" si="15"/>
        <v>3752317.4646081496</v>
      </c>
      <c r="D84" s="53">
        <f t="shared" si="15"/>
        <v>5794052.5075372513</v>
      </c>
      <c r="E84" s="53">
        <f t="shared" si="15"/>
        <v>7516122.9912763322</v>
      </c>
      <c r="F84" s="53">
        <f t="shared" si="15"/>
        <v>8234736.7054687794</v>
      </c>
      <c r="G84" s="53">
        <f t="shared" si="14"/>
        <v>28452770.755159236</v>
      </c>
    </row>
    <row r="85" spans="1:7" x14ac:dyDescent="0.25">
      <c r="A85" s="47">
        <v>85</v>
      </c>
      <c r="B85" s="53">
        <f t="shared" si="15"/>
        <v>621194.89518159139</v>
      </c>
      <c r="C85" s="53">
        <f t="shared" si="15"/>
        <v>581858.6947192729</v>
      </c>
      <c r="D85" s="53">
        <f t="shared" si="15"/>
        <v>797049.00613438478</v>
      </c>
      <c r="E85" s="53">
        <f t="shared" si="15"/>
        <v>899251.02477735979</v>
      </c>
      <c r="F85" s="53">
        <f t="shared" si="15"/>
        <v>1095770.8039755416</v>
      </c>
      <c r="G85" s="53">
        <f t="shared" si="14"/>
        <v>3995124.4247881505</v>
      </c>
    </row>
    <row r="86" spans="1:7" x14ac:dyDescent="0.25">
      <c r="A86" s="47">
        <v>86</v>
      </c>
      <c r="B86" s="53">
        <f t="shared" si="15"/>
        <v>152007</v>
      </c>
      <c r="C86" s="53">
        <f t="shared" si="15"/>
        <v>166978</v>
      </c>
      <c r="D86" s="53">
        <f t="shared" si="15"/>
        <v>363562</v>
      </c>
      <c r="E86" s="53">
        <f t="shared" si="15"/>
        <v>543680</v>
      </c>
      <c r="F86" s="53">
        <f t="shared" si="15"/>
        <v>801521</v>
      </c>
      <c r="G86" s="53">
        <f t="shared" si="14"/>
        <v>2027748</v>
      </c>
    </row>
    <row r="87" spans="1:7" x14ac:dyDescent="0.25">
      <c r="A87" s="47">
        <v>87</v>
      </c>
      <c r="B87" s="53">
        <f t="shared" si="15"/>
        <v>75356.24824686526</v>
      </c>
      <c r="C87" s="53">
        <f t="shared" si="15"/>
        <v>75213.393296990544</v>
      </c>
      <c r="D87" s="53">
        <f t="shared" si="15"/>
        <v>114932.8374959809</v>
      </c>
      <c r="E87" s="53">
        <f t="shared" si="15"/>
        <v>118521.74037671112</v>
      </c>
      <c r="F87" s="53">
        <f t="shared" si="15"/>
        <v>145149.16890725779</v>
      </c>
      <c r="G87" s="53">
        <f t="shared" si="14"/>
        <v>529173.38832380553</v>
      </c>
    </row>
    <row r="88" spans="1:7" x14ac:dyDescent="0.25">
      <c r="A88" s="47" t="s">
        <v>28</v>
      </c>
      <c r="B88" s="53">
        <f t="shared" si="15"/>
        <v>1835</v>
      </c>
      <c r="C88" s="53">
        <f t="shared" si="15"/>
        <v>2343</v>
      </c>
      <c r="D88" s="53">
        <f t="shared" si="15"/>
        <v>2751</v>
      </c>
      <c r="E88" s="53">
        <f t="shared" si="15"/>
        <v>3920</v>
      </c>
      <c r="F88" s="53">
        <f t="shared" si="15"/>
        <v>4292</v>
      </c>
      <c r="G88" s="53">
        <f t="shared" si="14"/>
        <v>15141</v>
      </c>
    </row>
    <row r="89" spans="1:7" x14ac:dyDescent="0.25">
      <c r="A89" s="47" t="s">
        <v>30</v>
      </c>
      <c r="B89" s="53">
        <f t="shared" si="15"/>
        <v>1775579</v>
      </c>
      <c r="C89" s="53">
        <f t="shared" si="15"/>
        <v>2017119</v>
      </c>
      <c r="D89" s="53">
        <f t="shared" si="15"/>
        <v>1757599</v>
      </c>
      <c r="E89" s="53">
        <f t="shared" si="15"/>
        <v>2051608</v>
      </c>
      <c r="F89" s="53">
        <f t="shared" si="15"/>
        <v>1994393</v>
      </c>
      <c r="G89" s="53">
        <f t="shared" si="14"/>
        <v>9596298</v>
      </c>
    </row>
    <row r="90" spans="1:7" x14ac:dyDescent="0.25">
      <c r="A90" s="47" t="s">
        <v>32</v>
      </c>
      <c r="B90" s="53">
        <f t="shared" si="15"/>
        <v>5550120.9459422268</v>
      </c>
      <c r="C90" s="53">
        <f t="shared" si="15"/>
        <v>6417315.3969599297</v>
      </c>
      <c r="D90" s="53">
        <f t="shared" si="15"/>
        <v>5215602.5524918083</v>
      </c>
      <c r="E90" s="53">
        <f t="shared" si="15"/>
        <v>5602205.668387509</v>
      </c>
      <c r="F90" s="53">
        <f t="shared" si="15"/>
        <v>5324394.0631043026</v>
      </c>
      <c r="G90" s="53">
        <f t="shared" si="14"/>
        <v>28109638.626885779</v>
      </c>
    </row>
    <row r="91" spans="1:7" x14ac:dyDescent="0.25">
      <c r="A91" s="47" t="s">
        <v>34</v>
      </c>
      <c r="B91" s="53">
        <f t="shared" si="15"/>
        <v>100786</v>
      </c>
      <c r="C91" s="53">
        <f t="shared" si="15"/>
        <v>131542</v>
      </c>
      <c r="D91" s="53">
        <f t="shared" si="15"/>
        <v>98743</v>
      </c>
      <c r="E91" s="53">
        <f t="shared" si="15"/>
        <v>114025</v>
      </c>
      <c r="F91" s="53">
        <f t="shared" si="15"/>
        <v>106642</v>
      </c>
      <c r="G91" s="53">
        <f t="shared" si="14"/>
        <v>551738</v>
      </c>
    </row>
    <row r="92" spans="1:7" x14ac:dyDescent="0.25">
      <c r="A92" s="47" t="s">
        <v>36</v>
      </c>
      <c r="B92" s="53">
        <f t="shared" si="15"/>
        <v>1212307.1732547935</v>
      </c>
      <c r="C92" s="53">
        <f t="shared" si="15"/>
        <v>1360604.9024918247</v>
      </c>
      <c r="D92" s="53">
        <f t="shared" si="15"/>
        <v>1016228.3837887198</v>
      </c>
      <c r="E92" s="53">
        <f t="shared" si="15"/>
        <v>1035770.3515464729</v>
      </c>
      <c r="F92" s="53">
        <f t="shared" si="15"/>
        <v>1130222.5389974527</v>
      </c>
      <c r="G92" s="53">
        <f t="shared" si="14"/>
        <v>5755133.3500792636</v>
      </c>
    </row>
    <row r="93" spans="1:7" x14ac:dyDescent="0.25">
      <c r="A93" s="54" t="s">
        <v>37</v>
      </c>
      <c r="B93" s="53">
        <f t="shared" si="15"/>
        <v>950808.0932286852</v>
      </c>
      <c r="C93" s="53">
        <f t="shared" si="15"/>
        <v>1187210.9601890838</v>
      </c>
      <c r="D93" s="53">
        <f t="shared" si="15"/>
        <v>1206254.3944722528</v>
      </c>
      <c r="E93" s="53">
        <f t="shared" si="15"/>
        <v>1598178.8708231912</v>
      </c>
      <c r="F93" s="53">
        <f t="shared" si="15"/>
        <v>1773700.1009092869</v>
      </c>
      <c r="G93" s="53">
        <f t="shared" si="14"/>
        <v>6716152.4196225004</v>
      </c>
    </row>
    <row r="94" spans="1:7" x14ac:dyDescent="0.25">
      <c r="A94" s="55" t="s">
        <v>2</v>
      </c>
      <c r="B94" s="56">
        <f>SUM(B80:B93)</f>
        <v>36178760.844579771</v>
      </c>
      <c r="C94" s="56">
        <f t="shared" ref="C94:F94" si="16">SUM(C80:C93)</f>
        <v>45621917.459787108</v>
      </c>
      <c r="D94" s="56">
        <f t="shared" si="16"/>
        <v>77907509.057002783</v>
      </c>
      <c r="E94" s="56">
        <f t="shared" si="16"/>
        <v>117522532.69314341</v>
      </c>
      <c r="F94" s="56">
        <f t="shared" si="16"/>
        <v>146957967.50297636</v>
      </c>
      <c r="G94" s="56">
        <f>SUM(G80:G93)</f>
        <v>424188687.55748945</v>
      </c>
    </row>
    <row r="96" spans="1:7" ht="17.25" x14ac:dyDescent="0.25">
      <c r="A96" s="44" t="s">
        <v>222</v>
      </c>
    </row>
    <row r="97" spans="1:1" ht="17.25" x14ac:dyDescent="0.25">
      <c r="A97" s="44" t="s">
        <v>223</v>
      </c>
    </row>
    <row r="98" spans="1:1" ht="17.25" x14ac:dyDescent="0.25">
      <c r="A98" s="44" t="s">
        <v>224</v>
      </c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fitToHeight="3" orientation="landscape" blackAndWhite="1" r:id="rId1"/>
  <headerFooter>
    <oddFooter>&amp;L&amp;F 
&amp;A&amp;C&amp;P&amp;R&amp;D</oddFooter>
  </headerFooter>
  <rowBreaks count="4" manualBreakCount="4">
    <brk id="22" max="6" man="1"/>
    <brk id="40" max="6" man="1"/>
    <brk id="58" max="6" man="1"/>
    <brk id="76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zoomScale="90" zoomScaleNormal="90" workbookViewId="0">
      <pane ySplit="4" topLeftCell="A104" activePane="bottomLeft" state="frozen"/>
      <selection pane="bottomLeft" activeCell="I123" sqref="I123"/>
    </sheetView>
  </sheetViews>
  <sheetFormatPr defaultColWidth="9.140625" defaultRowHeight="15" x14ac:dyDescent="0.25"/>
  <cols>
    <col min="1" max="1" width="17.85546875" style="44" customWidth="1"/>
    <col min="2" max="4" width="11" style="44" bestFit="1" customWidth="1"/>
    <col min="5" max="6" width="12" style="44" bestFit="1" customWidth="1"/>
    <col min="7" max="7" width="13.85546875" style="44" customWidth="1"/>
    <col min="8" max="16384" width="9.140625" style="44"/>
  </cols>
  <sheetData>
    <row r="1" spans="1:7" x14ac:dyDescent="0.25">
      <c r="A1" s="225" t="s">
        <v>0</v>
      </c>
      <c r="B1" s="225"/>
      <c r="C1" s="225"/>
      <c r="D1" s="225"/>
      <c r="E1" s="225"/>
      <c r="F1" s="225"/>
      <c r="G1" s="225"/>
    </row>
    <row r="2" spans="1:7" x14ac:dyDescent="0.25">
      <c r="A2" s="231" t="str">
        <f>'Sch. 111 Charge Rates'!A2</f>
        <v>2023 Gas Schedule 111 Greenhouse Gas Emissions Cap and Invest Adjustment Filing</v>
      </c>
      <c r="B2" s="231"/>
      <c r="C2" s="231"/>
      <c r="D2" s="231"/>
      <c r="E2" s="231"/>
      <c r="F2" s="231"/>
      <c r="G2" s="231"/>
    </row>
    <row r="3" spans="1:7" x14ac:dyDescent="0.25">
      <c r="A3" s="231" t="s">
        <v>68</v>
      </c>
      <c r="B3" s="231"/>
      <c r="C3" s="231"/>
      <c r="D3" s="231"/>
      <c r="E3" s="231"/>
      <c r="F3" s="231"/>
      <c r="G3" s="231"/>
    </row>
    <row r="4" spans="1:7" x14ac:dyDescent="0.25">
      <c r="A4" s="232" t="str">
        <f>'F2022 Forecast'!A4:G4</f>
        <v>August 2023 - December 2023</v>
      </c>
      <c r="B4" s="231"/>
      <c r="C4" s="231"/>
      <c r="D4" s="231"/>
      <c r="E4" s="231"/>
      <c r="F4" s="231"/>
      <c r="G4" s="231"/>
    </row>
    <row r="5" spans="1:7" x14ac:dyDescent="0.25">
      <c r="A5" s="45"/>
      <c r="B5" s="45"/>
      <c r="C5" s="45"/>
      <c r="D5" s="45"/>
      <c r="E5" s="45"/>
      <c r="F5" s="46"/>
      <c r="G5" s="46"/>
    </row>
    <row r="6" spans="1:7" x14ac:dyDescent="0.25">
      <c r="A6" s="58" t="s">
        <v>66</v>
      </c>
      <c r="B6" s="45"/>
      <c r="C6" s="45"/>
      <c r="D6" s="45"/>
      <c r="E6" s="45"/>
      <c r="F6" s="46"/>
      <c r="G6" s="46"/>
    </row>
    <row r="7" spans="1:7" x14ac:dyDescent="0.25">
      <c r="A7" s="48" t="s">
        <v>61</v>
      </c>
      <c r="B7" s="49">
        <v>45139</v>
      </c>
      <c r="C7" s="50">
        <f>EDATE(B7,1)</f>
        <v>45170</v>
      </c>
      <c r="D7" s="50">
        <f t="shared" ref="D7:F7" si="0">EDATE(C7,1)</f>
        <v>45200</v>
      </c>
      <c r="E7" s="50">
        <f t="shared" si="0"/>
        <v>45231</v>
      </c>
      <c r="F7" s="50">
        <f t="shared" si="0"/>
        <v>45261</v>
      </c>
      <c r="G7" s="51" t="s">
        <v>2</v>
      </c>
    </row>
    <row r="8" spans="1:7" x14ac:dyDescent="0.25">
      <c r="A8" s="47">
        <v>16</v>
      </c>
      <c r="B8" s="59">
        <f>'F2022 Forecast'!B26</f>
        <v>6</v>
      </c>
      <c r="C8" s="59">
        <f>'F2022 Forecast'!C26</f>
        <v>6</v>
      </c>
      <c r="D8" s="59">
        <f>'F2022 Forecast'!D26</f>
        <v>6</v>
      </c>
      <c r="E8" s="59">
        <f>'F2022 Forecast'!E26</f>
        <v>6</v>
      </c>
      <c r="F8" s="59">
        <f>'F2022 Forecast'!F26</f>
        <v>6</v>
      </c>
      <c r="G8" s="53">
        <f t="shared" ref="G8:G21" si="1">SUM(B8:F8)</f>
        <v>30</v>
      </c>
    </row>
    <row r="9" spans="1:7" x14ac:dyDescent="0.25">
      <c r="A9" s="47">
        <v>23</v>
      </c>
      <c r="B9" s="59">
        <f>'F2022 Forecast'!B27</f>
        <v>820546</v>
      </c>
      <c r="C9" s="59">
        <f>'F2022 Forecast'!C27</f>
        <v>821471</v>
      </c>
      <c r="D9" s="59">
        <f>'F2022 Forecast'!D27</f>
        <v>824062</v>
      </c>
      <c r="E9" s="59">
        <f>'F2022 Forecast'!E27</f>
        <v>826215</v>
      </c>
      <c r="F9" s="59">
        <f>'F2022 Forecast'!F27</f>
        <v>827606</v>
      </c>
      <c r="G9" s="53">
        <f t="shared" si="1"/>
        <v>4119900</v>
      </c>
    </row>
    <row r="10" spans="1:7" x14ac:dyDescent="0.25">
      <c r="A10" s="47">
        <v>53</v>
      </c>
      <c r="B10" s="59">
        <f>'F2022 Forecast'!B28</f>
        <v>0</v>
      </c>
      <c r="C10" s="59">
        <f>'F2022 Forecast'!C28</f>
        <v>0</v>
      </c>
      <c r="D10" s="59">
        <f>'F2022 Forecast'!D28</f>
        <v>0</v>
      </c>
      <c r="E10" s="59">
        <f>'F2022 Forecast'!E28</f>
        <v>0</v>
      </c>
      <c r="F10" s="59">
        <f>'F2022 Forecast'!F28</f>
        <v>0</v>
      </c>
      <c r="G10" s="53">
        <f t="shared" si="1"/>
        <v>0</v>
      </c>
    </row>
    <row r="11" spans="1:7" x14ac:dyDescent="0.25">
      <c r="A11" s="47">
        <v>31</v>
      </c>
      <c r="B11" s="59">
        <f>'F2022 Forecast'!B29</f>
        <v>58598</v>
      </c>
      <c r="C11" s="59">
        <f>'F2022 Forecast'!C29</f>
        <v>58632</v>
      </c>
      <c r="D11" s="59">
        <f>'F2022 Forecast'!D29</f>
        <v>58665</v>
      </c>
      <c r="E11" s="59">
        <f>'F2022 Forecast'!E29</f>
        <v>58699</v>
      </c>
      <c r="F11" s="59">
        <f>'F2022 Forecast'!F29</f>
        <v>58740</v>
      </c>
      <c r="G11" s="53">
        <f t="shared" si="1"/>
        <v>293334</v>
      </c>
    </row>
    <row r="12" spans="1:7" x14ac:dyDescent="0.25">
      <c r="A12" s="47">
        <v>41</v>
      </c>
      <c r="B12" s="59">
        <f>'F2022 Forecast'!B30</f>
        <v>1267</v>
      </c>
      <c r="C12" s="59">
        <f>'F2022 Forecast'!C30</f>
        <v>1268</v>
      </c>
      <c r="D12" s="59">
        <f>'F2022 Forecast'!D30</f>
        <v>1269</v>
      </c>
      <c r="E12" s="59">
        <f>'F2022 Forecast'!E30</f>
        <v>1270</v>
      </c>
      <c r="F12" s="59">
        <f>'F2022 Forecast'!F30</f>
        <v>1270</v>
      </c>
      <c r="G12" s="53">
        <f t="shared" si="1"/>
        <v>6344</v>
      </c>
    </row>
    <row r="13" spans="1:7" x14ac:dyDescent="0.25">
      <c r="A13" s="47">
        <v>85</v>
      </c>
      <c r="B13" s="59">
        <f>'F2022 Forecast'!B31</f>
        <v>30</v>
      </c>
      <c r="C13" s="59">
        <f>'F2022 Forecast'!C31</f>
        <v>30</v>
      </c>
      <c r="D13" s="59">
        <f>'F2022 Forecast'!D31</f>
        <v>30</v>
      </c>
      <c r="E13" s="59">
        <f>'F2022 Forecast'!E31</f>
        <v>30</v>
      </c>
      <c r="F13" s="59">
        <f>'F2022 Forecast'!F31</f>
        <v>30</v>
      </c>
      <c r="G13" s="53">
        <f t="shared" si="1"/>
        <v>150</v>
      </c>
    </row>
    <row r="14" spans="1:7" x14ac:dyDescent="0.25">
      <c r="A14" s="47">
        <v>86</v>
      </c>
      <c r="B14" s="59">
        <f>'F2022 Forecast'!B32</f>
        <v>97</v>
      </c>
      <c r="C14" s="59">
        <f>'F2022 Forecast'!C32</f>
        <v>96</v>
      </c>
      <c r="D14" s="59">
        <f>'F2022 Forecast'!D32</f>
        <v>96</v>
      </c>
      <c r="E14" s="59">
        <f>'F2022 Forecast'!E32</f>
        <v>95</v>
      </c>
      <c r="F14" s="59">
        <f>'F2022 Forecast'!F32</f>
        <v>95</v>
      </c>
      <c r="G14" s="53">
        <f t="shared" si="1"/>
        <v>479</v>
      </c>
    </row>
    <row r="15" spans="1:7" x14ac:dyDescent="0.25">
      <c r="A15" s="47">
        <v>87</v>
      </c>
      <c r="B15" s="59">
        <f>'F2022 Forecast'!B33</f>
        <v>5</v>
      </c>
      <c r="C15" s="59">
        <f>'F2022 Forecast'!C33</f>
        <v>5</v>
      </c>
      <c r="D15" s="59">
        <f>'F2022 Forecast'!D33</f>
        <v>5</v>
      </c>
      <c r="E15" s="59">
        <f>'F2022 Forecast'!E33</f>
        <v>5</v>
      </c>
      <c r="F15" s="59">
        <f>'F2022 Forecast'!F33</f>
        <v>5</v>
      </c>
      <c r="G15" s="53">
        <f t="shared" si="1"/>
        <v>25</v>
      </c>
    </row>
    <row r="16" spans="1:7" x14ac:dyDescent="0.25">
      <c r="A16" s="47" t="s">
        <v>28</v>
      </c>
      <c r="B16" s="59">
        <f>'F2022 Forecast'!B34</f>
        <v>2</v>
      </c>
      <c r="C16" s="59">
        <f>'F2022 Forecast'!C34</f>
        <v>2</v>
      </c>
      <c r="D16" s="59">
        <f>'F2022 Forecast'!D34</f>
        <v>2</v>
      </c>
      <c r="E16" s="59">
        <f>'F2022 Forecast'!E34</f>
        <v>2</v>
      </c>
      <c r="F16" s="59">
        <f>'F2022 Forecast'!F34</f>
        <v>2</v>
      </c>
      <c r="G16" s="53">
        <f t="shared" si="1"/>
        <v>10</v>
      </c>
    </row>
    <row r="17" spans="1:7" x14ac:dyDescent="0.25">
      <c r="A17" s="47" t="s">
        <v>30</v>
      </c>
      <c r="B17" s="59">
        <f>'F2022 Forecast'!B35</f>
        <v>102</v>
      </c>
      <c r="C17" s="59">
        <f>'F2022 Forecast'!C35</f>
        <v>102</v>
      </c>
      <c r="D17" s="59">
        <f>'F2022 Forecast'!D35</f>
        <v>102</v>
      </c>
      <c r="E17" s="59">
        <f>'F2022 Forecast'!E35</f>
        <v>102</v>
      </c>
      <c r="F17" s="59">
        <f>'F2022 Forecast'!F35</f>
        <v>102</v>
      </c>
      <c r="G17" s="53">
        <f t="shared" si="1"/>
        <v>510</v>
      </c>
    </row>
    <row r="18" spans="1:7" x14ac:dyDescent="0.25">
      <c r="A18" s="47" t="s">
        <v>32</v>
      </c>
      <c r="B18" s="59">
        <f>'F2022 Forecast'!B36</f>
        <v>89</v>
      </c>
      <c r="C18" s="59">
        <f>'F2022 Forecast'!C36</f>
        <v>89</v>
      </c>
      <c r="D18" s="59">
        <f>'F2022 Forecast'!D36</f>
        <v>89</v>
      </c>
      <c r="E18" s="59">
        <f>'F2022 Forecast'!E36</f>
        <v>89</v>
      </c>
      <c r="F18" s="59">
        <f>'F2022 Forecast'!F36</f>
        <v>89</v>
      </c>
      <c r="G18" s="53">
        <f t="shared" si="1"/>
        <v>445</v>
      </c>
    </row>
    <row r="19" spans="1:7" x14ac:dyDescent="0.25">
      <c r="A19" s="47" t="s">
        <v>34</v>
      </c>
      <c r="B19" s="59">
        <f>'F2022 Forecast'!B37</f>
        <v>6</v>
      </c>
      <c r="C19" s="59">
        <f>'F2022 Forecast'!C37</f>
        <v>6</v>
      </c>
      <c r="D19" s="59">
        <f>'F2022 Forecast'!D37</f>
        <v>6</v>
      </c>
      <c r="E19" s="59">
        <f>'F2022 Forecast'!E37</f>
        <v>6</v>
      </c>
      <c r="F19" s="59">
        <f>'F2022 Forecast'!F37</f>
        <v>6</v>
      </c>
      <c r="G19" s="53">
        <f t="shared" si="1"/>
        <v>30</v>
      </c>
    </row>
    <row r="20" spans="1:7" x14ac:dyDescent="0.25">
      <c r="A20" s="47" t="s">
        <v>36</v>
      </c>
      <c r="B20" s="59">
        <f>'F2022 Forecast'!B38</f>
        <v>11</v>
      </c>
      <c r="C20" s="59">
        <f>'F2022 Forecast'!C38</f>
        <v>11</v>
      </c>
      <c r="D20" s="59">
        <f>'F2022 Forecast'!D38</f>
        <v>11</v>
      </c>
      <c r="E20" s="59">
        <f>'F2022 Forecast'!E38</f>
        <v>11</v>
      </c>
      <c r="F20" s="59">
        <f>'F2022 Forecast'!F38</f>
        <v>11</v>
      </c>
      <c r="G20" s="53">
        <f t="shared" si="1"/>
        <v>55</v>
      </c>
    </row>
    <row r="21" spans="1:7" x14ac:dyDescent="0.25">
      <c r="A21" s="54" t="s">
        <v>37</v>
      </c>
      <c r="B21" s="59">
        <f>'F2022 Forecast'!B39</f>
        <v>10</v>
      </c>
      <c r="C21" s="59">
        <f>'F2022 Forecast'!C39</f>
        <v>10</v>
      </c>
      <c r="D21" s="59">
        <f>'F2022 Forecast'!D39</f>
        <v>10</v>
      </c>
      <c r="E21" s="59">
        <f>'F2022 Forecast'!E39</f>
        <v>10</v>
      </c>
      <c r="F21" s="59">
        <f>'F2022 Forecast'!F39</f>
        <v>10</v>
      </c>
      <c r="G21" s="53">
        <f t="shared" si="1"/>
        <v>50</v>
      </c>
    </row>
    <row r="22" spans="1:7" x14ac:dyDescent="0.25">
      <c r="A22" s="55" t="s">
        <v>2</v>
      </c>
      <c r="B22" s="56">
        <f>SUM(B8:B21)</f>
        <v>880769</v>
      </c>
      <c r="C22" s="56">
        <f t="shared" ref="C22:F22" si="2">SUM(C8:C21)</f>
        <v>881728</v>
      </c>
      <c r="D22" s="56">
        <f t="shared" si="2"/>
        <v>884353</v>
      </c>
      <c r="E22" s="56">
        <f t="shared" si="2"/>
        <v>886540</v>
      </c>
      <c r="F22" s="56">
        <f t="shared" si="2"/>
        <v>887972</v>
      </c>
      <c r="G22" s="56">
        <f>SUM(G8:G21)</f>
        <v>4421362</v>
      </c>
    </row>
    <row r="23" spans="1:7" x14ac:dyDescent="0.25">
      <c r="A23" s="55"/>
      <c r="B23" s="57"/>
      <c r="C23" s="57"/>
      <c r="D23" s="57"/>
      <c r="E23" s="57"/>
      <c r="F23" s="57"/>
      <c r="G23" s="57"/>
    </row>
    <row r="24" spans="1:7" ht="17.25" x14ac:dyDescent="0.25">
      <c r="A24" s="58" t="s">
        <v>235</v>
      </c>
    </row>
    <row r="25" spans="1:7" x14ac:dyDescent="0.25">
      <c r="A25" s="48" t="s">
        <v>61</v>
      </c>
      <c r="B25" s="50">
        <f>B7</f>
        <v>45139</v>
      </c>
      <c r="C25" s="50">
        <f t="shared" ref="C25:F25" si="3">C7</f>
        <v>45170</v>
      </c>
      <c r="D25" s="50">
        <f t="shared" si="3"/>
        <v>45200</v>
      </c>
      <c r="E25" s="50">
        <f t="shared" si="3"/>
        <v>45231</v>
      </c>
      <c r="F25" s="50">
        <f t="shared" si="3"/>
        <v>45261</v>
      </c>
      <c r="G25" s="51" t="s">
        <v>2</v>
      </c>
    </row>
    <row r="26" spans="1:7" x14ac:dyDescent="0.25">
      <c r="A26" s="47">
        <v>16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  <c r="G26" s="53">
        <f t="shared" ref="G26:G39" si="4">SUM(B26:F26)</f>
        <v>0</v>
      </c>
    </row>
    <row r="27" spans="1:7" x14ac:dyDescent="0.25">
      <c r="A27" s="47">
        <v>23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3">
        <f t="shared" si="4"/>
        <v>0</v>
      </c>
    </row>
    <row r="28" spans="1:7" x14ac:dyDescent="0.25">
      <c r="A28" s="47">
        <v>53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3">
        <f t="shared" si="4"/>
        <v>0</v>
      </c>
    </row>
    <row r="29" spans="1:7" x14ac:dyDescent="0.25">
      <c r="A29" s="47">
        <v>31</v>
      </c>
      <c r="B29" s="52">
        <v>4</v>
      </c>
      <c r="C29" s="52">
        <v>4</v>
      </c>
      <c r="D29" s="52">
        <v>4</v>
      </c>
      <c r="E29" s="52">
        <v>4</v>
      </c>
      <c r="F29" s="52">
        <v>4</v>
      </c>
      <c r="G29" s="53">
        <f t="shared" si="4"/>
        <v>20</v>
      </c>
    </row>
    <row r="30" spans="1:7" x14ac:dyDescent="0.25">
      <c r="A30" s="47">
        <v>41</v>
      </c>
      <c r="B30" s="52">
        <v>2</v>
      </c>
      <c r="C30" s="52">
        <v>2</v>
      </c>
      <c r="D30" s="52">
        <v>2</v>
      </c>
      <c r="E30" s="52">
        <v>2</v>
      </c>
      <c r="F30" s="52">
        <v>2</v>
      </c>
      <c r="G30" s="53">
        <f t="shared" si="4"/>
        <v>10</v>
      </c>
    </row>
    <row r="31" spans="1:7" x14ac:dyDescent="0.25">
      <c r="A31" s="47">
        <v>85</v>
      </c>
      <c r="B31" s="52">
        <v>0</v>
      </c>
      <c r="C31" s="52">
        <v>0</v>
      </c>
      <c r="D31" s="52">
        <v>0</v>
      </c>
      <c r="E31" s="52">
        <v>0</v>
      </c>
      <c r="F31" s="52">
        <v>0</v>
      </c>
      <c r="G31" s="53">
        <f t="shared" si="4"/>
        <v>0</v>
      </c>
    </row>
    <row r="32" spans="1:7" x14ac:dyDescent="0.25">
      <c r="A32" s="47">
        <v>86</v>
      </c>
      <c r="B32" s="52">
        <v>0</v>
      </c>
      <c r="C32" s="52">
        <v>0</v>
      </c>
      <c r="D32" s="52">
        <v>0</v>
      </c>
      <c r="E32" s="52">
        <v>0</v>
      </c>
      <c r="F32" s="52">
        <v>0</v>
      </c>
      <c r="G32" s="53">
        <f t="shared" si="4"/>
        <v>0</v>
      </c>
    </row>
    <row r="33" spans="1:7" x14ac:dyDescent="0.25">
      <c r="A33" s="47">
        <v>87</v>
      </c>
      <c r="B33" s="52">
        <v>1</v>
      </c>
      <c r="C33" s="52">
        <v>1</v>
      </c>
      <c r="D33" s="52">
        <v>1</v>
      </c>
      <c r="E33" s="52">
        <v>1</v>
      </c>
      <c r="F33" s="52">
        <v>1</v>
      </c>
      <c r="G33" s="53">
        <f t="shared" si="4"/>
        <v>5</v>
      </c>
    </row>
    <row r="34" spans="1:7" x14ac:dyDescent="0.25">
      <c r="A34" s="47" t="s">
        <v>28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53">
        <f t="shared" si="4"/>
        <v>0</v>
      </c>
    </row>
    <row r="35" spans="1:7" x14ac:dyDescent="0.25">
      <c r="A35" s="47" t="s">
        <v>30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3">
        <f t="shared" si="4"/>
        <v>0</v>
      </c>
    </row>
    <row r="36" spans="1:7" x14ac:dyDescent="0.25">
      <c r="A36" s="47" t="s">
        <v>32</v>
      </c>
      <c r="B36" s="52">
        <v>1</v>
      </c>
      <c r="C36" s="52">
        <v>1</v>
      </c>
      <c r="D36" s="52">
        <v>1</v>
      </c>
      <c r="E36" s="52">
        <v>1</v>
      </c>
      <c r="F36" s="52">
        <v>1</v>
      </c>
      <c r="G36" s="53">
        <f t="shared" si="4"/>
        <v>5</v>
      </c>
    </row>
    <row r="37" spans="1:7" x14ac:dyDescent="0.25">
      <c r="A37" s="47" t="s">
        <v>34</v>
      </c>
      <c r="B37" s="52">
        <v>0</v>
      </c>
      <c r="C37" s="52">
        <v>0</v>
      </c>
      <c r="D37" s="52">
        <v>0</v>
      </c>
      <c r="E37" s="52">
        <v>0</v>
      </c>
      <c r="F37" s="52">
        <v>0</v>
      </c>
      <c r="G37" s="53">
        <f t="shared" si="4"/>
        <v>0</v>
      </c>
    </row>
    <row r="38" spans="1:7" x14ac:dyDescent="0.25">
      <c r="A38" s="47" t="s">
        <v>36</v>
      </c>
      <c r="B38" s="52">
        <v>7</v>
      </c>
      <c r="C38" s="52">
        <v>7</v>
      </c>
      <c r="D38" s="52">
        <v>7</v>
      </c>
      <c r="E38" s="52">
        <v>7</v>
      </c>
      <c r="F38" s="52">
        <v>7</v>
      </c>
      <c r="G38" s="53">
        <f t="shared" si="4"/>
        <v>35</v>
      </c>
    </row>
    <row r="39" spans="1:7" x14ac:dyDescent="0.25">
      <c r="A39" s="54" t="s">
        <v>37</v>
      </c>
      <c r="B39" s="52">
        <v>2</v>
      </c>
      <c r="C39" s="52">
        <v>2</v>
      </c>
      <c r="D39" s="52">
        <v>2</v>
      </c>
      <c r="E39" s="52">
        <v>2</v>
      </c>
      <c r="F39" s="52">
        <v>2</v>
      </c>
      <c r="G39" s="53">
        <f t="shared" si="4"/>
        <v>10</v>
      </c>
    </row>
    <row r="40" spans="1:7" x14ac:dyDescent="0.25">
      <c r="A40" s="55" t="s">
        <v>2</v>
      </c>
      <c r="B40" s="56">
        <f>SUM(B26:B39)</f>
        <v>17</v>
      </c>
      <c r="C40" s="56">
        <f t="shared" ref="C40:F40" si="5">SUM(C26:C39)</f>
        <v>17</v>
      </c>
      <c r="D40" s="56">
        <f t="shared" si="5"/>
        <v>17</v>
      </c>
      <c r="E40" s="56">
        <f t="shared" si="5"/>
        <v>17</v>
      </c>
      <c r="F40" s="56">
        <f t="shared" si="5"/>
        <v>17</v>
      </c>
      <c r="G40" s="56">
        <f>SUM(G26:G39)</f>
        <v>85</v>
      </c>
    </row>
    <row r="42" spans="1:7" ht="17.25" x14ac:dyDescent="0.25">
      <c r="A42" s="58" t="s">
        <v>225</v>
      </c>
    </row>
    <row r="43" spans="1:7" x14ac:dyDescent="0.25">
      <c r="A43" s="48" t="s">
        <v>61</v>
      </c>
      <c r="B43" s="50">
        <f>B7</f>
        <v>45139</v>
      </c>
      <c r="C43" s="50">
        <f t="shared" ref="C43:F43" si="6">C7</f>
        <v>45170</v>
      </c>
      <c r="D43" s="50">
        <f t="shared" si="6"/>
        <v>45200</v>
      </c>
      <c r="E43" s="50">
        <f t="shared" si="6"/>
        <v>45231</v>
      </c>
      <c r="F43" s="50">
        <f t="shared" si="6"/>
        <v>45261</v>
      </c>
      <c r="G43" s="51" t="s">
        <v>2</v>
      </c>
    </row>
    <row r="44" spans="1:7" x14ac:dyDescent="0.25">
      <c r="A44" s="47">
        <v>16</v>
      </c>
      <c r="B44" s="52">
        <v>0</v>
      </c>
      <c r="C44" s="52">
        <v>0</v>
      </c>
      <c r="D44" s="52">
        <v>0</v>
      </c>
      <c r="E44" s="52">
        <v>0</v>
      </c>
      <c r="F44" s="52">
        <v>0</v>
      </c>
      <c r="G44" s="53">
        <f t="shared" ref="G44:G57" si="7">SUM(B44:F44)</f>
        <v>0</v>
      </c>
    </row>
    <row r="45" spans="1:7" x14ac:dyDescent="0.25">
      <c r="A45" s="47">
        <v>23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  <c r="G45" s="53">
        <f t="shared" si="7"/>
        <v>0</v>
      </c>
    </row>
    <row r="46" spans="1:7" x14ac:dyDescent="0.25">
      <c r="A46" s="47">
        <v>53</v>
      </c>
      <c r="B46" s="52">
        <v>0</v>
      </c>
      <c r="C46" s="52">
        <v>0</v>
      </c>
      <c r="D46" s="52">
        <v>0</v>
      </c>
      <c r="E46" s="52">
        <v>0</v>
      </c>
      <c r="F46" s="52">
        <v>0</v>
      </c>
      <c r="G46" s="53">
        <f t="shared" si="7"/>
        <v>0</v>
      </c>
    </row>
    <row r="47" spans="1:7" x14ac:dyDescent="0.25">
      <c r="A47" s="47">
        <v>31</v>
      </c>
      <c r="B47" s="52">
        <v>491</v>
      </c>
      <c r="C47" s="52">
        <v>491</v>
      </c>
      <c r="D47" s="52">
        <v>491</v>
      </c>
      <c r="E47" s="52">
        <v>491</v>
      </c>
      <c r="F47" s="52">
        <v>491</v>
      </c>
      <c r="G47" s="53">
        <f t="shared" si="7"/>
        <v>2455</v>
      </c>
    </row>
    <row r="48" spans="1:7" x14ac:dyDescent="0.25">
      <c r="A48" s="47">
        <v>41</v>
      </c>
      <c r="B48" s="52">
        <v>0</v>
      </c>
      <c r="C48" s="52">
        <v>0</v>
      </c>
      <c r="D48" s="52">
        <v>0</v>
      </c>
      <c r="E48" s="52">
        <v>0</v>
      </c>
      <c r="F48" s="52">
        <v>0</v>
      </c>
      <c r="G48" s="53">
        <f t="shared" si="7"/>
        <v>0</v>
      </c>
    </row>
    <row r="49" spans="1:7" x14ac:dyDescent="0.25">
      <c r="A49" s="47">
        <v>85</v>
      </c>
      <c r="B49" s="52">
        <v>1</v>
      </c>
      <c r="C49" s="52">
        <v>1</v>
      </c>
      <c r="D49" s="52">
        <v>1</v>
      </c>
      <c r="E49" s="52">
        <v>1</v>
      </c>
      <c r="F49" s="52">
        <v>1</v>
      </c>
      <c r="G49" s="53">
        <f t="shared" si="7"/>
        <v>5</v>
      </c>
    </row>
    <row r="50" spans="1:7" x14ac:dyDescent="0.25">
      <c r="A50" s="47">
        <v>86</v>
      </c>
      <c r="B50" s="52">
        <v>0</v>
      </c>
      <c r="C50" s="52">
        <v>0</v>
      </c>
      <c r="D50" s="52">
        <v>0</v>
      </c>
      <c r="E50" s="52">
        <v>0</v>
      </c>
      <c r="F50" s="52">
        <v>0</v>
      </c>
      <c r="G50" s="53">
        <f t="shared" si="7"/>
        <v>0</v>
      </c>
    </row>
    <row r="51" spans="1:7" x14ac:dyDescent="0.25">
      <c r="A51" s="47">
        <v>87</v>
      </c>
      <c r="B51" s="52">
        <v>2</v>
      </c>
      <c r="C51" s="52">
        <v>2</v>
      </c>
      <c r="D51" s="52">
        <v>2</v>
      </c>
      <c r="E51" s="52">
        <v>2</v>
      </c>
      <c r="F51" s="52">
        <v>2</v>
      </c>
      <c r="G51" s="53">
        <f t="shared" si="7"/>
        <v>10</v>
      </c>
    </row>
    <row r="52" spans="1:7" x14ac:dyDescent="0.25">
      <c r="A52" s="47" t="s">
        <v>28</v>
      </c>
      <c r="B52" s="52">
        <v>0</v>
      </c>
      <c r="C52" s="52">
        <v>0</v>
      </c>
      <c r="D52" s="52">
        <v>0</v>
      </c>
      <c r="E52" s="52">
        <v>0</v>
      </c>
      <c r="F52" s="52">
        <v>0</v>
      </c>
      <c r="G52" s="53">
        <f t="shared" si="7"/>
        <v>0</v>
      </c>
    </row>
    <row r="53" spans="1:7" x14ac:dyDescent="0.25">
      <c r="A53" s="47" t="s">
        <v>30</v>
      </c>
      <c r="B53" s="52">
        <v>0</v>
      </c>
      <c r="C53" s="52">
        <v>0</v>
      </c>
      <c r="D53" s="52">
        <v>0</v>
      </c>
      <c r="E53" s="52">
        <v>0</v>
      </c>
      <c r="F53" s="52">
        <v>0</v>
      </c>
      <c r="G53" s="53">
        <f t="shared" si="7"/>
        <v>0</v>
      </c>
    </row>
    <row r="54" spans="1:7" x14ac:dyDescent="0.25">
      <c r="A54" s="47" t="s">
        <v>32</v>
      </c>
      <c r="B54" s="52">
        <v>0</v>
      </c>
      <c r="C54" s="52">
        <v>0</v>
      </c>
      <c r="D54" s="52">
        <v>0</v>
      </c>
      <c r="E54" s="52">
        <v>0</v>
      </c>
      <c r="F54" s="52">
        <v>0</v>
      </c>
      <c r="G54" s="53">
        <f t="shared" si="7"/>
        <v>0</v>
      </c>
    </row>
    <row r="55" spans="1:7" x14ac:dyDescent="0.25">
      <c r="A55" s="47" t="s">
        <v>34</v>
      </c>
      <c r="B55" s="52">
        <v>0</v>
      </c>
      <c r="C55" s="52">
        <v>0</v>
      </c>
      <c r="D55" s="52">
        <v>0</v>
      </c>
      <c r="E55" s="52">
        <v>0</v>
      </c>
      <c r="F55" s="52">
        <v>0</v>
      </c>
      <c r="G55" s="53">
        <f t="shared" si="7"/>
        <v>0</v>
      </c>
    </row>
    <row r="56" spans="1:7" x14ac:dyDescent="0.25">
      <c r="A56" s="47" t="s">
        <v>36</v>
      </c>
      <c r="B56" s="52">
        <v>0</v>
      </c>
      <c r="C56" s="52">
        <v>0</v>
      </c>
      <c r="D56" s="52">
        <v>0</v>
      </c>
      <c r="E56" s="52">
        <v>0</v>
      </c>
      <c r="F56" s="52">
        <v>0</v>
      </c>
      <c r="G56" s="53">
        <f t="shared" si="7"/>
        <v>0</v>
      </c>
    </row>
    <row r="57" spans="1:7" x14ac:dyDescent="0.25">
      <c r="A57" s="54" t="s">
        <v>37</v>
      </c>
      <c r="B57" s="52">
        <v>0</v>
      </c>
      <c r="C57" s="52">
        <v>0</v>
      </c>
      <c r="D57" s="52">
        <v>0</v>
      </c>
      <c r="E57" s="52">
        <v>0</v>
      </c>
      <c r="F57" s="52">
        <v>0</v>
      </c>
      <c r="G57" s="53">
        <f t="shared" si="7"/>
        <v>0</v>
      </c>
    </row>
    <row r="58" spans="1:7" x14ac:dyDescent="0.25">
      <c r="A58" s="55" t="s">
        <v>2</v>
      </c>
      <c r="B58" s="56">
        <f>SUM(B44:B57)</f>
        <v>494</v>
      </c>
      <c r="C58" s="56">
        <f t="shared" ref="C58:F58" si="8">SUM(C44:C57)</f>
        <v>494</v>
      </c>
      <c r="D58" s="56">
        <f t="shared" si="8"/>
        <v>494</v>
      </c>
      <c r="E58" s="56">
        <f t="shared" si="8"/>
        <v>494</v>
      </c>
      <c r="F58" s="56">
        <f t="shared" si="8"/>
        <v>494</v>
      </c>
      <c r="G58" s="56">
        <f>SUM(G44:G57)</f>
        <v>2470</v>
      </c>
    </row>
    <row r="60" spans="1:7" ht="17.25" x14ac:dyDescent="0.25">
      <c r="A60" s="58" t="s">
        <v>226</v>
      </c>
    </row>
    <row r="61" spans="1:7" x14ac:dyDescent="0.25">
      <c r="A61" s="48" t="s">
        <v>61</v>
      </c>
      <c r="B61" s="50">
        <f>B7</f>
        <v>45139</v>
      </c>
      <c r="C61" s="50">
        <f t="shared" ref="C61:F61" si="9">C7</f>
        <v>45170</v>
      </c>
      <c r="D61" s="50">
        <f t="shared" si="9"/>
        <v>45200</v>
      </c>
      <c r="E61" s="50">
        <f t="shared" si="9"/>
        <v>45231</v>
      </c>
      <c r="F61" s="50">
        <f t="shared" si="9"/>
        <v>45261</v>
      </c>
      <c r="G61" s="51" t="s">
        <v>2</v>
      </c>
    </row>
    <row r="62" spans="1:7" x14ac:dyDescent="0.25">
      <c r="A62" s="47">
        <v>16</v>
      </c>
      <c r="B62" s="52">
        <v>0</v>
      </c>
      <c r="C62" s="52">
        <v>0</v>
      </c>
      <c r="D62" s="52">
        <v>0</v>
      </c>
      <c r="E62" s="52">
        <v>0</v>
      </c>
      <c r="F62" s="52">
        <v>0</v>
      </c>
      <c r="G62" s="53">
        <f t="shared" ref="G62:G75" si="10">SUM(B62:F62)</f>
        <v>0</v>
      </c>
    </row>
    <row r="63" spans="1:7" x14ac:dyDescent="0.25">
      <c r="A63" s="47">
        <v>23</v>
      </c>
      <c r="B63" s="52">
        <v>0</v>
      </c>
      <c r="C63" s="52">
        <v>0</v>
      </c>
      <c r="D63" s="52">
        <v>0</v>
      </c>
      <c r="E63" s="52">
        <v>0</v>
      </c>
      <c r="F63" s="52">
        <v>0</v>
      </c>
      <c r="G63" s="53">
        <f t="shared" si="10"/>
        <v>0</v>
      </c>
    </row>
    <row r="64" spans="1:7" x14ac:dyDescent="0.25">
      <c r="A64" s="47">
        <v>53</v>
      </c>
      <c r="B64" s="52">
        <v>0</v>
      </c>
      <c r="C64" s="52">
        <v>0</v>
      </c>
      <c r="D64" s="52">
        <v>0</v>
      </c>
      <c r="E64" s="52">
        <v>0</v>
      </c>
      <c r="F64" s="52">
        <v>0</v>
      </c>
      <c r="G64" s="53">
        <f t="shared" si="10"/>
        <v>0</v>
      </c>
    </row>
    <row r="65" spans="1:7" x14ac:dyDescent="0.25">
      <c r="A65" s="47">
        <v>31</v>
      </c>
      <c r="B65" s="52">
        <v>0</v>
      </c>
      <c r="C65" s="52">
        <v>0</v>
      </c>
      <c r="D65" s="52">
        <v>0</v>
      </c>
      <c r="E65" s="52">
        <v>0</v>
      </c>
      <c r="F65" s="52">
        <v>0</v>
      </c>
      <c r="G65" s="53">
        <f t="shared" si="10"/>
        <v>0</v>
      </c>
    </row>
    <row r="66" spans="1:7" x14ac:dyDescent="0.25">
      <c r="A66" s="47">
        <v>41</v>
      </c>
      <c r="B66" s="52">
        <v>0</v>
      </c>
      <c r="C66" s="52">
        <v>0</v>
      </c>
      <c r="D66" s="52">
        <v>0</v>
      </c>
      <c r="E66" s="52">
        <v>0</v>
      </c>
      <c r="F66" s="52">
        <v>0</v>
      </c>
      <c r="G66" s="53">
        <f t="shared" si="10"/>
        <v>0</v>
      </c>
    </row>
    <row r="67" spans="1:7" x14ac:dyDescent="0.25">
      <c r="A67" s="47">
        <v>85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3">
        <f t="shared" si="10"/>
        <v>0</v>
      </c>
    </row>
    <row r="68" spans="1:7" x14ac:dyDescent="0.25">
      <c r="A68" s="47">
        <v>86</v>
      </c>
      <c r="B68" s="52">
        <v>0</v>
      </c>
      <c r="C68" s="52">
        <v>0</v>
      </c>
      <c r="D68" s="52">
        <v>0</v>
      </c>
      <c r="E68" s="52">
        <v>0</v>
      </c>
      <c r="F68" s="52">
        <v>0</v>
      </c>
      <c r="G68" s="53">
        <f t="shared" si="10"/>
        <v>0</v>
      </c>
    </row>
    <row r="69" spans="1:7" x14ac:dyDescent="0.25">
      <c r="A69" s="47">
        <v>87</v>
      </c>
      <c r="B69" s="52">
        <v>0</v>
      </c>
      <c r="C69" s="52">
        <v>0</v>
      </c>
      <c r="D69" s="52">
        <v>0</v>
      </c>
      <c r="E69" s="52">
        <v>0</v>
      </c>
      <c r="F69" s="52">
        <v>0</v>
      </c>
      <c r="G69" s="53">
        <f t="shared" si="10"/>
        <v>0</v>
      </c>
    </row>
    <row r="70" spans="1:7" x14ac:dyDescent="0.25">
      <c r="A70" s="47" t="s">
        <v>28</v>
      </c>
      <c r="B70" s="52">
        <v>0</v>
      </c>
      <c r="C70" s="52">
        <v>0</v>
      </c>
      <c r="D70" s="52">
        <v>0</v>
      </c>
      <c r="E70" s="52">
        <v>0</v>
      </c>
      <c r="F70" s="52">
        <v>0</v>
      </c>
      <c r="G70" s="53">
        <f t="shared" si="10"/>
        <v>0</v>
      </c>
    </row>
    <row r="71" spans="1:7" x14ac:dyDescent="0.25">
      <c r="A71" s="47" t="s">
        <v>30</v>
      </c>
      <c r="B71" s="52">
        <v>0</v>
      </c>
      <c r="C71" s="52">
        <v>0</v>
      </c>
      <c r="D71" s="52">
        <v>0</v>
      </c>
      <c r="E71" s="52">
        <v>0</v>
      </c>
      <c r="F71" s="52">
        <v>0</v>
      </c>
      <c r="G71" s="53">
        <f t="shared" si="10"/>
        <v>0</v>
      </c>
    </row>
    <row r="72" spans="1:7" x14ac:dyDescent="0.25">
      <c r="A72" s="47" t="s">
        <v>32</v>
      </c>
      <c r="B72" s="52">
        <v>0</v>
      </c>
      <c r="C72" s="52">
        <v>0</v>
      </c>
      <c r="D72" s="52">
        <v>0</v>
      </c>
      <c r="E72" s="52">
        <v>0</v>
      </c>
      <c r="F72" s="52">
        <v>0</v>
      </c>
      <c r="G72" s="53">
        <f t="shared" si="10"/>
        <v>0</v>
      </c>
    </row>
    <row r="73" spans="1:7" x14ac:dyDescent="0.25">
      <c r="A73" s="47" t="s">
        <v>34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3">
        <f t="shared" si="10"/>
        <v>0</v>
      </c>
    </row>
    <row r="74" spans="1:7" x14ac:dyDescent="0.25">
      <c r="A74" s="47" t="s">
        <v>36</v>
      </c>
      <c r="B74" s="52">
        <v>0</v>
      </c>
      <c r="C74" s="52">
        <v>0</v>
      </c>
      <c r="D74" s="52">
        <v>0</v>
      </c>
      <c r="E74" s="52">
        <v>0</v>
      </c>
      <c r="F74" s="52">
        <v>0</v>
      </c>
      <c r="G74" s="53">
        <f t="shared" si="10"/>
        <v>0</v>
      </c>
    </row>
    <row r="75" spans="1:7" x14ac:dyDescent="0.25">
      <c r="A75" s="54" t="s">
        <v>37</v>
      </c>
      <c r="B75" s="52">
        <v>0</v>
      </c>
      <c r="C75" s="52">
        <v>0</v>
      </c>
      <c r="D75" s="52">
        <v>0</v>
      </c>
      <c r="E75" s="52">
        <v>0</v>
      </c>
      <c r="F75" s="52">
        <v>0</v>
      </c>
      <c r="G75" s="53">
        <f t="shared" si="10"/>
        <v>0</v>
      </c>
    </row>
    <row r="76" spans="1:7" x14ac:dyDescent="0.25">
      <c r="A76" s="55" t="s">
        <v>2</v>
      </c>
      <c r="B76" s="56">
        <f>SUM(B62:B75)</f>
        <v>0</v>
      </c>
      <c r="C76" s="56">
        <f t="shared" ref="C76:F76" si="11">SUM(C62:C75)</f>
        <v>0</v>
      </c>
      <c r="D76" s="56">
        <f t="shared" si="11"/>
        <v>0</v>
      </c>
      <c r="E76" s="56">
        <f t="shared" si="11"/>
        <v>0</v>
      </c>
      <c r="F76" s="56">
        <f t="shared" si="11"/>
        <v>0</v>
      </c>
      <c r="G76" s="56">
        <f>SUM(G62:G75)</f>
        <v>0</v>
      </c>
    </row>
    <row r="78" spans="1:7" ht="17.25" x14ac:dyDescent="0.25">
      <c r="A78" s="58" t="s">
        <v>227</v>
      </c>
    </row>
    <row r="79" spans="1:7" x14ac:dyDescent="0.25">
      <c r="A79" s="48" t="s">
        <v>61</v>
      </c>
      <c r="B79" s="50">
        <f>B25</f>
        <v>45139</v>
      </c>
      <c r="C79" s="50">
        <f t="shared" ref="C79:F79" si="12">C25</f>
        <v>45170</v>
      </c>
      <c r="D79" s="50">
        <f t="shared" si="12"/>
        <v>45200</v>
      </c>
      <c r="E79" s="50">
        <f t="shared" si="12"/>
        <v>45231</v>
      </c>
      <c r="F79" s="50">
        <f t="shared" si="12"/>
        <v>45261</v>
      </c>
      <c r="G79" s="51" t="s">
        <v>2</v>
      </c>
    </row>
    <row r="80" spans="1:7" x14ac:dyDescent="0.25">
      <c r="A80" s="47">
        <v>16</v>
      </c>
      <c r="B80" s="52">
        <v>0</v>
      </c>
      <c r="C80" s="52">
        <v>0</v>
      </c>
      <c r="D80" s="52">
        <v>0</v>
      </c>
      <c r="E80" s="52">
        <v>0</v>
      </c>
      <c r="F80" s="52">
        <v>0</v>
      </c>
      <c r="G80" s="53">
        <f t="shared" ref="G80:G93" si="13">SUM(B80:F80)</f>
        <v>0</v>
      </c>
    </row>
    <row r="81" spans="1:7" x14ac:dyDescent="0.25">
      <c r="A81" s="47">
        <v>23</v>
      </c>
      <c r="B81" s="52">
        <v>10562</v>
      </c>
      <c r="C81" s="52">
        <v>10562</v>
      </c>
      <c r="D81" s="52">
        <v>10562</v>
      </c>
      <c r="E81" s="52">
        <v>10562</v>
      </c>
      <c r="F81" s="52">
        <v>10562</v>
      </c>
      <c r="G81" s="53">
        <f t="shared" si="13"/>
        <v>52810</v>
      </c>
    </row>
    <row r="82" spans="1:7" x14ac:dyDescent="0.25">
      <c r="A82" s="47">
        <v>53</v>
      </c>
      <c r="B82" s="52">
        <v>0</v>
      </c>
      <c r="C82" s="52">
        <v>0</v>
      </c>
      <c r="D82" s="52">
        <v>0</v>
      </c>
      <c r="E82" s="52">
        <v>0</v>
      </c>
      <c r="F82" s="52">
        <v>0</v>
      </c>
      <c r="G82" s="53">
        <f t="shared" si="13"/>
        <v>0</v>
      </c>
    </row>
    <row r="83" spans="1:7" x14ac:dyDescent="0.25">
      <c r="A83" s="47">
        <v>31</v>
      </c>
      <c r="B83" s="52">
        <v>0</v>
      </c>
      <c r="C83" s="52">
        <v>0</v>
      </c>
      <c r="D83" s="52">
        <v>0</v>
      </c>
      <c r="E83" s="52">
        <v>0</v>
      </c>
      <c r="F83" s="52">
        <v>0</v>
      </c>
      <c r="G83" s="53">
        <f t="shared" si="13"/>
        <v>0</v>
      </c>
    </row>
    <row r="84" spans="1:7" x14ac:dyDescent="0.25">
      <c r="A84" s="47">
        <v>41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3">
        <f t="shared" si="13"/>
        <v>0</v>
      </c>
    </row>
    <row r="85" spans="1:7" x14ac:dyDescent="0.25">
      <c r="A85" s="47">
        <v>85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3">
        <f t="shared" si="13"/>
        <v>0</v>
      </c>
    </row>
    <row r="86" spans="1:7" x14ac:dyDescent="0.25">
      <c r="A86" s="47">
        <v>86</v>
      </c>
      <c r="B86" s="52">
        <v>0</v>
      </c>
      <c r="C86" s="52">
        <v>0</v>
      </c>
      <c r="D86" s="52">
        <v>0</v>
      </c>
      <c r="E86" s="52">
        <v>0</v>
      </c>
      <c r="F86" s="52">
        <v>0</v>
      </c>
      <c r="G86" s="53">
        <f t="shared" si="13"/>
        <v>0</v>
      </c>
    </row>
    <row r="87" spans="1:7" x14ac:dyDescent="0.25">
      <c r="A87" s="47">
        <v>87</v>
      </c>
      <c r="B87" s="52">
        <v>0</v>
      </c>
      <c r="C87" s="52">
        <v>0</v>
      </c>
      <c r="D87" s="52">
        <v>0</v>
      </c>
      <c r="E87" s="52">
        <v>0</v>
      </c>
      <c r="F87" s="52">
        <v>0</v>
      </c>
      <c r="G87" s="53">
        <f t="shared" si="13"/>
        <v>0</v>
      </c>
    </row>
    <row r="88" spans="1:7" x14ac:dyDescent="0.25">
      <c r="A88" s="47" t="s">
        <v>28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3">
        <f t="shared" si="13"/>
        <v>0</v>
      </c>
    </row>
    <row r="89" spans="1:7" x14ac:dyDescent="0.25">
      <c r="A89" s="47" t="s">
        <v>30</v>
      </c>
      <c r="B89" s="52">
        <v>0</v>
      </c>
      <c r="C89" s="52">
        <v>0</v>
      </c>
      <c r="D89" s="52">
        <v>0</v>
      </c>
      <c r="E89" s="52">
        <v>0</v>
      </c>
      <c r="F89" s="52">
        <v>0</v>
      </c>
      <c r="G89" s="53">
        <f t="shared" si="13"/>
        <v>0</v>
      </c>
    </row>
    <row r="90" spans="1:7" x14ac:dyDescent="0.25">
      <c r="A90" s="47" t="s">
        <v>32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3">
        <f t="shared" si="13"/>
        <v>0</v>
      </c>
    </row>
    <row r="91" spans="1:7" x14ac:dyDescent="0.25">
      <c r="A91" s="47" t="s">
        <v>34</v>
      </c>
      <c r="B91" s="52">
        <v>0</v>
      </c>
      <c r="C91" s="52">
        <v>0</v>
      </c>
      <c r="D91" s="52">
        <v>0</v>
      </c>
      <c r="E91" s="52">
        <v>0</v>
      </c>
      <c r="F91" s="52">
        <v>0</v>
      </c>
      <c r="G91" s="53">
        <f t="shared" si="13"/>
        <v>0</v>
      </c>
    </row>
    <row r="92" spans="1:7" x14ac:dyDescent="0.25">
      <c r="A92" s="47" t="s">
        <v>36</v>
      </c>
      <c r="B92" s="52">
        <v>0</v>
      </c>
      <c r="C92" s="52">
        <v>0</v>
      </c>
      <c r="D92" s="52">
        <v>0</v>
      </c>
      <c r="E92" s="52">
        <v>0</v>
      </c>
      <c r="F92" s="52">
        <v>0</v>
      </c>
      <c r="G92" s="53">
        <f t="shared" si="13"/>
        <v>0</v>
      </c>
    </row>
    <row r="93" spans="1:7" x14ac:dyDescent="0.25">
      <c r="A93" s="54" t="s">
        <v>37</v>
      </c>
      <c r="B93" s="52">
        <v>0</v>
      </c>
      <c r="C93" s="52">
        <v>0</v>
      </c>
      <c r="D93" s="52">
        <v>0</v>
      </c>
      <c r="E93" s="52">
        <v>0</v>
      </c>
      <c r="F93" s="52">
        <v>0</v>
      </c>
      <c r="G93" s="53">
        <f t="shared" si="13"/>
        <v>0</v>
      </c>
    </row>
    <row r="94" spans="1:7" x14ac:dyDescent="0.25">
      <c r="A94" s="55" t="s">
        <v>2</v>
      </c>
      <c r="B94" s="56">
        <f>SUM(B80:B93)</f>
        <v>10562</v>
      </c>
      <c r="C94" s="56">
        <f t="shared" ref="C94:F94" si="14">SUM(C80:C93)</f>
        <v>10562</v>
      </c>
      <c r="D94" s="56">
        <f t="shared" si="14"/>
        <v>10562</v>
      </c>
      <c r="E94" s="56">
        <f t="shared" si="14"/>
        <v>10562</v>
      </c>
      <c r="F94" s="56">
        <f t="shared" si="14"/>
        <v>10562</v>
      </c>
      <c r="G94" s="56">
        <f>SUM(G80:G93)</f>
        <v>52810</v>
      </c>
    </row>
    <row r="96" spans="1:7" ht="17.25" x14ac:dyDescent="0.25">
      <c r="A96" s="58" t="s">
        <v>228</v>
      </c>
    </row>
    <row r="97" spans="1:7" x14ac:dyDescent="0.25">
      <c r="A97" s="48" t="s">
        <v>61</v>
      </c>
      <c r="B97" s="50">
        <f>B43</f>
        <v>45139</v>
      </c>
      <c r="C97" s="50">
        <f t="shared" ref="C97:F97" si="15">C43</f>
        <v>45170</v>
      </c>
      <c r="D97" s="50">
        <f t="shared" si="15"/>
        <v>45200</v>
      </c>
      <c r="E97" s="50">
        <f t="shared" si="15"/>
        <v>45231</v>
      </c>
      <c r="F97" s="50">
        <f t="shared" si="15"/>
        <v>45261</v>
      </c>
      <c r="G97" s="51" t="s">
        <v>2</v>
      </c>
    </row>
    <row r="98" spans="1:7" x14ac:dyDescent="0.25">
      <c r="A98" s="47">
        <v>16</v>
      </c>
      <c r="B98" s="52">
        <v>0</v>
      </c>
      <c r="C98" s="52">
        <v>0</v>
      </c>
      <c r="D98" s="52">
        <v>0</v>
      </c>
      <c r="E98" s="52">
        <v>0</v>
      </c>
      <c r="F98" s="52">
        <v>0</v>
      </c>
      <c r="G98" s="53">
        <f t="shared" ref="G98:G111" si="16">SUM(B98:F98)</f>
        <v>0</v>
      </c>
    </row>
    <row r="99" spans="1:7" x14ac:dyDescent="0.25">
      <c r="A99" s="47">
        <v>23</v>
      </c>
      <c r="B99" s="52">
        <v>13772</v>
      </c>
      <c r="C99" s="52">
        <v>13772</v>
      </c>
      <c r="D99" s="52">
        <v>13772</v>
      </c>
      <c r="E99" s="52">
        <v>13772</v>
      </c>
      <c r="F99" s="52">
        <v>13772</v>
      </c>
      <c r="G99" s="53">
        <f t="shared" si="16"/>
        <v>68860</v>
      </c>
    </row>
    <row r="100" spans="1:7" x14ac:dyDescent="0.25">
      <c r="A100" s="47">
        <v>53</v>
      </c>
      <c r="B100" s="52">
        <v>0</v>
      </c>
      <c r="C100" s="52">
        <v>0</v>
      </c>
      <c r="D100" s="52">
        <v>0</v>
      </c>
      <c r="E100" s="52">
        <v>0</v>
      </c>
      <c r="F100" s="52">
        <v>0</v>
      </c>
      <c r="G100" s="53">
        <f t="shared" si="16"/>
        <v>0</v>
      </c>
    </row>
    <row r="101" spans="1:7" x14ac:dyDescent="0.25">
      <c r="A101" s="47">
        <v>31</v>
      </c>
      <c r="B101" s="52">
        <v>954</v>
      </c>
      <c r="C101" s="52">
        <v>954</v>
      </c>
      <c r="D101" s="52">
        <v>954</v>
      </c>
      <c r="E101" s="52">
        <v>954</v>
      </c>
      <c r="F101" s="52">
        <v>954</v>
      </c>
      <c r="G101" s="53">
        <f t="shared" si="16"/>
        <v>4770</v>
      </c>
    </row>
    <row r="102" spans="1:7" x14ac:dyDescent="0.25">
      <c r="A102" s="47">
        <v>41</v>
      </c>
      <c r="B102" s="52">
        <v>5</v>
      </c>
      <c r="C102" s="52">
        <v>5</v>
      </c>
      <c r="D102" s="52">
        <v>5</v>
      </c>
      <c r="E102" s="52">
        <v>5</v>
      </c>
      <c r="F102" s="52">
        <v>5</v>
      </c>
      <c r="G102" s="53">
        <f t="shared" si="16"/>
        <v>25</v>
      </c>
    </row>
    <row r="103" spans="1:7" x14ac:dyDescent="0.25">
      <c r="A103" s="47">
        <v>85</v>
      </c>
      <c r="B103" s="52">
        <v>0</v>
      </c>
      <c r="C103" s="52">
        <v>0</v>
      </c>
      <c r="D103" s="52">
        <v>0</v>
      </c>
      <c r="E103" s="52">
        <v>0</v>
      </c>
      <c r="F103" s="52">
        <v>0</v>
      </c>
      <c r="G103" s="53">
        <f t="shared" si="16"/>
        <v>0</v>
      </c>
    </row>
    <row r="104" spans="1:7" x14ac:dyDescent="0.25">
      <c r="A104" s="47">
        <v>86</v>
      </c>
      <c r="B104" s="52">
        <v>0</v>
      </c>
      <c r="C104" s="52">
        <v>0</v>
      </c>
      <c r="D104" s="52">
        <v>0</v>
      </c>
      <c r="E104" s="52">
        <v>0</v>
      </c>
      <c r="F104" s="52">
        <v>0</v>
      </c>
      <c r="G104" s="53">
        <f t="shared" si="16"/>
        <v>0</v>
      </c>
    </row>
    <row r="105" spans="1:7" x14ac:dyDescent="0.25">
      <c r="A105" s="47">
        <v>87</v>
      </c>
      <c r="B105" s="52">
        <v>0</v>
      </c>
      <c r="C105" s="52">
        <v>0</v>
      </c>
      <c r="D105" s="52">
        <v>0</v>
      </c>
      <c r="E105" s="52">
        <v>0</v>
      </c>
      <c r="F105" s="52">
        <v>0</v>
      </c>
      <c r="G105" s="53">
        <f t="shared" si="16"/>
        <v>0</v>
      </c>
    </row>
    <row r="106" spans="1:7" x14ac:dyDescent="0.25">
      <c r="A106" s="47" t="s">
        <v>28</v>
      </c>
      <c r="B106" s="52">
        <v>0</v>
      </c>
      <c r="C106" s="52">
        <v>0</v>
      </c>
      <c r="D106" s="52">
        <v>0</v>
      </c>
      <c r="E106" s="52">
        <v>0</v>
      </c>
      <c r="F106" s="52">
        <v>0</v>
      </c>
      <c r="G106" s="53">
        <f t="shared" si="16"/>
        <v>0</v>
      </c>
    </row>
    <row r="107" spans="1:7" x14ac:dyDescent="0.25">
      <c r="A107" s="47" t="s">
        <v>30</v>
      </c>
      <c r="B107" s="52">
        <v>0</v>
      </c>
      <c r="C107" s="52">
        <v>0</v>
      </c>
      <c r="D107" s="52">
        <v>0</v>
      </c>
      <c r="E107" s="52">
        <v>0</v>
      </c>
      <c r="F107" s="52">
        <v>0</v>
      </c>
      <c r="G107" s="53">
        <f t="shared" si="16"/>
        <v>0</v>
      </c>
    </row>
    <row r="108" spans="1:7" x14ac:dyDescent="0.25">
      <c r="A108" s="47" t="s">
        <v>32</v>
      </c>
      <c r="B108" s="52">
        <v>0</v>
      </c>
      <c r="C108" s="52">
        <v>0</v>
      </c>
      <c r="D108" s="52">
        <v>0</v>
      </c>
      <c r="E108" s="52">
        <v>0</v>
      </c>
      <c r="F108" s="52">
        <v>0</v>
      </c>
      <c r="G108" s="53">
        <f t="shared" si="16"/>
        <v>0</v>
      </c>
    </row>
    <row r="109" spans="1:7" x14ac:dyDescent="0.25">
      <c r="A109" s="47" t="s">
        <v>34</v>
      </c>
      <c r="B109" s="52">
        <v>0</v>
      </c>
      <c r="C109" s="52">
        <v>0</v>
      </c>
      <c r="D109" s="52">
        <v>0</v>
      </c>
      <c r="E109" s="52">
        <v>0</v>
      </c>
      <c r="F109" s="52">
        <v>0</v>
      </c>
      <c r="G109" s="53">
        <f t="shared" si="16"/>
        <v>0</v>
      </c>
    </row>
    <row r="110" spans="1:7" x14ac:dyDescent="0.25">
      <c r="A110" s="47" t="s">
        <v>36</v>
      </c>
      <c r="B110" s="52">
        <v>1</v>
      </c>
      <c r="C110" s="52">
        <v>1</v>
      </c>
      <c r="D110" s="52">
        <v>1</v>
      </c>
      <c r="E110" s="52">
        <v>1</v>
      </c>
      <c r="F110" s="52">
        <v>1</v>
      </c>
      <c r="G110" s="53">
        <f t="shared" si="16"/>
        <v>5</v>
      </c>
    </row>
    <row r="111" spans="1:7" x14ac:dyDescent="0.25">
      <c r="A111" s="54" t="s">
        <v>37</v>
      </c>
      <c r="B111" s="52">
        <v>0</v>
      </c>
      <c r="C111" s="52">
        <v>0</v>
      </c>
      <c r="D111" s="52">
        <v>0</v>
      </c>
      <c r="E111" s="52">
        <v>0</v>
      </c>
      <c r="F111" s="52">
        <v>0</v>
      </c>
      <c r="G111" s="53">
        <f t="shared" si="16"/>
        <v>0</v>
      </c>
    </row>
    <row r="112" spans="1:7" x14ac:dyDescent="0.25">
      <c r="A112" s="55" t="s">
        <v>2</v>
      </c>
      <c r="B112" s="56">
        <f>SUM(B98:B111)</f>
        <v>14732</v>
      </c>
      <c r="C112" s="56">
        <f t="shared" ref="C112:F112" si="17">SUM(C98:C111)</f>
        <v>14732</v>
      </c>
      <c r="D112" s="56">
        <f t="shared" si="17"/>
        <v>14732</v>
      </c>
      <c r="E112" s="56">
        <f t="shared" si="17"/>
        <v>14732</v>
      </c>
      <c r="F112" s="56">
        <f t="shared" si="17"/>
        <v>14732</v>
      </c>
      <c r="G112" s="56">
        <f>SUM(G98:G111)</f>
        <v>73660</v>
      </c>
    </row>
    <row r="114" spans="1:7" x14ac:dyDescent="0.25">
      <c r="A114" s="58" t="s">
        <v>69</v>
      </c>
    </row>
    <row r="115" spans="1:7" x14ac:dyDescent="0.25">
      <c r="A115" s="48" t="s">
        <v>61</v>
      </c>
      <c r="B115" s="50">
        <f>B7</f>
        <v>45139</v>
      </c>
      <c r="C115" s="50">
        <f>C7</f>
        <v>45170</v>
      </c>
      <c r="D115" s="50">
        <f>D7</f>
        <v>45200</v>
      </c>
      <c r="E115" s="50">
        <f>E7</f>
        <v>45231</v>
      </c>
      <c r="F115" s="50">
        <f>F7</f>
        <v>45261</v>
      </c>
      <c r="G115" s="51" t="s">
        <v>2</v>
      </c>
    </row>
    <row r="116" spans="1:7" x14ac:dyDescent="0.25">
      <c r="A116" s="47">
        <v>16</v>
      </c>
      <c r="B116" s="53">
        <f>B8-B26-B44-B62-B80-B98</f>
        <v>6</v>
      </c>
      <c r="C116" s="53">
        <f t="shared" ref="C116:F116" si="18">C8-C26-C44-C62-C80-C98</f>
        <v>6</v>
      </c>
      <c r="D116" s="53">
        <f t="shared" si="18"/>
        <v>6</v>
      </c>
      <c r="E116" s="53">
        <f t="shared" si="18"/>
        <v>6</v>
      </c>
      <c r="F116" s="53">
        <f t="shared" si="18"/>
        <v>6</v>
      </c>
      <c r="G116" s="53">
        <f t="shared" ref="G116:G129" si="19">SUM(B116:F116)</f>
        <v>30</v>
      </c>
    </row>
    <row r="117" spans="1:7" x14ac:dyDescent="0.25">
      <c r="A117" s="47">
        <v>23</v>
      </c>
      <c r="B117" s="53">
        <f t="shared" ref="B117:F129" si="20">B9-B27-B45-B63-B81-B99</f>
        <v>796212</v>
      </c>
      <c r="C117" s="53">
        <f t="shared" si="20"/>
        <v>797137</v>
      </c>
      <c r="D117" s="53">
        <f t="shared" si="20"/>
        <v>799728</v>
      </c>
      <c r="E117" s="53">
        <f t="shared" si="20"/>
        <v>801881</v>
      </c>
      <c r="F117" s="53">
        <f t="shared" si="20"/>
        <v>803272</v>
      </c>
      <c r="G117" s="53">
        <f t="shared" si="19"/>
        <v>3998230</v>
      </c>
    </row>
    <row r="118" spans="1:7" x14ac:dyDescent="0.25">
      <c r="A118" s="47">
        <v>53</v>
      </c>
      <c r="B118" s="53">
        <f t="shared" si="20"/>
        <v>0</v>
      </c>
      <c r="C118" s="53">
        <f t="shared" si="20"/>
        <v>0</v>
      </c>
      <c r="D118" s="53">
        <f t="shared" si="20"/>
        <v>0</v>
      </c>
      <c r="E118" s="53">
        <f t="shared" si="20"/>
        <v>0</v>
      </c>
      <c r="F118" s="53">
        <f t="shared" si="20"/>
        <v>0</v>
      </c>
      <c r="G118" s="53">
        <f t="shared" si="19"/>
        <v>0</v>
      </c>
    </row>
    <row r="119" spans="1:7" x14ac:dyDescent="0.25">
      <c r="A119" s="47">
        <v>31</v>
      </c>
      <c r="B119" s="53">
        <f t="shared" si="20"/>
        <v>57149</v>
      </c>
      <c r="C119" s="53">
        <f t="shared" si="20"/>
        <v>57183</v>
      </c>
      <c r="D119" s="53">
        <f t="shared" si="20"/>
        <v>57216</v>
      </c>
      <c r="E119" s="53">
        <f t="shared" si="20"/>
        <v>57250</v>
      </c>
      <c r="F119" s="53">
        <f t="shared" si="20"/>
        <v>57291</v>
      </c>
      <c r="G119" s="53">
        <f t="shared" si="19"/>
        <v>286089</v>
      </c>
    </row>
    <row r="120" spans="1:7" x14ac:dyDescent="0.25">
      <c r="A120" s="47">
        <v>41</v>
      </c>
      <c r="B120" s="53">
        <f t="shared" si="20"/>
        <v>1260</v>
      </c>
      <c r="C120" s="53">
        <f t="shared" si="20"/>
        <v>1261</v>
      </c>
      <c r="D120" s="53">
        <f t="shared" si="20"/>
        <v>1262</v>
      </c>
      <c r="E120" s="53">
        <f t="shared" si="20"/>
        <v>1263</v>
      </c>
      <c r="F120" s="53">
        <f t="shared" si="20"/>
        <v>1263</v>
      </c>
      <c r="G120" s="53">
        <f t="shared" si="19"/>
        <v>6309</v>
      </c>
    </row>
    <row r="121" spans="1:7" x14ac:dyDescent="0.25">
      <c r="A121" s="47">
        <v>85</v>
      </c>
      <c r="B121" s="53">
        <f t="shared" si="20"/>
        <v>29</v>
      </c>
      <c r="C121" s="53">
        <f t="shared" si="20"/>
        <v>29</v>
      </c>
      <c r="D121" s="53">
        <f t="shared" si="20"/>
        <v>29</v>
      </c>
      <c r="E121" s="53">
        <f t="shared" si="20"/>
        <v>29</v>
      </c>
      <c r="F121" s="53">
        <f t="shared" si="20"/>
        <v>29</v>
      </c>
      <c r="G121" s="53">
        <f t="shared" si="19"/>
        <v>145</v>
      </c>
    </row>
    <row r="122" spans="1:7" x14ac:dyDescent="0.25">
      <c r="A122" s="47">
        <v>86</v>
      </c>
      <c r="B122" s="53">
        <f t="shared" si="20"/>
        <v>97</v>
      </c>
      <c r="C122" s="53">
        <f t="shared" si="20"/>
        <v>96</v>
      </c>
      <c r="D122" s="53">
        <f t="shared" si="20"/>
        <v>96</v>
      </c>
      <c r="E122" s="53">
        <f t="shared" si="20"/>
        <v>95</v>
      </c>
      <c r="F122" s="53">
        <f t="shared" si="20"/>
        <v>95</v>
      </c>
      <c r="G122" s="53">
        <f t="shared" si="19"/>
        <v>479</v>
      </c>
    </row>
    <row r="123" spans="1:7" x14ac:dyDescent="0.25">
      <c r="A123" s="47">
        <v>87</v>
      </c>
      <c r="B123" s="53">
        <f t="shared" si="20"/>
        <v>2</v>
      </c>
      <c r="C123" s="53">
        <f t="shared" si="20"/>
        <v>2</v>
      </c>
      <c r="D123" s="53">
        <f t="shared" si="20"/>
        <v>2</v>
      </c>
      <c r="E123" s="53">
        <f t="shared" si="20"/>
        <v>2</v>
      </c>
      <c r="F123" s="53">
        <f t="shared" si="20"/>
        <v>2</v>
      </c>
      <c r="G123" s="53">
        <f t="shared" si="19"/>
        <v>10</v>
      </c>
    </row>
    <row r="124" spans="1:7" x14ac:dyDescent="0.25">
      <c r="A124" s="47" t="s">
        <v>28</v>
      </c>
      <c r="B124" s="53">
        <f t="shared" si="20"/>
        <v>2</v>
      </c>
      <c r="C124" s="53">
        <f t="shared" si="20"/>
        <v>2</v>
      </c>
      <c r="D124" s="53">
        <f t="shared" si="20"/>
        <v>2</v>
      </c>
      <c r="E124" s="53">
        <f t="shared" si="20"/>
        <v>2</v>
      </c>
      <c r="F124" s="53">
        <f t="shared" si="20"/>
        <v>2</v>
      </c>
      <c r="G124" s="53">
        <f t="shared" si="19"/>
        <v>10</v>
      </c>
    </row>
    <row r="125" spans="1:7" x14ac:dyDescent="0.25">
      <c r="A125" s="47" t="s">
        <v>30</v>
      </c>
      <c r="B125" s="53">
        <f t="shared" si="20"/>
        <v>102</v>
      </c>
      <c r="C125" s="53">
        <f t="shared" si="20"/>
        <v>102</v>
      </c>
      <c r="D125" s="53">
        <f t="shared" si="20"/>
        <v>102</v>
      </c>
      <c r="E125" s="53">
        <f t="shared" si="20"/>
        <v>102</v>
      </c>
      <c r="F125" s="53">
        <f t="shared" si="20"/>
        <v>102</v>
      </c>
      <c r="G125" s="53">
        <f t="shared" si="19"/>
        <v>510</v>
      </c>
    </row>
    <row r="126" spans="1:7" x14ac:dyDescent="0.25">
      <c r="A126" s="47" t="s">
        <v>32</v>
      </c>
      <c r="B126" s="53">
        <f t="shared" si="20"/>
        <v>88</v>
      </c>
      <c r="C126" s="53">
        <f t="shared" si="20"/>
        <v>88</v>
      </c>
      <c r="D126" s="53">
        <f t="shared" si="20"/>
        <v>88</v>
      </c>
      <c r="E126" s="53">
        <f t="shared" si="20"/>
        <v>88</v>
      </c>
      <c r="F126" s="53">
        <f t="shared" si="20"/>
        <v>88</v>
      </c>
      <c r="G126" s="53">
        <f t="shared" si="19"/>
        <v>440</v>
      </c>
    </row>
    <row r="127" spans="1:7" x14ac:dyDescent="0.25">
      <c r="A127" s="47" t="s">
        <v>34</v>
      </c>
      <c r="B127" s="53">
        <f t="shared" si="20"/>
        <v>6</v>
      </c>
      <c r="C127" s="53">
        <f t="shared" si="20"/>
        <v>6</v>
      </c>
      <c r="D127" s="53">
        <f t="shared" si="20"/>
        <v>6</v>
      </c>
      <c r="E127" s="53">
        <f t="shared" si="20"/>
        <v>6</v>
      </c>
      <c r="F127" s="53">
        <f t="shared" si="20"/>
        <v>6</v>
      </c>
      <c r="G127" s="53">
        <f t="shared" si="19"/>
        <v>30</v>
      </c>
    </row>
    <row r="128" spans="1:7" x14ac:dyDescent="0.25">
      <c r="A128" s="47" t="s">
        <v>36</v>
      </c>
      <c r="B128" s="53">
        <f t="shared" si="20"/>
        <v>3</v>
      </c>
      <c r="C128" s="53">
        <f t="shared" si="20"/>
        <v>3</v>
      </c>
      <c r="D128" s="53">
        <f t="shared" si="20"/>
        <v>3</v>
      </c>
      <c r="E128" s="53">
        <f t="shared" si="20"/>
        <v>3</v>
      </c>
      <c r="F128" s="53">
        <f t="shared" si="20"/>
        <v>3</v>
      </c>
      <c r="G128" s="53">
        <f t="shared" si="19"/>
        <v>15</v>
      </c>
    </row>
    <row r="129" spans="1:7" x14ac:dyDescent="0.25">
      <c r="A129" s="54" t="s">
        <v>37</v>
      </c>
      <c r="B129" s="53">
        <f t="shared" si="20"/>
        <v>8</v>
      </c>
      <c r="C129" s="53">
        <f t="shared" si="20"/>
        <v>8</v>
      </c>
      <c r="D129" s="53">
        <f t="shared" si="20"/>
        <v>8</v>
      </c>
      <c r="E129" s="53">
        <f t="shared" si="20"/>
        <v>8</v>
      </c>
      <c r="F129" s="53">
        <f t="shared" si="20"/>
        <v>8</v>
      </c>
      <c r="G129" s="53">
        <f t="shared" si="19"/>
        <v>40</v>
      </c>
    </row>
    <row r="130" spans="1:7" x14ac:dyDescent="0.25">
      <c r="A130" s="55" t="s">
        <v>2</v>
      </c>
      <c r="B130" s="56">
        <f>SUM(B116:B129)</f>
        <v>854964</v>
      </c>
      <c r="C130" s="56">
        <f t="shared" ref="C130:F130" si="21">SUM(C116:C129)</f>
        <v>855923</v>
      </c>
      <c r="D130" s="56">
        <f t="shared" si="21"/>
        <v>858548</v>
      </c>
      <c r="E130" s="56">
        <f t="shared" si="21"/>
        <v>860735</v>
      </c>
      <c r="F130" s="56">
        <f t="shared" si="21"/>
        <v>862167</v>
      </c>
      <c r="G130" s="56">
        <f>SUM(G116:G129)</f>
        <v>4292337</v>
      </c>
    </row>
    <row r="132" spans="1:7" ht="17.25" x14ac:dyDescent="0.25">
      <c r="A132" s="44" t="s">
        <v>229</v>
      </c>
    </row>
    <row r="133" spans="1:7" ht="17.25" x14ac:dyDescent="0.25">
      <c r="A133" s="44" t="s">
        <v>230</v>
      </c>
    </row>
    <row r="134" spans="1:7" ht="17.25" x14ac:dyDescent="0.25">
      <c r="A134" s="44" t="s">
        <v>231</v>
      </c>
    </row>
    <row r="135" spans="1:7" ht="15" customHeight="1" x14ac:dyDescent="0.25">
      <c r="A135" s="226" t="s">
        <v>232</v>
      </c>
      <c r="B135" s="226"/>
      <c r="C135" s="226"/>
      <c r="D135" s="226"/>
      <c r="E135" s="226"/>
      <c r="F135" s="226"/>
      <c r="G135" s="226"/>
    </row>
    <row r="136" spans="1:7" x14ac:dyDescent="0.25">
      <c r="A136" s="226"/>
      <c r="B136" s="226"/>
      <c r="C136" s="226"/>
      <c r="D136" s="226"/>
      <c r="E136" s="226"/>
      <c r="F136" s="226"/>
      <c r="G136" s="226"/>
    </row>
    <row r="137" spans="1:7" ht="17.25" x14ac:dyDescent="0.25">
      <c r="A137" s="44" t="s">
        <v>233</v>
      </c>
    </row>
  </sheetData>
  <mergeCells count="5">
    <mergeCell ref="A1:G1"/>
    <mergeCell ref="A2:G2"/>
    <mergeCell ref="A3:G3"/>
    <mergeCell ref="A4:G4"/>
    <mergeCell ref="A135:G136"/>
  </mergeCells>
  <printOptions horizontalCentered="1"/>
  <pageMargins left="0.7" right="0.7" top="0.75" bottom="0.75" header="0.3" footer="0.3"/>
  <pageSetup fitToHeight="5" orientation="landscape" blackAndWhite="1" r:id="rId1"/>
  <headerFooter>
    <oddFooter>&amp;L&amp;F 
&amp;A&amp;C&amp;P&amp;R&amp;D</oddFooter>
  </headerFooter>
  <rowBreaks count="6" manualBreakCount="6">
    <brk id="22" max="6" man="1"/>
    <brk id="40" max="6" man="1"/>
    <brk id="58" max="6" man="1"/>
    <brk id="76" max="6" man="1"/>
    <brk id="94" max="6" man="1"/>
    <brk id="112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zoomScale="90" zoomScaleNormal="90" workbookViewId="0">
      <selection activeCell="I32" sqref="I32"/>
    </sheetView>
  </sheetViews>
  <sheetFormatPr defaultColWidth="9.140625" defaultRowHeight="15" x14ac:dyDescent="0.25"/>
  <cols>
    <col min="1" max="1" width="17.85546875" style="44" customWidth="1"/>
    <col min="2" max="4" width="11" style="44" bestFit="1" customWidth="1"/>
    <col min="5" max="6" width="12" style="44" bestFit="1" customWidth="1"/>
    <col min="7" max="7" width="13.85546875" style="44" customWidth="1"/>
    <col min="8" max="16384" width="9.140625" style="44"/>
  </cols>
  <sheetData>
    <row r="1" spans="1:7" x14ac:dyDescent="0.25">
      <c r="A1" s="225" t="s">
        <v>0</v>
      </c>
      <c r="B1" s="225"/>
      <c r="C1" s="225"/>
      <c r="D1" s="225"/>
      <c r="E1" s="225"/>
      <c r="F1" s="225"/>
      <c r="G1" s="225"/>
    </row>
    <row r="2" spans="1:7" x14ac:dyDescent="0.25">
      <c r="A2" s="231" t="str">
        <f>'Sch. 111 Charge Rates'!A2</f>
        <v>2023 Gas Schedule 111 Greenhouse Gas Emissions Cap and Invest Adjustment Filing</v>
      </c>
      <c r="B2" s="231"/>
      <c r="C2" s="231"/>
      <c r="D2" s="231"/>
      <c r="E2" s="231"/>
      <c r="F2" s="231"/>
      <c r="G2" s="231"/>
    </row>
    <row r="3" spans="1:7" x14ac:dyDescent="0.25">
      <c r="A3" s="231" t="s">
        <v>60</v>
      </c>
      <c r="B3" s="231"/>
      <c r="C3" s="231"/>
      <c r="D3" s="231"/>
      <c r="E3" s="231"/>
      <c r="F3" s="231"/>
      <c r="G3" s="231"/>
    </row>
    <row r="4" spans="1:7" x14ac:dyDescent="0.25">
      <c r="A4" s="232" t="str">
        <f>TEXT(B7,"Mmmm YYYY - ")&amp;TEXT(F7,"Mmmm YYYY")</f>
        <v>August 2023 - December 2023</v>
      </c>
      <c r="B4" s="231"/>
      <c r="C4" s="231"/>
      <c r="D4" s="231"/>
      <c r="E4" s="231"/>
      <c r="F4" s="231"/>
      <c r="G4" s="231"/>
    </row>
    <row r="5" spans="1:7" x14ac:dyDescent="0.25">
      <c r="A5" s="45"/>
      <c r="B5" s="45"/>
      <c r="C5" s="45"/>
      <c r="D5" s="45"/>
      <c r="E5" s="45"/>
      <c r="F5" s="46"/>
      <c r="G5" s="46"/>
    </row>
    <row r="6" spans="1:7" x14ac:dyDescent="0.25">
      <c r="A6" s="58" t="s">
        <v>63</v>
      </c>
      <c r="B6" s="45"/>
      <c r="C6" s="45"/>
      <c r="D6" s="45"/>
      <c r="E6" s="45"/>
      <c r="F6" s="46"/>
      <c r="G6" s="46"/>
    </row>
    <row r="7" spans="1:7" x14ac:dyDescent="0.25">
      <c r="A7" s="48" t="s">
        <v>61</v>
      </c>
      <c r="B7" s="49">
        <v>45139</v>
      </c>
      <c r="C7" s="50">
        <f>EDATE(B7,1)</f>
        <v>45170</v>
      </c>
      <c r="D7" s="50">
        <f t="shared" ref="D7:F7" si="0">EDATE(C7,1)</f>
        <v>45200</v>
      </c>
      <c r="E7" s="50">
        <f t="shared" si="0"/>
        <v>45231</v>
      </c>
      <c r="F7" s="50">
        <f t="shared" si="0"/>
        <v>45261</v>
      </c>
      <c r="G7" s="51" t="s">
        <v>2</v>
      </c>
    </row>
    <row r="8" spans="1:7" x14ac:dyDescent="0.25">
      <c r="A8" s="47">
        <v>16</v>
      </c>
      <c r="B8" s="52">
        <v>589</v>
      </c>
      <c r="C8" s="52">
        <v>589</v>
      </c>
      <c r="D8" s="52">
        <v>589</v>
      </c>
      <c r="E8" s="52">
        <v>589</v>
      </c>
      <c r="F8" s="52">
        <v>589</v>
      </c>
      <c r="G8" s="53">
        <f t="shared" ref="G8:G21" si="1">SUM(B8:F8)</f>
        <v>2945</v>
      </c>
    </row>
    <row r="9" spans="1:7" x14ac:dyDescent="0.25">
      <c r="A9" s="47">
        <v>23</v>
      </c>
      <c r="B9" s="52">
        <v>12799549</v>
      </c>
      <c r="C9" s="52">
        <v>18485479</v>
      </c>
      <c r="D9" s="52">
        <v>42611904</v>
      </c>
      <c r="E9" s="52">
        <v>70762036</v>
      </c>
      <c r="F9" s="52">
        <v>92371205</v>
      </c>
      <c r="G9" s="53">
        <f t="shared" si="1"/>
        <v>237030173</v>
      </c>
    </row>
    <row r="10" spans="1:7" x14ac:dyDescent="0.25">
      <c r="A10" s="47">
        <v>53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3">
        <f t="shared" si="1"/>
        <v>0</v>
      </c>
    </row>
    <row r="11" spans="1:7" x14ac:dyDescent="0.25">
      <c r="A11" s="47">
        <v>31</v>
      </c>
      <c r="B11" s="52">
        <v>9999282</v>
      </c>
      <c r="C11" s="52">
        <v>11696231</v>
      </c>
      <c r="D11" s="52">
        <v>19346533</v>
      </c>
      <c r="E11" s="52">
        <v>27879405</v>
      </c>
      <c r="F11" s="52">
        <v>34726167</v>
      </c>
      <c r="G11" s="53">
        <f t="shared" si="1"/>
        <v>103647618</v>
      </c>
    </row>
    <row r="12" spans="1:7" x14ac:dyDescent="0.25">
      <c r="A12" s="47">
        <v>41</v>
      </c>
      <c r="B12" s="52">
        <v>3161567</v>
      </c>
      <c r="C12" s="52">
        <v>3759483</v>
      </c>
      <c r="D12" s="52">
        <v>5805117</v>
      </c>
      <c r="E12" s="52">
        <v>7530476</v>
      </c>
      <c r="F12" s="52">
        <v>8250462</v>
      </c>
      <c r="G12" s="53">
        <f t="shared" si="1"/>
        <v>28507105</v>
      </c>
    </row>
    <row r="13" spans="1:7" x14ac:dyDescent="0.25">
      <c r="A13" s="47">
        <v>85</v>
      </c>
      <c r="B13" s="52">
        <v>832251</v>
      </c>
      <c r="C13" s="52">
        <v>779550</v>
      </c>
      <c r="D13" s="52">
        <v>1067853</v>
      </c>
      <c r="E13" s="52">
        <v>1204779</v>
      </c>
      <c r="F13" s="52">
        <v>1468068</v>
      </c>
      <c r="G13" s="53">
        <f t="shared" si="1"/>
        <v>5352501</v>
      </c>
    </row>
    <row r="14" spans="1:7" x14ac:dyDescent="0.25">
      <c r="A14" s="47">
        <v>86</v>
      </c>
      <c r="B14" s="52">
        <v>152007</v>
      </c>
      <c r="C14" s="52">
        <v>166978</v>
      </c>
      <c r="D14" s="52">
        <v>363562</v>
      </c>
      <c r="E14" s="52">
        <v>543680</v>
      </c>
      <c r="F14" s="52">
        <v>801521</v>
      </c>
      <c r="G14" s="53">
        <f t="shared" si="1"/>
        <v>2027748</v>
      </c>
    </row>
    <row r="15" spans="1:7" x14ac:dyDescent="0.25">
      <c r="A15" s="47">
        <v>87</v>
      </c>
      <c r="B15" s="52">
        <v>1005946</v>
      </c>
      <c r="C15" s="52">
        <v>1004039</v>
      </c>
      <c r="D15" s="52">
        <v>1534262</v>
      </c>
      <c r="E15" s="52">
        <v>1582171</v>
      </c>
      <c r="F15" s="52">
        <v>1937626</v>
      </c>
      <c r="G15" s="53">
        <f t="shared" si="1"/>
        <v>7064044</v>
      </c>
    </row>
    <row r="16" spans="1:7" x14ac:dyDescent="0.25">
      <c r="A16" s="47" t="s">
        <v>28</v>
      </c>
      <c r="B16" s="52">
        <v>1835</v>
      </c>
      <c r="C16" s="52">
        <v>2343</v>
      </c>
      <c r="D16" s="52">
        <v>2751</v>
      </c>
      <c r="E16" s="52">
        <v>3920</v>
      </c>
      <c r="F16" s="52">
        <v>4292</v>
      </c>
      <c r="G16" s="53">
        <f t="shared" si="1"/>
        <v>15141</v>
      </c>
    </row>
    <row r="17" spans="1:7" x14ac:dyDescent="0.25">
      <c r="A17" s="47" t="s">
        <v>30</v>
      </c>
      <c r="B17" s="52">
        <v>1775579</v>
      </c>
      <c r="C17" s="52">
        <v>2017119</v>
      </c>
      <c r="D17" s="52">
        <v>1757599</v>
      </c>
      <c r="E17" s="52">
        <v>2051608</v>
      </c>
      <c r="F17" s="52">
        <v>1994393</v>
      </c>
      <c r="G17" s="53">
        <f t="shared" si="1"/>
        <v>9596298</v>
      </c>
    </row>
    <row r="18" spans="1:7" x14ac:dyDescent="0.25">
      <c r="A18" s="47" t="s">
        <v>32</v>
      </c>
      <c r="B18" s="52">
        <v>5952306</v>
      </c>
      <c r="C18" s="52">
        <v>6882341</v>
      </c>
      <c r="D18" s="52">
        <v>5593547</v>
      </c>
      <c r="E18" s="52">
        <v>6008165</v>
      </c>
      <c r="F18" s="52">
        <v>5710222</v>
      </c>
      <c r="G18" s="53">
        <f t="shared" si="1"/>
        <v>30146581</v>
      </c>
    </row>
    <row r="19" spans="1:7" x14ac:dyDescent="0.25">
      <c r="A19" s="47" t="s">
        <v>34</v>
      </c>
      <c r="B19" s="52">
        <v>100786</v>
      </c>
      <c r="C19" s="52">
        <v>131542</v>
      </c>
      <c r="D19" s="52">
        <v>98743</v>
      </c>
      <c r="E19" s="52">
        <v>114025</v>
      </c>
      <c r="F19" s="52">
        <v>106642</v>
      </c>
      <c r="G19" s="53">
        <f t="shared" si="1"/>
        <v>551738</v>
      </c>
    </row>
    <row r="20" spans="1:7" x14ac:dyDescent="0.25">
      <c r="A20" s="47" t="s">
        <v>36</v>
      </c>
      <c r="B20" s="52">
        <v>8922464</v>
      </c>
      <c r="C20" s="52">
        <v>10013921</v>
      </c>
      <c r="D20" s="52">
        <v>7479343</v>
      </c>
      <c r="E20" s="52">
        <v>7623170</v>
      </c>
      <c r="F20" s="52">
        <v>8318329</v>
      </c>
      <c r="G20" s="53">
        <f t="shared" si="1"/>
        <v>42357227</v>
      </c>
    </row>
    <row r="21" spans="1:7" x14ac:dyDescent="0.25">
      <c r="A21" s="54" t="s">
        <v>37</v>
      </c>
      <c r="B21" s="52">
        <v>2072278</v>
      </c>
      <c r="C21" s="52">
        <v>2587516</v>
      </c>
      <c r="D21" s="52">
        <v>2629021</v>
      </c>
      <c r="E21" s="52">
        <v>3483217</v>
      </c>
      <c r="F21" s="52">
        <v>3865764</v>
      </c>
      <c r="G21" s="53">
        <f t="shared" si="1"/>
        <v>14637796</v>
      </c>
    </row>
    <row r="22" spans="1:7" x14ac:dyDescent="0.25">
      <c r="A22" s="55" t="s">
        <v>2</v>
      </c>
      <c r="B22" s="56">
        <f>SUM(B8:B21)</f>
        <v>46776439</v>
      </c>
      <c r="C22" s="56">
        <f t="shared" ref="C22:F22" si="2">SUM(C8:C21)</f>
        <v>57527131</v>
      </c>
      <c r="D22" s="56">
        <f t="shared" si="2"/>
        <v>88290824</v>
      </c>
      <c r="E22" s="56">
        <f t="shared" si="2"/>
        <v>128787241</v>
      </c>
      <c r="F22" s="56">
        <f t="shared" si="2"/>
        <v>159555280</v>
      </c>
      <c r="G22" s="56">
        <f>SUM(G8:G21)</f>
        <v>480936915</v>
      </c>
    </row>
    <row r="23" spans="1:7" x14ac:dyDescent="0.25">
      <c r="A23" s="55"/>
      <c r="B23" s="57"/>
      <c r="C23" s="57"/>
      <c r="D23" s="57"/>
      <c r="E23" s="57"/>
      <c r="F23" s="57"/>
      <c r="G23" s="57"/>
    </row>
    <row r="24" spans="1:7" x14ac:dyDescent="0.25">
      <c r="A24" s="58" t="s">
        <v>62</v>
      </c>
      <c r="B24" s="45"/>
      <c r="C24" s="45"/>
      <c r="D24" s="45"/>
      <c r="E24" s="45"/>
      <c r="F24" s="46"/>
      <c r="G24" s="46"/>
    </row>
    <row r="25" spans="1:7" x14ac:dyDescent="0.25">
      <c r="A25" s="48" t="s">
        <v>61</v>
      </c>
      <c r="B25" s="50">
        <f>B7</f>
        <v>45139</v>
      </c>
      <c r="C25" s="50">
        <f>C7</f>
        <v>45170</v>
      </c>
      <c r="D25" s="50">
        <f>D7</f>
        <v>45200</v>
      </c>
      <c r="E25" s="50">
        <f>E7</f>
        <v>45231</v>
      </c>
      <c r="F25" s="50">
        <f>F7</f>
        <v>45261</v>
      </c>
      <c r="G25" s="51" t="s">
        <v>2</v>
      </c>
    </row>
    <row r="26" spans="1:7" x14ac:dyDescent="0.25">
      <c r="A26" s="47">
        <v>16</v>
      </c>
      <c r="B26" s="52">
        <v>6</v>
      </c>
      <c r="C26" s="52">
        <v>6</v>
      </c>
      <c r="D26" s="52">
        <v>6</v>
      </c>
      <c r="E26" s="52">
        <v>6</v>
      </c>
      <c r="F26" s="52">
        <v>6</v>
      </c>
      <c r="G26" s="53">
        <f t="shared" ref="G26:G39" si="3">SUM(B26:F26)</f>
        <v>30</v>
      </c>
    </row>
    <row r="27" spans="1:7" x14ac:dyDescent="0.25">
      <c r="A27" s="47">
        <v>23</v>
      </c>
      <c r="B27" s="52">
        <v>820546</v>
      </c>
      <c r="C27" s="52">
        <v>821471</v>
      </c>
      <c r="D27" s="52">
        <v>824062</v>
      </c>
      <c r="E27" s="52">
        <v>826215</v>
      </c>
      <c r="F27" s="52">
        <v>827606</v>
      </c>
      <c r="G27" s="53">
        <f t="shared" si="3"/>
        <v>4119900</v>
      </c>
    </row>
    <row r="28" spans="1:7" x14ac:dyDescent="0.25">
      <c r="A28" s="47">
        <v>53</v>
      </c>
      <c r="B28" s="52">
        <v>0</v>
      </c>
      <c r="C28" s="52">
        <v>0</v>
      </c>
      <c r="D28" s="52">
        <v>0</v>
      </c>
      <c r="E28" s="52">
        <v>0</v>
      </c>
      <c r="F28" s="52">
        <v>0</v>
      </c>
      <c r="G28" s="53">
        <f t="shared" si="3"/>
        <v>0</v>
      </c>
    </row>
    <row r="29" spans="1:7" x14ac:dyDescent="0.25">
      <c r="A29" s="47">
        <v>31</v>
      </c>
      <c r="B29" s="52">
        <v>58598</v>
      </c>
      <c r="C29" s="52">
        <v>58632</v>
      </c>
      <c r="D29" s="52">
        <v>58665</v>
      </c>
      <c r="E29" s="52">
        <v>58699</v>
      </c>
      <c r="F29" s="52">
        <v>58740</v>
      </c>
      <c r="G29" s="53">
        <f t="shared" si="3"/>
        <v>293334</v>
      </c>
    </row>
    <row r="30" spans="1:7" x14ac:dyDescent="0.25">
      <c r="A30" s="47">
        <v>41</v>
      </c>
      <c r="B30" s="52">
        <v>1267</v>
      </c>
      <c r="C30" s="52">
        <v>1268</v>
      </c>
      <c r="D30" s="52">
        <v>1269</v>
      </c>
      <c r="E30" s="52">
        <v>1270</v>
      </c>
      <c r="F30" s="52">
        <v>1270</v>
      </c>
      <c r="G30" s="53">
        <f t="shared" si="3"/>
        <v>6344</v>
      </c>
    </row>
    <row r="31" spans="1:7" x14ac:dyDescent="0.25">
      <c r="A31" s="47">
        <v>85</v>
      </c>
      <c r="B31" s="52">
        <v>30</v>
      </c>
      <c r="C31" s="52">
        <v>30</v>
      </c>
      <c r="D31" s="52">
        <v>30</v>
      </c>
      <c r="E31" s="52">
        <v>30</v>
      </c>
      <c r="F31" s="52">
        <v>30</v>
      </c>
      <c r="G31" s="53">
        <f t="shared" si="3"/>
        <v>150</v>
      </c>
    </row>
    <row r="32" spans="1:7" x14ac:dyDescent="0.25">
      <c r="A32" s="47">
        <v>86</v>
      </c>
      <c r="B32" s="52">
        <v>97</v>
      </c>
      <c r="C32" s="52">
        <v>96</v>
      </c>
      <c r="D32" s="52">
        <v>96</v>
      </c>
      <c r="E32" s="52">
        <v>95</v>
      </c>
      <c r="F32" s="52">
        <v>95</v>
      </c>
      <c r="G32" s="53">
        <f t="shared" si="3"/>
        <v>479</v>
      </c>
    </row>
    <row r="33" spans="1:7" x14ac:dyDescent="0.25">
      <c r="A33" s="47">
        <v>87</v>
      </c>
      <c r="B33" s="52">
        <v>5</v>
      </c>
      <c r="C33" s="52">
        <v>5</v>
      </c>
      <c r="D33" s="52">
        <v>5</v>
      </c>
      <c r="E33" s="52">
        <v>5</v>
      </c>
      <c r="F33" s="52">
        <v>5</v>
      </c>
      <c r="G33" s="53">
        <f t="shared" si="3"/>
        <v>25</v>
      </c>
    </row>
    <row r="34" spans="1:7" x14ac:dyDescent="0.25">
      <c r="A34" s="47" t="s">
        <v>28</v>
      </c>
      <c r="B34" s="52">
        <v>2</v>
      </c>
      <c r="C34" s="52">
        <v>2</v>
      </c>
      <c r="D34" s="52">
        <v>2</v>
      </c>
      <c r="E34" s="52">
        <v>2</v>
      </c>
      <c r="F34" s="52">
        <v>2</v>
      </c>
      <c r="G34" s="53">
        <f t="shared" si="3"/>
        <v>10</v>
      </c>
    </row>
    <row r="35" spans="1:7" x14ac:dyDescent="0.25">
      <c r="A35" s="47" t="s">
        <v>30</v>
      </c>
      <c r="B35" s="52">
        <v>102</v>
      </c>
      <c r="C35" s="52">
        <v>102</v>
      </c>
      <c r="D35" s="52">
        <v>102</v>
      </c>
      <c r="E35" s="52">
        <v>102</v>
      </c>
      <c r="F35" s="52">
        <v>102</v>
      </c>
      <c r="G35" s="53">
        <f t="shared" si="3"/>
        <v>510</v>
      </c>
    </row>
    <row r="36" spans="1:7" x14ac:dyDescent="0.25">
      <c r="A36" s="47" t="s">
        <v>32</v>
      </c>
      <c r="B36" s="52">
        <v>89</v>
      </c>
      <c r="C36" s="52">
        <v>89</v>
      </c>
      <c r="D36" s="52">
        <v>89</v>
      </c>
      <c r="E36" s="52">
        <v>89</v>
      </c>
      <c r="F36" s="52">
        <v>89</v>
      </c>
      <c r="G36" s="53">
        <f t="shared" si="3"/>
        <v>445</v>
      </c>
    </row>
    <row r="37" spans="1:7" x14ac:dyDescent="0.25">
      <c r="A37" s="47" t="s">
        <v>34</v>
      </c>
      <c r="B37" s="52">
        <v>6</v>
      </c>
      <c r="C37" s="52">
        <v>6</v>
      </c>
      <c r="D37" s="52">
        <v>6</v>
      </c>
      <c r="E37" s="52">
        <v>6</v>
      </c>
      <c r="F37" s="52">
        <v>6</v>
      </c>
      <c r="G37" s="53">
        <f t="shared" si="3"/>
        <v>30</v>
      </c>
    </row>
    <row r="38" spans="1:7" x14ac:dyDescent="0.25">
      <c r="A38" s="47" t="s">
        <v>36</v>
      </c>
      <c r="B38" s="52">
        <v>11</v>
      </c>
      <c r="C38" s="52">
        <v>11</v>
      </c>
      <c r="D38" s="52">
        <v>11</v>
      </c>
      <c r="E38" s="52">
        <v>11</v>
      </c>
      <c r="F38" s="52">
        <v>11</v>
      </c>
      <c r="G38" s="53">
        <f t="shared" si="3"/>
        <v>55</v>
      </c>
    </row>
    <row r="39" spans="1:7" x14ac:dyDescent="0.25">
      <c r="A39" s="54" t="s">
        <v>37</v>
      </c>
      <c r="B39" s="52">
        <v>10</v>
      </c>
      <c r="C39" s="52">
        <v>10</v>
      </c>
      <c r="D39" s="52">
        <v>10</v>
      </c>
      <c r="E39" s="52">
        <v>10</v>
      </c>
      <c r="F39" s="52">
        <v>10</v>
      </c>
      <c r="G39" s="53">
        <f t="shared" si="3"/>
        <v>50</v>
      </c>
    </row>
    <row r="40" spans="1:7" x14ac:dyDescent="0.25">
      <c r="A40" s="55" t="s">
        <v>2</v>
      </c>
      <c r="B40" s="56">
        <f>SUM(B26:B39)</f>
        <v>880769</v>
      </c>
      <c r="C40" s="56">
        <f t="shared" ref="C40:F40" si="4">SUM(C26:C39)</f>
        <v>881728</v>
      </c>
      <c r="D40" s="56">
        <f t="shared" si="4"/>
        <v>884353</v>
      </c>
      <c r="E40" s="56">
        <f t="shared" si="4"/>
        <v>886540</v>
      </c>
      <c r="F40" s="56">
        <f t="shared" si="4"/>
        <v>887972</v>
      </c>
      <c r="G40" s="56">
        <f>SUM(G26:G39)</f>
        <v>4421362</v>
      </c>
    </row>
    <row r="42" spans="1:7" x14ac:dyDescent="0.25">
      <c r="A42" s="58" t="s">
        <v>78</v>
      </c>
      <c r="B42" s="45"/>
      <c r="C42" s="45"/>
      <c r="D42" s="45"/>
      <c r="E42" s="45"/>
      <c r="F42" s="46"/>
      <c r="G42" s="46"/>
    </row>
    <row r="43" spans="1:7" x14ac:dyDescent="0.25">
      <c r="A43" s="48" t="s">
        <v>61</v>
      </c>
      <c r="B43" s="50">
        <f>B25</f>
        <v>45139</v>
      </c>
      <c r="C43" s="50">
        <f>C25</f>
        <v>45170</v>
      </c>
      <c r="D43" s="50">
        <f>D25</f>
        <v>45200</v>
      </c>
      <c r="E43" s="50">
        <f>E25</f>
        <v>45231</v>
      </c>
      <c r="F43" s="50">
        <f>F25</f>
        <v>45261</v>
      </c>
      <c r="G43" s="51" t="s">
        <v>2</v>
      </c>
    </row>
    <row r="44" spans="1:7" x14ac:dyDescent="0.25">
      <c r="A44" s="47">
        <v>16</v>
      </c>
      <c r="B44" s="53">
        <f>B8/19</f>
        <v>31</v>
      </c>
      <c r="C44" s="53">
        <f t="shared" ref="C44:F44" si="5">C8/19</f>
        <v>31</v>
      </c>
      <c r="D44" s="53">
        <f t="shared" si="5"/>
        <v>31</v>
      </c>
      <c r="E44" s="53">
        <f t="shared" si="5"/>
        <v>31</v>
      </c>
      <c r="F44" s="53">
        <f t="shared" si="5"/>
        <v>31</v>
      </c>
      <c r="G44" s="53">
        <f t="shared" ref="G44" si="6">SUM(B44:F44)</f>
        <v>155</v>
      </c>
    </row>
    <row r="46" spans="1:7" x14ac:dyDescent="0.25">
      <c r="A46" s="44" t="s">
        <v>64</v>
      </c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scale="75" orientation="landscape" blackAndWhite="1" r:id="rId1"/>
  <headerFooter>
    <oddFooter>&amp;L&amp;F 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90" zoomScaleNormal="90" workbookViewId="0">
      <selection activeCell="E17" sqref="E17"/>
    </sheetView>
  </sheetViews>
  <sheetFormatPr defaultColWidth="9.140625" defaultRowHeight="15" x14ac:dyDescent="0.25"/>
  <cols>
    <col min="1" max="1" width="4.42578125" style="1" customWidth="1"/>
    <col min="2" max="2" width="38.28515625" style="1" customWidth="1"/>
    <col min="3" max="3" width="13.28515625" style="1" customWidth="1"/>
    <col min="4" max="4" width="15.28515625" style="1" customWidth="1"/>
    <col min="5" max="5" width="15.85546875" style="1" customWidth="1"/>
    <col min="6" max="6" width="12.42578125" style="1" customWidth="1"/>
    <col min="7" max="16384" width="9.140625" style="1"/>
  </cols>
  <sheetData>
    <row r="1" spans="1:7" x14ac:dyDescent="0.25">
      <c r="A1" s="224" t="s">
        <v>0</v>
      </c>
      <c r="B1" s="224"/>
      <c r="C1" s="224"/>
      <c r="D1" s="224"/>
      <c r="E1" s="224"/>
      <c r="F1" s="224"/>
    </row>
    <row r="2" spans="1:7" x14ac:dyDescent="0.25">
      <c r="A2" s="2" t="str">
        <f>'Sch. 111 Charge Rates'!A2</f>
        <v>2023 Gas Schedule 111 Greenhouse Gas Emissions Cap and Invest Adjustment Filing</v>
      </c>
      <c r="B2" s="2"/>
      <c r="C2" s="2"/>
      <c r="D2" s="2"/>
      <c r="E2" s="2"/>
      <c r="F2" s="2"/>
    </row>
    <row r="3" spans="1:7" x14ac:dyDescent="0.25">
      <c r="A3" s="225" t="s">
        <v>237</v>
      </c>
      <c r="B3" s="224"/>
      <c r="C3" s="224"/>
      <c r="D3" s="224"/>
      <c r="E3" s="224"/>
      <c r="F3" s="224"/>
    </row>
    <row r="4" spans="1:7" x14ac:dyDescent="0.25">
      <c r="A4" s="224" t="s">
        <v>40</v>
      </c>
      <c r="B4" s="224"/>
      <c r="C4" s="224"/>
      <c r="D4" s="224"/>
      <c r="E4" s="224"/>
      <c r="F4" s="224"/>
    </row>
    <row r="5" spans="1:7" ht="13.5" customHeight="1" x14ac:dyDescent="0.25">
      <c r="E5" s="4"/>
      <c r="F5" s="4"/>
    </row>
    <row r="6" spans="1:7" ht="13.5" customHeight="1" x14ac:dyDescent="0.25">
      <c r="E6" s="64" t="s">
        <v>240</v>
      </c>
      <c r="F6" s="64" t="s">
        <v>181</v>
      </c>
    </row>
    <row r="7" spans="1:7" ht="17.25" x14ac:dyDescent="0.25">
      <c r="B7" s="4"/>
      <c r="C7" s="4"/>
      <c r="D7" s="23" t="s">
        <v>202</v>
      </c>
      <c r="E7" s="64" t="s">
        <v>4</v>
      </c>
      <c r="F7" s="4" t="s">
        <v>5</v>
      </c>
    </row>
    <row r="8" spans="1:7" x14ac:dyDescent="0.25">
      <c r="A8" s="60" t="s">
        <v>1</v>
      </c>
      <c r="B8" s="4"/>
      <c r="C8" s="4"/>
      <c r="D8" s="223" t="s">
        <v>87</v>
      </c>
      <c r="E8" s="64" t="s">
        <v>10</v>
      </c>
      <c r="F8" s="23" t="s">
        <v>200</v>
      </c>
    </row>
    <row r="9" spans="1:7" x14ac:dyDescent="0.25">
      <c r="A9" s="6" t="s">
        <v>6</v>
      </c>
      <c r="B9" s="6" t="s">
        <v>7</v>
      </c>
      <c r="C9" s="6" t="s">
        <v>8</v>
      </c>
      <c r="D9" s="51" t="s">
        <v>107</v>
      </c>
      <c r="E9" s="65" t="s">
        <v>241</v>
      </c>
      <c r="F9" s="65" t="s">
        <v>241</v>
      </c>
    </row>
    <row r="10" spans="1:7" x14ac:dyDescent="0.25">
      <c r="B10" s="60" t="s">
        <v>13</v>
      </c>
      <c r="C10" s="60" t="s">
        <v>14</v>
      </c>
      <c r="D10" s="7" t="s">
        <v>15</v>
      </c>
      <c r="E10" s="23" t="s">
        <v>16</v>
      </c>
      <c r="F10" s="7" t="s">
        <v>17</v>
      </c>
      <c r="G10" s="3"/>
    </row>
    <row r="11" spans="1:7" x14ac:dyDescent="0.25">
      <c r="A11" s="60">
        <v>1</v>
      </c>
      <c r="B11" s="44" t="s">
        <v>73</v>
      </c>
      <c r="C11" s="60">
        <v>23</v>
      </c>
      <c r="D11" s="8">
        <f>'Low Income Therm Forecast'!G9</f>
        <v>5518560.3455083277</v>
      </c>
      <c r="E11" s="10">
        <f>D11*F11</f>
        <v>-1362918.8485301917</v>
      </c>
      <c r="F11" s="76">
        <f>-'Sch. 111 Charge Rates'!G11</f>
        <v>-0.24697</v>
      </c>
    </row>
    <row r="12" spans="1:7" x14ac:dyDescent="0.25">
      <c r="D12" s="22"/>
    </row>
    <row r="13" spans="1:7" ht="17.25" customHeight="1" x14ac:dyDescent="0.25">
      <c r="B13" s="226" t="s">
        <v>201</v>
      </c>
      <c r="C13" s="226"/>
      <c r="D13" s="226"/>
      <c r="E13" s="226"/>
      <c r="F13" s="226"/>
    </row>
    <row r="14" spans="1:7" x14ac:dyDescent="0.25">
      <c r="B14" s="226"/>
      <c r="C14" s="226"/>
      <c r="D14" s="226"/>
      <c r="E14" s="226"/>
      <c r="F14" s="226"/>
    </row>
    <row r="15" spans="1:7" x14ac:dyDescent="0.25">
      <c r="D15" s="18"/>
    </row>
    <row r="16" spans="1:7" x14ac:dyDescent="0.25">
      <c r="D16" s="18"/>
    </row>
    <row r="17" spans="4:4" x14ac:dyDescent="0.25">
      <c r="D17" s="19"/>
    </row>
  </sheetData>
  <mergeCells count="4">
    <mergeCell ref="A1:F1"/>
    <mergeCell ref="A3:F3"/>
    <mergeCell ref="A4:F4"/>
    <mergeCell ref="B13:F14"/>
  </mergeCells>
  <printOptions horizontalCentered="1"/>
  <pageMargins left="0.45" right="0.45" top="0.75" bottom="0.75" header="0.3" footer="0.3"/>
  <pageSetup orientation="landscape" blackAndWhite="1" r:id="rId1"/>
  <headerFooter>
    <oddFooter>&amp;L&amp;F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35"/>
  <sheetViews>
    <sheetView zoomScale="90" zoomScaleNormal="90" workbookViewId="0">
      <selection activeCell="H27" sqref="H27"/>
    </sheetView>
  </sheetViews>
  <sheetFormatPr defaultColWidth="9.140625" defaultRowHeight="15" x14ac:dyDescent="0.25"/>
  <cols>
    <col min="1" max="1" width="4.42578125" style="44" customWidth="1"/>
    <col min="2" max="2" width="38.28515625" style="44" customWidth="1"/>
    <col min="3" max="3" width="13.42578125" style="44" customWidth="1"/>
    <col min="4" max="4" width="15.42578125" style="44" customWidth="1"/>
    <col min="5" max="5" width="14.5703125" style="44" customWidth="1"/>
    <col min="6" max="6" width="16.42578125" style="44" bestFit="1" customWidth="1"/>
    <col min="7" max="7" width="13.42578125" style="44" customWidth="1"/>
    <col min="8" max="8" width="14.42578125" style="44" bestFit="1" customWidth="1"/>
    <col min="9" max="16384" width="9.140625" style="44"/>
  </cols>
  <sheetData>
    <row r="1" spans="1:11" x14ac:dyDescent="0.25">
      <c r="A1" s="225" t="s">
        <v>0</v>
      </c>
      <c r="B1" s="225"/>
      <c r="C1" s="225"/>
      <c r="D1" s="225"/>
      <c r="E1" s="225"/>
      <c r="F1" s="225"/>
      <c r="G1" s="225"/>
      <c r="H1" s="225"/>
    </row>
    <row r="2" spans="1:11" x14ac:dyDescent="0.25">
      <c r="A2" s="63" t="str">
        <f>'Sch. 111 Charge Rates'!A2</f>
        <v>2023 Gas Schedule 111 Greenhouse Gas Emissions Cap and Invest Adjustment Filing</v>
      </c>
      <c r="B2" s="63"/>
      <c r="C2" s="63"/>
      <c r="D2" s="63"/>
      <c r="E2" s="63"/>
      <c r="F2" s="63"/>
      <c r="G2" s="63"/>
      <c r="H2" s="63"/>
    </row>
    <row r="3" spans="1:11" x14ac:dyDescent="0.25">
      <c r="A3" s="225" t="s">
        <v>238</v>
      </c>
      <c r="B3" s="225"/>
      <c r="C3" s="225"/>
      <c r="D3" s="225"/>
      <c r="E3" s="225"/>
      <c r="F3" s="225"/>
      <c r="G3" s="225"/>
      <c r="H3" s="225"/>
    </row>
    <row r="4" spans="1:11" x14ac:dyDescent="0.25">
      <c r="A4" s="225" t="str">
        <f>'Sch. 111 Charge Rates'!A4:H4</f>
        <v>Proposed Rates Effective August 1, 2023</v>
      </c>
      <c r="B4" s="225"/>
      <c r="C4" s="225"/>
      <c r="D4" s="225"/>
      <c r="E4" s="225"/>
      <c r="F4" s="225"/>
      <c r="G4" s="225"/>
      <c r="H4" s="225"/>
    </row>
    <row r="5" spans="1:11" x14ac:dyDescent="0.25">
      <c r="A5" s="222"/>
      <c r="B5" s="222"/>
      <c r="C5" s="222"/>
      <c r="D5" s="222"/>
      <c r="E5" s="222"/>
      <c r="F5" s="222"/>
      <c r="G5" s="222"/>
      <c r="H5" s="222"/>
    </row>
    <row r="6" spans="1:11" ht="13.5" customHeight="1" x14ac:dyDescent="0.25">
      <c r="E6" s="64"/>
      <c r="F6" s="64" t="s">
        <v>240</v>
      </c>
      <c r="G6" s="64"/>
      <c r="H6" s="64" t="s">
        <v>181</v>
      </c>
    </row>
    <row r="7" spans="1:11" ht="17.25" x14ac:dyDescent="0.25">
      <c r="B7" s="64"/>
      <c r="C7" s="64"/>
      <c r="D7" s="23" t="s">
        <v>71</v>
      </c>
      <c r="E7" s="23"/>
      <c r="F7" s="64" t="s">
        <v>4</v>
      </c>
      <c r="G7" s="23" t="s">
        <v>205</v>
      </c>
      <c r="H7" s="23" t="s">
        <v>208</v>
      </c>
    </row>
    <row r="8" spans="1:11" x14ac:dyDescent="0.25">
      <c r="A8" s="61" t="s">
        <v>1</v>
      </c>
      <c r="B8" s="64"/>
      <c r="C8" s="64"/>
      <c r="D8" s="223" t="s">
        <v>87</v>
      </c>
      <c r="E8" s="23" t="s">
        <v>3</v>
      </c>
      <c r="F8" s="64" t="s">
        <v>10</v>
      </c>
      <c r="G8" s="23" t="s">
        <v>243</v>
      </c>
      <c r="H8" s="23" t="s">
        <v>245</v>
      </c>
    </row>
    <row r="9" spans="1:11" x14ac:dyDescent="0.25">
      <c r="A9" s="65" t="s">
        <v>6</v>
      </c>
      <c r="B9" s="65" t="s">
        <v>7</v>
      </c>
      <c r="C9" s="65" t="s">
        <v>8</v>
      </c>
      <c r="D9" s="51" t="s">
        <v>107</v>
      </c>
      <c r="E9" s="65" t="s">
        <v>9</v>
      </c>
      <c r="F9" s="65" t="s">
        <v>241</v>
      </c>
      <c r="G9" s="65" t="s">
        <v>244</v>
      </c>
      <c r="H9" s="65" t="s">
        <v>241</v>
      </c>
    </row>
    <row r="10" spans="1:11" x14ac:dyDescent="0.25">
      <c r="B10" s="77" t="s">
        <v>13</v>
      </c>
      <c r="C10" s="77" t="s">
        <v>14</v>
      </c>
      <c r="D10" s="7" t="s">
        <v>15</v>
      </c>
      <c r="E10" s="23" t="s">
        <v>16</v>
      </c>
      <c r="F10" s="7" t="s">
        <v>17</v>
      </c>
      <c r="G10" s="23" t="s">
        <v>18</v>
      </c>
      <c r="H10" s="79" t="s">
        <v>19</v>
      </c>
      <c r="I10" s="23"/>
    </row>
    <row r="11" spans="1:11" x14ac:dyDescent="0.25">
      <c r="A11" s="61">
        <v>1</v>
      </c>
      <c r="B11" s="44" t="s">
        <v>20</v>
      </c>
      <c r="C11" s="61">
        <v>23</v>
      </c>
      <c r="D11" s="8">
        <f>SUM('CCA Therm Forecast'!G81:G82)</f>
        <v>237030173</v>
      </c>
      <c r="E11" s="9">
        <f>D11/$D$24</f>
        <v>0.55878475770968261</v>
      </c>
      <c r="F11" s="66">
        <f>$F$28*E11</f>
        <v>-48376530.694180958</v>
      </c>
      <c r="G11" s="67">
        <f>SUM('CCA Customer Forecast'!G117:G118)</f>
        <v>3998230</v>
      </c>
      <c r="H11" s="68">
        <f>ROUND(F11/G11,2)</f>
        <v>-12.1</v>
      </c>
      <c r="K11" s="69"/>
    </row>
    <row r="12" spans="1:11" ht="17.25" x14ac:dyDescent="0.25">
      <c r="A12" s="61">
        <f>A11+1</f>
        <v>2</v>
      </c>
      <c r="B12" s="216" t="s">
        <v>211</v>
      </c>
      <c r="C12" s="61">
        <v>16</v>
      </c>
      <c r="D12" s="8">
        <f>'CCA Therm Forecast'!G80</f>
        <v>2945</v>
      </c>
      <c r="E12" s="62">
        <f t="shared" ref="E12:E23" si="0">D12/$D$24</f>
        <v>6.9426651072604806E-6</v>
      </c>
      <c r="F12" s="66">
        <f t="shared" ref="F12:F23" si="1">$F$28*E12</f>
        <v>-601.05800494168705</v>
      </c>
      <c r="G12" s="67">
        <f>'F2022 Forecast'!G44</f>
        <v>155</v>
      </c>
      <c r="H12" s="68">
        <f t="shared" ref="H12:H23" si="2">ROUND(F12/G12,2)</f>
        <v>-3.88</v>
      </c>
      <c r="K12" s="69"/>
    </row>
    <row r="13" spans="1:11" x14ac:dyDescent="0.25">
      <c r="A13" s="61">
        <f t="shared" ref="A13:A28" si="3">A12+1</f>
        <v>3</v>
      </c>
      <c r="B13" s="44" t="s">
        <v>22</v>
      </c>
      <c r="C13" s="61">
        <v>31</v>
      </c>
      <c r="D13" s="8">
        <f>'CCA Therm Forecast'!G83</f>
        <v>101406651.59263071</v>
      </c>
      <c r="E13" s="9">
        <f t="shared" si="0"/>
        <v>0.23906024504457646</v>
      </c>
      <c r="F13" s="66">
        <f t="shared" si="1"/>
        <v>-20696529.607498594</v>
      </c>
      <c r="G13" s="67">
        <f>'CCA Customer Forecast'!G119</f>
        <v>286089</v>
      </c>
      <c r="H13" s="68">
        <f t="shared" si="2"/>
        <v>-72.34</v>
      </c>
      <c r="K13" s="69"/>
    </row>
    <row r="14" spans="1:11" x14ac:dyDescent="0.25">
      <c r="A14" s="61">
        <f t="shared" si="3"/>
        <v>4</v>
      </c>
      <c r="B14" s="44" t="s">
        <v>23</v>
      </c>
      <c r="C14" s="61">
        <v>41</v>
      </c>
      <c r="D14" s="8">
        <f>'CCA Therm Forecast'!G84</f>
        <v>28452770.755159236</v>
      </c>
      <c r="E14" s="9">
        <f t="shared" si="0"/>
        <v>6.7075741503132585E-2</v>
      </c>
      <c r="F14" s="66">
        <f t="shared" si="1"/>
        <v>-5807051.1460642405</v>
      </c>
      <c r="G14" s="67">
        <f>'CCA Customer Forecast'!G120</f>
        <v>6309</v>
      </c>
      <c r="H14" s="68">
        <f t="shared" si="2"/>
        <v>-920.44</v>
      </c>
      <c r="K14" s="69"/>
    </row>
    <row r="15" spans="1:11" x14ac:dyDescent="0.25">
      <c r="A15" s="61">
        <f t="shared" si="3"/>
        <v>5</v>
      </c>
      <c r="B15" s="44" t="s">
        <v>24</v>
      </c>
      <c r="C15" s="61">
        <v>85</v>
      </c>
      <c r="D15" s="8">
        <f>'CCA Therm Forecast'!G85</f>
        <v>3995124.4247881505</v>
      </c>
      <c r="E15" s="9">
        <f t="shared" si="0"/>
        <v>9.4182719671106249E-3</v>
      </c>
      <c r="F15" s="66">
        <f t="shared" si="1"/>
        <v>-815382.51825364027</v>
      </c>
      <c r="G15" s="67">
        <f>'CCA Customer Forecast'!G121</f>
        <v>145</v>
      </c>
      <c r="H15" s="68">
        <f t="shared" si="2"/>
        <v>-5623.33</v>
      </c>
      <c r="K15" s="69"/>
    </row>
    <row r="16" spans="1:11" x14ac:dyDescent="0.25">
      <c r="A16" s="61">
        <f t="shared" si="3"/>
        <v>6</v>
      </c>
      <c r="B16" s="44" t="s">
        <v>25</v>
      </c>
      <c r="C16" s="61">
        <v>86</v>
      </c>
      <c r="D16" s="8">
        <f>'CCA Therm Forecast'!G86</f>
        <v>2027748</v>
      </c>
      <c r="E16" s="9">
        <f t="shared" si="0"/>
        <v>4.7802972108377676E-3</v>
      </c>
      <c r="F16" s="66">
        <f t="shared" si="1"/>
        <v>-413852.00930543157</v>
      </c>
      <c r="G16" s="67">
        <f>'CCA Customer Forecast'!G122</f>
        <v>479</v>
      </c>
      <c r="H16" s="68">
        <f t="shared" si="2"/>
        <v>-863.99</v>
      </c>
      <c r="K16" s="69"/>
    </row>
    <row r="17" spans="1:11" x14ac:dyDescent="0.25">
      <c r="A17" s="61">
        <f t="shared" si="3"/>
        <v>7</v>
      </c>
      <c r="B17" s="44" t="s">
        <v>26</v>
      </c>
      <c r="C17" s="61">
        <v>87</v>
      </c>
      <c r="D17" s="8">
        <f>'CCA Therm Forecast'!G87</f>
        <v>529173.38832380553</v>
      </c>
      <c r="E17" s="9">
        <f t="shared" si="0"/>
        <v>1.2474952865217266E-3</v>
      </c>
      <c r="F17" s="66">
        <f t="shared" si="1"/>
        <v>-108001.32463638001</v>
      </c>
      <c r="G17" s="67">
        <f>'CCA Customer Forecast'!G123</f>
        <v>10</v>
      </c>
      <c r="H17" s="68">
        <f t="shared" si="2"/>
        <v>-10800.13</v>
      </c>
      <c r="K17" s="69"/>
    </row>
    <row r="18" spans="1:11" x14ac:dyDescent="0.25">
      <c r="A18" s="61">
        <f t="shared" si="3"/>
        <v>8</v>
      </c>
      <c r="B18" s="44" t="s">
        <v>27</v>
      </c>
      <c r="C18" s="61" t="s">
        <v>28</v>
      </c>
      <c r="D18" s="8">
        <f>'CCA Therm Forecast'!G88</f>
        <v>15141</v>
      </c>
      <c r="E18" s="9">
        <f t="shared" si="0"/>
        <v>3.5694021184730369E-5</v>
      </c>
      <c r="F18" s="66">
        <f t="shared" si="1"/>
        <v>-3090.1932946764291</v>
      </c>
      <c r="G18" s="67">
        <f>'CCA Customer Forecast'!G124</f>
        <v>10</v>
      </c>
      <c r="H18" s="68">
        <f t="shared" si="2"/>
        <v>-309.02</v>
      </c>
      <c r="K18" s="69"/>
    </row>
    <row r="19" spans="1:11" x14ac:dyDescent="0.25">
      <c r="A19" s="61">
        <f t="shared" si="3"/>
        <v>9</v>
      </c>
      <c r="B19" s="44" t="s">
        <v>29</v>
      </c>
      <c r="C19" s="61" t="s">
        <v>30</v>
      </c>
      <c r="D19" s="8">
        <f>'CCA Therm Forecast'!G89</f>
        <v>9596298</v>
      </c>
      <c r="E19" s="9">
        <f t="shared" si="0"/>
        <v>2.2622710792350946E-2</v>
      </c>
      <c r="F19" s="66">
        <f t="shared" si="1"/>
        <v>-1958550.6725656711</v>
      </c>
      <c r="G19" s="67">
        <f>'CCA Customer Forecast'!G125</f>
        <v>510</v>
      </c>
      <c r="H19" s="68">
        <f t="shared" si="2"/>
        <v>-3840.3</v>
      </c>
      <c r="K19" s="69"/>
    </row>
    <row r="20" spans="1:11" x14ac:dyDescent="0.25">
      <c r="A20" s="61">
        <f t="shared" si="3"/>
        <v>10</v>
      </c>
      <c r="B20" s="44" t="s">
        <v>31</v>
      </c>
      <c r="C20" s="61" t="s">
        <v>32</v>
      </c>
      <c r="D20" s="8">
        <f>'CCA Therm Forecast'!G90</f>
        <v>28109638.626885779</v>
      </c>
      <c r="E20" s="9">
        <f t="shared" si="0"/>
        <v>6.6266827596801803E-2</v>
      </c>
      <c r="F20" s="66">
        <f t="shared" si="1"/>
        <v>-5737019.8005798804</v>
      </c>
      <c r="G20" s="67">
        <f>'CCA Customer Forecast'!G126</f>
        <v>440</v>
      </c>
      <c r="H20" s="68">
        <f t="shared" si="2"/>
        <v>-13038.68</v>
      </c>
      <c r="K20" s="69"/>
    </row>
    <row r="21" spans="1:11" x14ac:dyDescent="0.25">
      <c r="A21" s="61">
        <f t="shared" si="3"/>
        <v>11</v>
      </c>
      <c r="B21" s="44" t="s">
        <v>33</v>
      </c>
      <c r="C21" s="61" t="s">
        <v>34</v>
      </c>
      <c r="D21" s="8">
        <f>'CCA Therm Forecast'!G91</f>
        <v>551738</v>
      </c>
      <c r="E21" s="9">
        <f t="shared" si="0"/>
        <v>1.300690037673916E-3</v>
      </c>
      <c r="F21" s="66">
        <f t="shared" si="1"/>
        <v>-112606.63549423309</v>
      </c>
      <c r="G21" s="67">
        <f>'CCA Customer Forecast'!G127</f>
        <v>30</v>
      </c>
      <c r="H21" s="68">
        <f t="shared" si="2"/>
        <v>-3753.55</v>
      </c>
      <c r="K21" s="69"/>
    </row>
    <row r="22" spans="1:11" x14ac:dyDescent="0.25">
      <c r="A22" s="61">
        <f t="shared" si="3"/>
        <v>12</v>
      </c>
      <c r="B22" s="44" t="s">
        <v>35</v>
      </c>
      <c r="C22" s="61" t="s">
        <v>36</v>
      </c>
      <c r="D22" s="8">
        <f>'CCA Therm Forecast'!G92</f>
        <v>5755133.3500792636</v>
      </c>
      <c r="E22" s="9">
        <f t="shared" si="0"/>
        <v>1.3567389982080277E-2</v>
      </c>
      <c r="F22" s="66">
        <f t="shared" si="1"/>
        <v>-1174590.4820278471</v>
      </c>
      <c r="G22" s="67">
        <f>'CCA Customer Forecast'!G128</f>
        <v>15</v>
      </c>
      <c r="H22" s="68">
        <f t="shared" si="2"/>
        <v>-78306.03</v>
      </c>
      <c r="K22" s="69"/>
    </row>
    <row r="23" spans="1:11" x14ac:dyDescent="0.25">
      <c r="A23" s="61">
        <f t="shared" si="3"/>
        <v>13</v>
      </c>
      <c r="B23" s="44" t="s">
        <v>37</v>
      </c>
      <c r="D23" s="8">
        <f>'CCA Therm Forecast'!G93</f>
        <v>6716152.4196225004</v>
      </c>
      <c r="E23" s="9">
        <f t="shared" si="0"/>
        <v>1.5832936182939281E-2</v>
      </c>
      <c r="F23" s="66">
        <f t="shared" si="1"/>
        <v>-1370729.0914168367</v>
      </c>
      <c r="G23" s="67">
        <f>'CCA Customer Forecast'!G129</f>
        <v>40</v>
      </c>
      <c r="H23" s="68">
        <f t="shared" si="2"/>
        <v>-34268.230000000003</v>
      </c>
      <c r="K23" s="69"/>
    </row>
    <row r="24" spans="1:11" x14ac:dyDescent="0.25">
      <c r="A24" s="61">
        <f t="shared" si="3"/>
        <v>14</v>
      </c>
      <c r="B24" s="44" t="s">
        <v>2</v>
      </c>
      <c r="D24" s="70">
        <f t="shared" ref="D24:G24" si="4">SUM(D11:D23)</f>
        <v>424188687.55748945</v>
      </c>
      <c r="E24" s="71">
        <f t="shared" si="4"/>
        <v>0.99999999999999989</v>
      </c>
      <c r="F24" s="72">
        <f t="shared" si="4"/>
        <v>-86574535.233323321</v>
      </c>
      <c r="G24" s="73">
        <f t="shared" si="4"/>
        <v>4292462</v>
      </c>
      <c r="H24" s="75"/>
    </row>
    <row r="25" spans="1:11" x14ac:dyDescent="0.25">
      <c r="A25" s="61">
        <f t="shared" si="3"/>
        <v>15</v>
      </c>
      <c r="D25" s="74"/>
    </row>
    <row r="26" spans="1:11" x14ac:dyDescent="0.25">
      <c r="A26" s="61">
        <f t="shared" si="3"/>
        <v>16</v>
      </c>
      <c r="B26" s="44" t="s">
        <v>39</v>
      </c>
      <c r="D26" s="74"/>
      <c r="F26" s="88">
        <f>'Forecast Rev Req'!E23</f>
        <v>-87937454.081853524</v>
      </c>
    </row>
    <row r="27" spans="1:11" x14ac:dyDescent="0.25">
      <c r="A27" s="61">
        <f t="shared" si="3"/>
        <v>17</v>
      </c>
      <c r="B27" s="44" t="s">
        <v>203</v>
      </c>
      <c r="D27" s="74"/>
      <c r="F27" s="88">
        <f>-'Sch. 111 Low Inc. Credit Rates'!E11</f>
        <v>1362918.8485301917</v>
      </c>
    </row>
    <row r="28" spans="1:11" x14ac:dyDescent="0.25">
      <c r="A28" s="61">
        <f t="shared" si="3"/>
        <v>18</v>
      </c>
      <c r="B28" s="44" t="s">
        <v>204</v>
      </c>
      <c r="E28" s="16"/>
      <c r="F28" s="89">
        <f>SUM(F26:F27)</f>
        <v>-86574535.233323336</v>
      </c>
      <c r="G28" s="16"/>
      <c r="H28" s="17"/>
    </row>
    <row r="29" spans="1:11" x14ac:dyDescent="0.25">
      <c r="A29" s="61"/>
      <c r="E29" s="16"/>
      <c r="F29" s="16"/>
      <c r="G29" s="16"/>
      <c r="H29" s="66"/>
    </row>
    <row r="30" spans="1:11" ht="17.25" x14ac:dyDescent="0.25">
      <c r="B30" s="44" t="s">
        <v>207</v>
      </c>
      <c r="D30" s="46"/>
    </row>
    <row r="31" spans="1:11" ht="17.25" x14ac:dyDescent="0.25">
      <c r="B31" s="44" t="s">
        <v>206</v>
      </c>
      <c r="D31" s="46"/>
    </row>
    <row r="32" spans="1:11" ht="17.25" x14ac:dyDescent="0.25">
      <c r="B32" s="44" t="s">
        <v>209</v>
      </c>
      <c r="D32" s="46"/>
    </row>
    <row r="33" spans="2:6" ht="17.25" x14ac:dyDescent="0.25">
      <c r="B33" s="44" t="s">
        <v>210</v>
      </c>
    </row>
    <row r="34" spans="2:6" x14ac:dyDescent="0.25">
      <c r="F34" s="87"/>
    </row>
    <row r="35" spans="2:6" x14ac:dyDescent="0.25">
      <c r="F35" s="69"/>
    </row>
  </sheetData>
  <mergeCells count="3">
    <mergeCell ref="A1:H1"/>
    <mergeCell ref="A3:H3"/>
    <mergeCell ref="A4:H4"/>
  </mergeCells>
  <printOptions horizontalCentered="1"/>
  <pageMargins left="0.45" right="0.45" top="0.75" bottom="0.75" header="0.3" footer="0.3"/>
  <pageSetup scale="94" orientation="landscape" blackAndWhite="1" r:id="rId1"/>
  <headerFooter>
    <oddFooter>&amp;L&amp;F 
&amp;A&amp;C&amp;P&amp;R&amp;D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I36"/>
  <sheetViews>
    <sheetView zoomScale="90" zoomScaleNormal="90" workbookViewId="0">
      <selection activeCell="I22" sqref="I22"/>
    </sheetView>
  </sheetViews>
  <sheetFormatPr defaultColWidth="9.140625" defaultRowHeight="15" x14ac:dyDescent="0.25"/>
  <cols>
    <col min="1" max="1" width="4.42578125" style="44" customWidth="1"/>
    <col min="2" max="2" width="2.42578125" style="44" customWidth="1"/>
    <col min="3" max="3" width="35.42578125" style="44" bestFit="1" customWidth="1"/>
    <col min="4" max="9" width="13.85546875" style="44" customWidth="1"/>
    <col min="10" max="16384" width="9.140625" style="44"/>
  </cols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 t="str">
        <f>'Sch. 111 Charge Rates'!A2</f>
        <v>2023 Gas Schedule 111 Greenhouse Gas Emissions Cap and Invest Adjustment Filing</v>
      </c>
      <c r="B2" s="63"/>
      <c r="C2" s="63"/>
      <c r="D2" s="63"/>
      <c r="E2" s="63"/>
      <c r="F2" s="63"/>
      <c r="G2" s="63"/>
      <c r="H2" s="63"/>
      <c r="I2" s="63"/>
    </row>
    <row r="3" spans="1:9" x14ac:dyDescent="0.25">
      <c r="A3" s="63" t="s">
        <v>239</v>
      </c>
      <c r="B3" s="63"/>
      <c r="C3" s="63"/>
      <c r="D3" s="63"/>
      <c r="E3" s="63"/>
      <c r="F3" s="63"/>
      <c r="G3" s="63"/>
      <c r="H3" s="63"/>
      <c r="I3" s="63"/>
    </row>
    <row r="4" spans="1:9" x14ac:dyDescent="0.25">
      <c r="A4" s="63" t="str">
        <f>'Sch. 111 Charge Rates'!A4:H4</f>
        <v>Proposed Rates Effective August 1, 2023</v>
      </c>
      <c r="B4" s="63"/>
      <c r="C4" s="63"/>
      <c r="D4" s="63"/>
      <c r="E4" s="63"/>
      <c r="F4" s="63"/>
      <c r="G4" s="63"/>
      <c r="H4" s="63"/>
      <c r="I4" s="63"/>
    </row>
    <row r="5" spans="1:9" x14ac:dyDescent="0.25">
      <c r="C5" s="64"/>
      <c r="D5" s="23"/>
      <c r="E5" s="23"/>
      <c r="F5" s="64"/>
      <c r="G5" s="64"/>
      <c r="H5" s="64"/>
    </row>
    <row r="6" spans="1:9" ht="15" customHeight="1" x14ac:dyDescent="0.25">
      <c r="A6" s="78" t="s">
        <v>1</v>
      </c>
      <c r="B6" s="78"/>
      <c r="C6" s="64"/>
      <c r="D6" s="23"/>
      <c r="E6" s="23"/>
      <c r="F6" s="64"/>
      <c r="G6" s="64"/>
      <c r="H6" s="64"/>
    </row>
    <row r="7" spans="1:9" x14ac:dyDescent="0.25">
      <c r="A7" s="65" t="s">
        <v>6</v>
      </c>
      <c r="B7" s="65"/>
      <c r="C7" s="65"/>
      <c r="D7" s="50">
        <v>45139</v>
      </c>
      <c r="E7" s="50">
        <f>EDATE(D7,1)</f>
        <v>45170</v>
      </c>
      <c r="F7" s="50">
        <f t="shared" ref="F7:H7" si="0">EDATE(E7,1)</f>
        <v>45200</v>
      </c>
      <c r="G7" s="50">
        <f t="shared" si="0"/>
        <v>45231</v>
      </c>
      <c r="H7" s="50">
        <f t="shared" si="0"/>
        <v>45261</v>
      </c>
      <c r="I7" s="50" t="s">
        <v>2</v>
      </c>
    </row>
    <row r="8" spans="1:9" x14ac:dyDescent="0.25">
      <c r="C8" s="77" t="s">
        <v>13</v>
      </c>
      <c r="D8" s="77" t="s">
        <v>14</v>
      </c>
      <c r="E8" s="7" t="s">
        <v>15</v>
      </c>
      <c r="F8" s="23" t="s">
        <v>16</v>
      </c>
      <c r="G8" s="7" t="s">
        <v>17</v>
      </c>
      <c r="H8" s="23" t="s">
        <v>18</v>
      </c>
      <c r="I8" s="79" t="s">
        <v>19</v>
      </c>
    </row>
    <row r="9" spans="1:9" x14ac:dyDescent="0.25">
      <c r="A9" s="78">
        <v>1</v>
      </c>
      <c r="B9" s="84" t="s">
        <v>75</v>
      </c>
      <c r="C9" s="55"/>
      <c r="D9" s="79"/>
      <c r="E9" s="79"/>
      <c r="F9" s="79"/>
      <c r="G9" s="23"/>
      <c r="H9" s="23"/>
      <c r="I9" s="23"/>
    </row>
    <row r="10" spans="1:9" x14ac:dyDescent="0.25">
      <c r="A10" s="78">
        <f>A9+1</f>
        <v>2</v>
      </c>
      <c r="B10" s="44" t="s">
        <v>247</v>
      </c>
    </row>
    <row r="11" spans="1:9" ht="17.25" x14ac:dyDescent="0.25">
      <c r="A11" s="78">
        <f t="shared" ref="A11:A33" si="1">A10+1</f>
        <v>3</v>
      </c>
      <c r="C11" s="216" t="s">
        <v>213</v>
      </c>
      <c r="D11" s="81">
        <f>SUM('CCA Therm Forecast'!B81:B82)</f>
        <v>12799549</v>
      </c>
      <c r="E11" s="81">
        <f>SUM('CCA Therm Forecast'!C81:C82)</f>
        <v>18485479</v>
      </c>
      <c r="F11" s="81">
        <f>SUM('CCA Therm Forecast'!D81:D82)</f>
        <v>42611904</v>
      </c>
      <c r="G11" s="81">
        <f>SUM('CCA Therm Forecast'!E81:E82)</f>
        <v>70762036</v>
      </c>
      <c r="H11" s="81">
        <f>SUM('CCA Therm Forecast'!F81:F82)</f>
        <v>92371205</v>
      </c>
      <c r="I11" s="80">
        <f>SUM(D11:H11)</f>
        <v>237030173</v>
      </c>
    </row>
    <row r="12" spans="1:9" x14ac:dyDescent="0.25">
      <c r="A12" s="78">
        <f t="shared" si="1"/>
        <v>4</v>
      </c>
      <c r="C12" s="44" t="s">
        <v>74</v>
      </c>
      <c r="D12" s="82">
        <f>D11/$I11</f>
        <v>5.3999661047372229E-2</v>
      </c>
      <c r="E12" s="82">
        <f t="shared" ref="E12:H12" si="2">E11/$I11</f>
        <v>7.7987872877264455E-2</v>
      </c>
      <c r="F12" s="82">
        <f t="shared" si="2"/>
        <v>0.17977417583878658</v>
      </c>
      <c r="G12" s="82">
        <f t="shared" si="2"/>
        <v>0.29853598427741096</v>
      </c>
      <c r="H12" s="82">
        <f t="shared" si="2"/>
        <v>0.38970230595916577</v>
      </c>
      <c r="I12" s="83">
        <f>SUM(D12:H12)</f>
        <v>1</v>
      </c>
    </row>
    <row r="13" spans="1:9" x14ac:dyDescent="0.25">
      <c r="A13" s="78">
        <f t="shared" si="1"/>
        <v>5</v>
      </c>
      <c r="C13" s="78"/>
      <c r="D13" s="79"/>
      <c r="E13" s="79"/>
      <c r="F13" s="79"/>
      <c r="G13" s="23"/>
      <c r="H13" s="23"/>
      <c r="I13" s="23"/>
    </row>
    <row r="14" spans="1:9" x14ac:dyDescent="0.25">
      <c r="A14" s="78">
        <f t="shared" si="1"/>
        <v>6</v>
      </c>
      <c r="B14" s="44" t="s">
        <v>76</v>
      </c>
    </row>
    <row r="15" spans="1:9" ht="17.25" x14ac:dyDescent="0.25">
      <c r="A15" s="78">
        <f t="shared" si="1"/>
        <v>7</v>
      </c>
      <c r="C15" s="216" t="s">
        <v>213</v>
      </c>
      <c r="D15" s="81">
        <f>'CCA Therm Forecast'!B83</f>
        <v>9783087.4024568852</v>
      </c>
      <c r="E15" s="81">
        <f>'CCA Therm Forecast'!C83</f>
        <v>11443346.647521865</v>
      </c>
      <c r="F15" s="81">
        <f>'CCA Therm Forecast'!D83</f>
        <v>18928241.375082374</v>
      </c>
      <c r="G15" s="81">
        <f>'CCA Therm Forecast'!E83</f>
        <v>27276624.045955855</v>
      </c>
      <c r="H15" s="81">
        <f>'CCA Therm Forecast'!F83</f>
        <v>33975352.121613733</v>
      </c>
      <c r="I15" s="80">
        <f>SUM(D15:H15)</f>
        <v>101406651.59263071</v>
      </c>
    </row>
    <row r="16" spans="1:9" x14ac:dyDescent="0.25">
      <c r="A16" s="78">
        <f t="shared" si="1"/>
        <v>8</v>
      </c>
      <c r="C16" s="44" t="s">
        <v>74</v>
      </c>
      <c r="D16" s="82">
        <f>D15/$I15</f>
        <v>9.6473823450530224E-2</v>
      </c>
      <c r="E16" s="82">
        <f t="shared" ref="E16" si="3">E15/$I15</f>
        <v>0.11284611480410482</v>
      </c>
      <c r="F16" s="82">
        <f t="shared" ref="F16" si="4">F15/$I15</f>
        <v>0.1866568028606311</v>
      </c>
      <c r="G16" s="82">
        <f t="shared" ref="G16" si="5">G15/$I15</f>
        <v>0.26898259253772722</v>
      </c>
      <c r="H16" s="82">
        <f t="shared" ref="H16" si="6">H15/$I15</f>
        <v>0.33504066634700663</v>
      </c>
      <c r="I16" s="83">
        <f>SUM(D16:H16)</f>
        <v>1</v>
      </c>
    </row>
    <row r="17" spans="1:9" x14ac:dyDescent="0.25">
      <c r="A17" s="78">
        <f t="shared" si="1"/>
        <v>9</v>
      </c>
      <c r="C17" s="78"/>
      <c r="D17" s="79"/>
      <c r="E17" s="79"/>
      <c r="F17" s="79"/>
      <c r="G17" s="23"/>
      <c r="H17" s="23"/>
      <c r="I17" s="23"/>
    </row>
    <row r="18" spans="1:9" x14ac:dyDescent="0.25">
      <c r="A18" s="179">
        <f t="shared" si="1"/>
        <v>10</v>
      </c>
      <c r="B18" s="44" t="s">
        <v>187</v>
      </c>
    </row>
    <row r="19" spans="1:9" ht="17.25" x14ac:dyDescent="0.25">
      <c r="A19" s="179">
        <f t="shared" si="1"/>
        <v>11</v>
      </c>
      <c r="C19" s="216" t="s">
        <v>213</v>
      </c>
      <c r="D19" s="81">
        <f>'CCA Therm Forecast'!B88</f>
        <v>1835</v>
      </c>
      <c r="E19" s="81">
        <f>'CCA Therm Forecast'!C88</f>
        <v>2343</v>
      </c>
      <c r="F19" s="81">
        <f>'CCA Therm Forecast'!D88</f>
        <v>2751</v>
      </c>
      <c r="G19" s="81">
        <f>'CCA Therm Forecast'!E88</f>
        <v>3920</v>
      </c>
      <c r="H19" s="81">
        <f>'CCA Therm Forecast'!F88</f>
        <v>4292</v>
      </c>
      <c r="I19" s="80">
        <f>SUM(D19:H19)</f>
        <v>15141</v>
      </c>
    </row>
    <row r="20" spans="1:9" x14ac:dyDescent="0.25">
      <c r="A20" s="179">
        <f t="shared" si="1"/>
        <v>12</v>
      </c>
      <c r="C20" s="44" t="s">
        <v>74</v>
      </c>
      <c r="D20" s="82">
        <f>D19/$I19</f>
        <v>0.12119410871144574</v>
      </c>
      <c r="E20" s="82">
        <f t="shared" ref="E20:H20" si="7">E19/$I19</f>
        <v>0.15474539330295226</v>
      </c>
      <c r="F20" s="82">
        <f t="shared" si="7"/>
        <v>0.18169209431345354</v>
      </c>
      <c r="G20" s="82">
        <f t="shared" si="7"/>
        <v>0.25889967637540451</v>
      </c>
      <c r="H20" s="82">
        <f t="shared" si="7"/>
        <v>0.28346872729674394</v>
      </c>
      <c r="I20" s="83">
        <f>SUM(D20:H20)</f>
        <v>1</v>
      </c>
    </row>
    <row r="21" spans="1:9" x14ac:dyDescent="0.25">
      <c r="A21" s="179">
        <f t="shared" si="1"/>
        <v>13</v>
      </c>
      <c r="C21" s="93"/>
      <c r="D21" s="94"/>
      <c r="E21" s="94"/>
      <c r="F21" s="94"/>
      <c r="G21" s="23"/>
      <c r="H21" s="23"/>
      <c r="I21" s="23"/>
    </row>
    <row r="22" spans="1:9" x14ac:dyDescent="0.25">
      <c r="A22" s="179">
        <f t="shared" si="1"/>
        <v>14</v>
      </c>
      <c r="B22" s="84" t="s">
        <v>246</v>
      </c>
      <c r="C22" s="78"/>
      <c r="D22" s="79"/>
      <c r="E22" s="79"/>
      <c r="F22" s="79"/>
      <c r="G22" s="23"/>
      <c r="H22" s="23"/>
      <c r="I22" s="23"/>
    </row>
    <row r="23" spans="1:9" x14ac:dyDescent="0.25">
      <c r="A23" s="179">
        <f t="shared" si="1"/>
        <v>15</v>
      </c>
      <c r="B23" s="44" t="s">
        <v>247</v>
      </c>
    </row>
    <row r="24" spans="1:9" x14ac:dyDescent="0.25">
      <c r="A24" s="179">
        <f t="shared" si="1"/>
        <v>16</v>
      </c>
      <c r="C24" s="44" t="s">
        <v>77</v>
      </c>
      <c r="D24" s="81"/>
      <c r="E24" s="81"/>
      <c r="F24" s="81"/>
      <c r="G24" s="81"/>
      <c r="H24" s="81"/>
      <c r="I24" s="90">
        <f>'Sch. 111 Non-Vol Credit Rates'!H11*5</f>
        <v>-60.5</v>
      </c>
    </row>
    <row r="25" spans="1:9" x14ac:dyDescent="0.25">
      <c r="A25" s="179">
        <f t="shared" si="1"/>
        <v>17</v>
      </c>
      <c r="C25" s="44" t="s">
        <v>212</v>
      </c>
      <c r="D25" s="85">
        <f>$I$24*D12</f>
        <v>-3.2669794933660197</v>
      </c>
      <c r="E25" s="85">
        <f t="shared" ref="E25:H25" si="8">$I$24*E12</f>
        <v>-4.7182663090744992</v>
      </c>
      <c r="F25" s="85">
        <f t="shared" si="8"/>
        <v>-10.876337638246588</v>
      </c>
      <c r="G25" s="85">
        <f t="shared" si="8"/>
        <v>-18.061427048783361</v>
      </c>
      <c r="H25" s="85">
        <f t="shared" si="8"/>
        <v>-23.576989510529529</v>
      </c>
      <c r="I25" s="86">
        <f>SUM(D25:H25)</f>
        <v>-60.5</v>
      </c>
    </row>
    <row r="26" spans="1:9" x14ac:dyDescent="0.25">
      <c r="A26" s="179">
        <f t="shared" si="1"/>
        <v>18</v>
      </c>
      <c r="D26" s="82"/>
      <c r="E26" s="82"/>
      <c r="F26" s="82"/>
      <c r="G26" s="82"/>
      <c r="H26" s="82"/>
      <c r="I26" s="83"/>
    </row>
    <row r="27" spans="1:9" x14ac:dyDescent="0.25">
      <c r="A27" s="179">
        <f t="shared" si="1"/>
        <v>19</v>
      </c>
      <c r="B27" s="44" t="s">
        <v>76</v>
      </c>
    </row>
    <row r="28" spans="1:9" x14ac:dyDescent="0.25">
      <c r="A28" s="179">
        <f t="shared" si="1"/>
        <v>20</v>
      </c>
      <c r="C28" s="44" t="s">
        <v>77</v>
      </c>
      <c r="D28" s="81"/>
      <c r="E28" s="81"/>
      <c r="F28" s="81"/>
      <c r="G28" s="81"/>
      <c r="H28" s="81"/>
      <c r="I28" s="90">
        <f>'Sch. 111 Non-Vol Credit Rates'!H13*5</f>
        <v>-361.70000000000005</v>
      </c>
    </row>
    <row r="29" spans="1:9" x14ac:dyDescent="0.25">
      <c r="A29" s="179">
        <f t="shared" si="1"/>
        <v>21</v>
      </c>
      <c r="C29" s="44" t="s">
        <v>212</v>
      </c>
      <c r="D29" s="85">
        <f>$I$28*D16</f>
        <v>-34.894581942056789</v>
      </c>
      <c r="E29" s="85">
        <f t="shared" ref="E29:H29" si="9">$I$28*E16</f>
        <v>-40.816439724644717</v>
      </c>
      <c r="F29" s="85">
        <f t="shared" si="9"/>
        <v>-67.513765594690284</v>
      </c>
      <c r="G29" s="85">
        <f t="shared" si="9"/>
        <v>-97.291003720895944</v>
      </c>
      <c r="H29" s="85">
        <f t="shared" si="9"/>
        <v>-121.18420901771232</v>
      </c>
      <c r="I29" s="86">
        <f>SUM(D29:H29)</f>
        <v>-361.70000000000005</v>
      </c>
    </row>
    <row r="30" spans="1:9" x14ac:dyDescent="0.25">
      <c r="A30" s="179">
        <f t="shared" si="1"/>
        <v>22</v>
      </c>
      <c r="D30" s="82"/>
      <c r="E30" s="82"/>
      <c r="F30" s="82"/>
      <c r="G30" s="82"/>
      <c r="H30" s="82"/>
      <c r="I30" s="83"/>
    </row>
    <row r="31" spans="1:9" x14ac:dyDescent="0.25">
      <c r="A31" s="179">
        <f t="shared" si="1"/>
        <v>23</v>
      </c>
      <c r="B31" s="44" t="s">
        <v>187</v>
      </c>
    </row>
    <row r="32" spans="1:9" x14ac:dyDescent="0.25">
      <c r="A32" s="179">
        <f t="shared" si="1"/>
        <v>24</v>
      </c>
      <c r="C32" s="44" t="s">
        <v>77</v>
      </c>
      <c r="D32" s="81"/>
      <c r="E32" s="81"/>
      <c r="F32" s="81"/>
      <c r="G32" s="81"/>
      <c r="H32" s="81"/>
      <c r="I32" s="90">
        <f>'Sch. 111 Non-Vol Credit Rates'!H18*5</f>
        <v>-1545.1</v>
      </c>
    </row>
    <row r="33" spans="1:9" x14ac:dyDescent="0.25">
      <c r="A33" s="179">
        <f t="shared" si="1"/>
        <v>25</v>
      </c>
      <c r="C33" s="44" t="s">
        <v>212</v>
      </c>
      <c r="D33" s="85">
        <f>$I$32*D20</f>
        <v>-187.2570173700548</v>
      </c>
      <c r="E33" s="85">
        <f t="shared" ref="E33:H33" si="10">$I$32*E20</f>
        <v>-239.09710719239152</v>
      </c>
      <c r="F33" s="85">
        <f t="shared" si="10"/>
        <v>-280.73245492371706</v>
      </c>
      <c r="G33" s="85">
        <f t="shared" si="10"/>
        <v>-400.02588996763745</v>
      </c>
      <c r="H33" s="85">
        <f t="shared" si="10"/>
        <v>-437.98753054619903</v>
      </c>
      <c r="I33" s="86">
        <f>SUM(D33:H33)</f>
        <v>-1545.0999999999997</v>
      </c>
    </row>
    <row r="34" spans="1:9" x14ac:dyDescent="0.25">
      <c r="D34" s="82"/>
      <c r="E34" s="82"/>
      <c r="F34" s="82"/>
      <c r="G34" s="82"/>
      <c r="H34" s="82"/>
      <c r="I34" s="83"/>
    </row>
    <row r="35" spans="1:9" ht="17.25" x14ac:dyDescent="0.25">
      <c r="B35" s="44" t="s">
        <v>207</v>
      </c>
      <c r="D35" s="82"/>
      <c r="E35" s="82"/>
      <c r="F35" s="82"/>
      <c r="G35" s="82"/>
      <c r="H35" s="82"/>
      <c r="I35" s="83"/>
    </row>
    <row r="36" spans="1:9" x14ac:dyDescent="0.25">
      <c r="D36" s="46"/>
    </row>
  </sheetData>
  <printOptions horizontalCentered="1"/>
  <pageMargins left="0.45" right="0.45" top="0.75" bottom="0.75" header="0.3" footer="0.3"/>
  <pageSetup scale="97" orientation="landscape" blackAndWhite="1" r:id="rId1"/>
  <headerFooter>
    <oddFooter>&amp;L&amp;F 
&amp;A&amp;C&amp;P&amp;R&amp;D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7"/>
  <sheetViews>
    <sheetView zoomScale="90" zoomScaleNormal="90" workbookViewId="0">
      <pane xSplit="3" ySplit="9" topLeftCell="Q10" activePane="bottomRight" state="frozenSplit"/>
      <selection activeCell="N37" sqref="N37"/>
      <selection pane="topRight" activeCell="N37" sqref="N37"/>
      <selection pane="bottomLeft" activeCell="N37" sqref="N37"/>
      <selection pane="bottomRight" activeCell="R37" sqref="R37"/>
    </sheetView>
  </sheetViews>
  <sheetFormatPr defaultRowHeight="15" outlineLevelCol="1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4.5703125" bestFit="1" customWidth="1"/>
    <col min="6" max="6" width="10.5703125" bestFit="1" customWidth="1"/>
    <col min="7" max="7" width="15" customWidth="1"/>
    <col min="8" max="8" width="14.5703125" bestFit="1" customWidth="1"/>
    <col min="9" max="9" width="14.5703125" customWidth="1" outlineLevel="1"/>
    <col min="10" max="12" width="13.28515625" customWidth="1" outlineLevel="1"/>
    <col min="13" max="13" width="12.140625" customWidth="1" outlineLevel="1"/>
    <col min="14" max="14" width="13.28515625" customWidth="1" outlineLevel="1"/>
    <col min="15" max="17" width="14" customWidth="1" outlineLevel="1"/>
    <col min="18" max="18" width="12.85546875" customWidth="1" outlineLevel="1"/>
    <col min="19" max="19" width="13.28515625" customWidth="1" outlineLevel="1"/>
    <col min="20" max="20" width="16.140625" bestFit="1" customWidth="1"/>
    <col min="21" max="21" width="14.5703125" customWidth="1"/>
    <col min="22" max="22" width="9.140625" bestFit="1" customWidth="1"/>
    <col min="23" max="23" width="14.5703125" customWidth="1"/>
    <col min="24" max="24" width="9.140625" bestFit="1" customWidth="1"/>
    <col min="25" max="25" width="14.85546875" customWidth="1"/>
    <col min="26" max="26" width="8" customWidth="1"/>
  </cols>
  <sheetData>
    <row r="1" spans="2:26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6"/>
      <c r="X1" s="96"/>
      <c r="Y1" s="96"/>
      <c r="Z1" s="96"/>
    </row>
    <row r="2" spans="2:26" x14ac:dyDescent="0.25">
      <c r="B2" s="95" t="s">
        <v>41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6"/>
      <c r="X2" s="96"/>
      <c r="Y2" s="96"/>
      <c r="Z2" s="96"/>
    </row>
    <row r="3" spans="2:26" x14ac:dyDescent="0.25">
      <c r="B3" s="96" t="s">
        <v>79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2:26" x14ac:dyDescent="0.25">
      <c r="B4" s="96" t="s">
        <v>40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2:26" x14ac:dyDescent="0.25">
      <c r="F5" s="97"/>
      <c r="O5" s="97"/>
      <c r="P5" s="97"/>
      <c r="Q5" s="97"/>
    </row>
    <row r="6" spans="2:26" x14ac:dyDescent="0.25">
      <c r="F6" s="97"/>
      <c r="G6" s="98" t="s">
        <v>80</v>
      </c>
      <c r="O6" s="97"/>
      <c r="P6" s="97"/>
      <c r="Q6" s="97"/>
    </row>
    <row r="7" spans="2:26" x14ac:dyDescent="0.25">
      <c r="B7" s="98"/>
      <c r="C7" s="98"/>
      <c r="D7" s="98" t="s">
        <v>81</v>
      </c>
      <c r="E7" s="98" t="str">
        <f>D7</f>
        <v>UG-220067</v>
      </c>
      <c r="F7" s="98" t="s">
        <v>82</v>
      </c>
      <c r="G7" s="98" t="s">
        <v>83</v>
      </c>
      <c r="H7" s="97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9" t="s">
        <v>84</v>
      </c>
      <c r="U7" s="99" t="s">
        <v>5</v>
      </c>
      <c r="V7" s="98"/>
      <c r="W7" s="99" t="s">
        <v>5</v>
      </c>
      <c r="X7" s="98"/>
      <c r="Y7" s="99" t="s">
        <v>5</v>
      </c>
      <c r="Z7" s="98"/>
    </row>
    <row r="8" spans="2:26" x14ac:dyDescent="0.25">
      <c r="B8" s="98"/>
      <c r="C8" s="98" t="s">
        <v>11</v>
      </c>
      <c r="D8" s="98" t="s">
        <v>85</v>
      </c>
      <c r="E8" s="98" t="s">
        <v>86</v>
      </c>
      <c r="F8" s="98" t="s">
        <v>11</v>
      </c>
      <c r="G8" s="99" t="s">
        <v>87</v>
      </c>
      <c r="H8" s="97" t="s">
        <v>86</v>
      </c>
      <c r="I8" s="98" t="s">
        <v>88</v>
      </c>
      <c r="J8" s="98" t="s">
        <v>89</v>
      </c>
      <c r="K8" s="98" t="s">
        <v>5</v>
      </c>
      <c r="L8" s="98" t="s">
        <v>90</v>
      </c>
      <c r="M8" s="98" t="s">
        <v>91</v>
      </c>
      <c r="N8" s="98" t="s">
        <v>92</v>
      </c>
      <c r="O8" s="98" t="s">
        <v>93</v>
      </c>
      <c r="P8" s="98" t="s">
        <v>94</v>
      </c>
      <c r="Q8" s="98" t="s">
        <v>95</v>
      </c>
      <c r="R8" s="98" t="s">
        <v>96</v>
      </c>
      <c r="S8" s="98" t="s">
        <v>97</v>
      </c>
      <c r="T8" s="98" t="s">
        <v>98</v>
      </c>
      <c r="U8" s="98" t="s">
        <v>99</v>
      </c>
      <c r="V8" s="98" t="s">
        <v>100</v>
      </c>
      <c r="W8" s="98" t="s">
        <v>101</v>
      </c>
      <c r="X8" s="98" t="s">
        <v>100</v>
      </c>
      <c r="Y8" s="98" t="s">
        <v>102</v>
      </c>
      <c r="Z8" s="98" t="s">
        <v>100</v>
      </c>
    </row>
    <row r="9" spans="2:26" ht="17.25" x14ac:dyDescent="0.25">
      <c r="B9" s="100" t="s">
        <v>7</v>
      </c>
      <c r="C9" s="100" t="s">
        <v>103</v>
      </c>
      <c r="D9" s="100" t="s">
        <v>104</v>
      </c>
      <c r="E9" s="100" t="s">
        <v>105</v>
      </c>
      <c r="F9" s="100" t="s">
        <v>106</v>
      </c>
      <c r="G9" s="101" t="s">
        <v>107</v>
      </c>
      <c r="H9" s="100" t="s">
        <v>4</v>
      </c>
      <c r="I9" s="100" t="s">
        <v>4</v>
      </c>
      <c r="J9" s="100" t="s">
        <v>4</v>
      </c>
      <c r="K9" s="100" t="s">
        <v>4</v>
      </c>
      <c r="L9" s="100" t="s">
        <v>4</v>
      </c>
      <c r="M9" s="100" t="s">
        <v>4</v>
      </c>
      <c r="N9" s="100" t="s">
        <v>4</v>
      </c>
      <c r="O9" s="100" t="s">
        <v>4</v>
      </c>
      <c r="P9" s="100" t="s">
        <v>4</v>
      </c>
      <c r="Q9" s="100" t="s">
        <v>4</v>
      </c>
      <c r="R9" s="100" t="s">
        <v>4</v>
      </c>
      <c r="S9" s="100" t="s">
        <v>4</v>
      </c>
      <c r="T9" s="65" t="s">
        <v>108</v>
      </c>
      <c r="U9" s="100" t="s">
        <v>109</v>
      </c>
      <c r="V9" s="100" t="s">
        <v>109</v>
      </c>
      <c r="W9" s="100" t="s">
        <v>109</v>
      </c>
      <c r="X9" s="100" t="s">
        <v>109</v>
      </c>
      <c r="Y9" s="100" t="s">
        <v>109</v>
      </c>
      <c r="Z9" s="100" t="s">
        <v>109</v>
      </c>
    </row>
    <row r="10" spans="2:26" x14ac:dyDescent="0.25">
      <c r="B10" s="98" t="s">
        <v>110</v>
      </c>
      <c r="C10" s="98" t="s">
        <v>111</v>
      </c>
      <c r="D10" s="102" t="s">
        <v>112</v>
      </c>
      <c r="E10" s="103" t="s">
        <v>113</v>
      </c>
      <c r="F10" s="98" t="s">
        <v>114</v>
      </c>
      <c r="G10" s="98" t="s">
        <v>115</v>
      </c>
      <c r="H10" s="98" t="s">
        <v>116</v>
      </c>
      <c r="I10" s="98" t="s">
        <v>117</v>
      </c>
      <c r="J10" s="98" t="s">
        <v>118</v>
      </c>
      <c r="K10" s="98" t="s">
        <v>119</v>
      </c>
      <c r="L10" s="103" t="s">
        <v>120</v>
      </c>
      <c r="M10" s="98" t="s">
        <v>121</v>
      </c>
      <c r="N10" s="103" t="s">
        <v>122</v>
      </c>
      <c r="O10" s="103" t="s">
        <v>123</v>
      </c>
      <c r="P10" s="103" t="s">
        <v>124</v>
      </c>
      <c r="Q10" s="103" t="s">
        <v>125</v>
      </c>
      <c r="R10" s="103" t="s">
        <v>126</v>
      </c>
      <c r="S10" s="103" t="s">
        <v>127</v>
      </c>
      <c r="T10" s="104" t="s">
        <v>128</v>
      </c>
      <c r="U10" s="98" t="s">
        <v>129</v>
      </c>
      <c r="V10" s="98" t="s">
        <v>130</v>
      </c>
      <c r="W10" s="98" t="s">
        <v>131</v>
      </c>
      <c r="X10" s="98" t="s">
        <v>132</v>
      </c>
      <c r="Y10" s="98" t="s">
        <v>133</v>
      </c>
      <c r="Z10" s="98" t="s">
        <v>134</v>
      </c>
    </row>
    <row r="11" spans="2:26" x14ac:dyDescent="0.25">
      <c r="B11" t="s">
        <v>20</v>
      </c>
      <c r="C11" s="97">
        <v>23</v>
      </c>
      <c r="D11" s="212">
        <v>620836684.05687141</v>
      </c>
      <c r="E11" s="111">
        <v>403613457.09474093</v>
      </c>
      <c r="F11" s="106">
        <f t="shared" ref="F11:F16" si="0">(E11)/D11</f>
        <v>0.6501121268436002</v>
      </c>
      <c r="G11" s="212">
        <v>237030173</v>
      </c>
      <c r="H11" s="107">
        <f>F11*G11</f>
        <v>154096189.89513651</v>
      </c>
      <c r="I11" s="111">
        <v>163595855.09999999</v>
      </c>
      <c r="J11" s="111">
        <v>9566537.7799999993</v>
      </c>
      <c r="K11" s="105">
        <f>SUM('Sch. 111 Charge'!F9,'Sch. 111 Credit'!F10)</f>
        <v>0</v>
      </c>
      <c r="L11" s="111">
        <v>6814617.4737499999</v>
      </c>
      <c r="M11" s="111">
        <v>749015.34667999996</v>
      </c>
      <c r="N11" s="111">
        <v>5416139.4530499997</v>
      </c>
      <c r="O11" s="111">
        <v>772718.36398000002</v>
      </c>
      <c r="P11" s="111">
        <v>-402951.2941</v>
      </c>
      <c r="Q11" s="111">
        <v>11531517.916449999</v>
      </c>
      <c r="R11" s="111">
        <v>-324731.33700999996</v>
      </c>
      <c r="S11" s="111">
        <v>1099820</v>
      </c>
      <c r="T11" s="108">
        <f t="shared" ref="T11:T23" si="1">SUM(H11:S11)</f>
        <v>352914728.69793648</v>
      </c>
      <c r="U11" s="105">
        <f>'Sch. 111 Charge'!H9</f>
        <v>58539341.82581</v>
      </c>
      <c r="V11" s="109">
        <f>U11/T11</f>
        <v>0.16587389832605839</v>
      </c>
      <c r="W11" s="105">
        <f>SUM('Sch. 111 Credit'!H10,'Sch. 111 Credit'!H29)</f>
        <v>-49741501.848530188</v>
      </c>
      <c r="X11" s="110">
        <f>W11/T11</f>
        <v>-0.1409448169875179</v>
      </c>
      <c r="Y11" s="66">
        <f>U11+W11</f>
        <v>8797839.9772798121</v>
      </c>
      <c r="Z11" s="109">
        <f>Y11/T11</f>
        <v>2.49290813385405E-2</v>
      </c>
    </row>
    <row r="12" spans="2:26" x14ac:dyDescent="0.25">
      <c r="B12" t="s">
        <v>21</v>
      </c>
      <c r="C12" s="97">
        <v>16</v>
      </c>
      <c r="D12" s="212">
        <v>8190.2669999999998</v>
      </c>
      <c r="E12" s="111">
        <v>5233.1499999999996</v>
      </c>
      <c r="F12" s="106">
        <f t="shared" si="0"/>
        <v>0.63894742381414427</v>
      </c>
      <c r="G12" s="212">
        <v>2945</v>
      </c>
      <c r="H12" s="107">
        <f t="shared" ref="H12:H23" si="2">F12*G12</f>
        <v>1881.7001631326548</v>
      </c>
      <c r="I12" s="111">
        <v>1814.65</v>
      </c>
      <c r="J12" s="111">
        <v>118.86</v>
      </c>
      <c r="K12" s="105">
        <f>SUM('Sch. 111 Charge'!F10,'Sch. 111 Credit'!F11)</f>
        <v>0</v>
      </c>
      <c r="L12" s="111">
        <v>84.668750000000003</v>
      </c>
      <c r="M12" s="111"/>
      <c r="N12" s="111">
        <v>67.29325</v>
      </c>
      <c r="O12" s="111">
        <v>9.6006999999999998</v>
      </c>
      <c r="P12" s="111">
        <v>-5.0065</v>
      </c>
      <c r="Q12" s="111">
        <v>143.27424999999999</v>
      </c>
      <c r="R12" s="111">
        <v>-4.0346500000000001</v>
      </c>
      <c r="S12" s="111"/>
      <c r="T12" s="108">
        <f t="shared" si="1"/>
        <v>4111.0059631326558</v>
      </c>
      <c r="U12" s="105">
        <f>'Sch. 111 Charge'!H10</f>
        <v>727.32664999999997</v>
      </c>
      <c r="V12" s="109">
        <f t="shared" ref="V12:V23" si="3">U12/T12</f>
        <v>0.17692181829037407</v>
      </c>
      <c r="W12" s="105">
        <f>'Sch. 111 Credit'!H11</f>
        <v>-601.4</v>
      </c>
      <c r="X12" s="110">
        <f t="shared" ref="X12:X23" si="4">W12/T12</f>
        <v>-0.14629022808366909</v>
      </c>
      <c r="Y12" s="66">
        <f t="shared" ref="Y12:Y23" si="5">U12+W12</f>
        <v>125.92665</v>
      </c>
      <c r="Z12" s="109">
        <f t="shared" ref="Z12:Z23" si="6">Y12/T12</f>
        <v>3.0631590206704969E-2</v>
      </c>
    </row>
    <row r="13" spans="2:26" x14ac:dyDescent="0.25">
      <c r="B13" t="s">
        <v>22</v>
      </c>
      <c r="C13" s="97">
        <v>31</v>
      </c>
      <c r="D13" s="212">
        <v>222166912.14539161</v>
      </c>
      <c r="E13" s="111">
        <v>122121000.06</v>
      </c>
      <c r="F13" s="106">
        <f t="shared" si="0"/>
        <v>0.54968131339054194</v>
      </c>
      <c r="G13" s="212">
        <v>101406651.59263071</v>
      </c>
      <c r="H13" s="107">
        <f t="shared" si="2"/>
        <v>55741341.433974341</v>
      </c>
      <c r="I13" s="111">
        <v>61660314.5</v>
      </c>
      <c r="J13" s="111">
        <v>4091758.39</v>
      </c>
      <c r="K13" s="105">
        <f>SUM('Sch. 111 Charge'!F11,'Sch. 111 Credit'!F12)</f>
        <v>0</v>
      </c>
      <c r="L13" s="111">
        <v>2915441.2332881331</v>
      </c>
      <c r="M13" s="111">
        <v>270755.75975232403</v>
      </c>
      <c r="N13" s="111">
        <v>2548349.1545228097</v>
      </c>
      <c r="O13" s="111">
        <v>305234.02129381848</v>
      </c>
      <c r="P13" s="111">
        <v>-159208.44300043021</v>
      </c>
      <c r="Q13" s="111">
        <v>4554172.7230250454</v>
      </c>
      <c r="R13" s="111">
        <v>-149067.77784116715</v>
      </c>
      <c r="S13" s="111">
        <v>-1806052.46</v>
      </c>
      <c r="T13" s="108">
        <f t="shared" si="1"/>
        <v>129973038.53501487</v>
      </c>
      <c r="U13" s="105">
        <f>'Sch. 111 Charge'!H11</f>
        <v>25044400.743832007</v>
      </c>
      <c r="V13" s="109">
        <f>U13/T13</f>
        <v>0.19268919943796667</v>
      </c>
      <c r="W13" s="105">
        <f>'Sch. 111 Credit'!H12</f>
        <v>-20695678.260000002</v>
      </c>
      <c r="X13" s="110">
        <f t="shared" si="4"/>
        <v>-0.15923054883743881</v>
      </c>
      <c r="Y13" s="66">
        <f t="shared" si="5"/>
        <v>4348722.4838320054</v>
      </c>
      <c r="Z13" s="109">
        <f t="shared" si="6"/>
        <v>3.3458650600527856E-2</v>
      </c>
    </row>
    <row r="14" spans="2:26" x14ac:dyDescent="0.25">
      <c r="B14" t="s">
        <v>23</v>
      </c>
      <c r="C14" s="97">
        <v>41</v>
      </c>
      <c r="D14" s="212">
        <v>62517991.156948164</v>
      </c>
      <c r="E14" s="111">
        <v>17786398.291046247</v>
      </c>
      <c r="F14" s="106">
        <f t="shared" si="0"/>
        <v>0.28450047677306872</v>
      </c>
      <c r="G14" s="212">
        <v>28452770.755159236</v>
      </c>
      <c r="H14" s="107">
        <f t="shared" si="2"/>
        <v>8094826.8453576295</v>
      </c>
      <c r="I14" s="111">
        <v>16164038.869999999</v>
      </c>
      <c r="J14" s="111">
        <v>1146077.6100000001</v>
      </c>
      <c r="K14" s="105">
        <f>SUM('Sch. 111 Charge'!F12,'Sch. 111 Credit'!F13)</f>
        <v>0</v>
      </c>
      <c r="L14" s="111">
        <v>818017.15921082813</v>
      </c>
      <c r="M14" s="111">
        <v>36704.074274155413</v>
      </c>
      <c r="N14" s="111">
        <v>285665.81838179874</v>
      </c>
      <c r="O14" s="111">
        <v>64587.789614211462</v>
      </c>
      <c r="P14" s="111">
        <v>-21339.578066369428</v>
      </c>
      <c r="Q14" s="111">
        <v>610880.98811326874</v>
      </c>
      <c r="R14" s="111">
        <v>-15933.55162288917</v>
      </c>
      <c r="S14" s="111">
        <v>-924900.26</v>
      </c>
      <c r="T14" s="108">
        <f t="shared" si="1"/>
        <v>26258625.76526263</v>
      </c>
      <c r="U14" s="105">
        <f>'Sch. 111 Charge'!H12</f>
        <v>7026980.7934016762</v>
      </c>
      <c r="V14" s="109">
        <f t="shared" si="3"/>
        <v>0.26760657074056116</v>
      </c>
      <c r="W14" s="105">
        <f>'Sch. 111 Credit'!H13</f>
        <v>-5807055.96</v>
      </c>
      <c r="X14" s="110">
        <f t="shared" si="4"/>
        <v>-0.22114850989963525</v>
      </c>
      <c r="Y14" s="66">
        <f t="shared" si="5"/>
        <v>1219924.8334016763</v>
      </c>
      <c r="Z14" s="109">
        <f t="shared" si="6"/>
        <v>4.6458060840925922E-2</v>
      </c>
    </row>
    <row r="15" spans="2:26" x14ac:dyDescent="0.25">
      <c r="B15" t="s">
        <v>24</v>
      </c>
      <c r="C15" s="97">
        <v>85</v>
      </c>
      <c r="D15" s="212">
        <v>19992939.502740219</v>
      </c>
      <c r="E15" s="111">
        <v>2272313.06</v>
      </c>
      <c r="F15" s="106">
        <f t="shared" si="0"/>
        <v>0.11365577631486147</v>
      </c>
      <c r="G15" s="212">
        <v>3995124.4247881505</v>
      </c>
      <c r="H15" s="107">
        <f t="shared" si="2"/>
        <v>454068.96797376161</v>
      </c>
      <c r="I15" s="111">
        <v>2191185</v>
      </c>
      <c r="J15" s="111">
        <v>160683.9</v>
      </c>
      <c r="K15" s="105">
        <f>SUM('Sch. 111 Charge'!F13,'Sch. 111 Credit'!F14)</f>
        <v>0</v>
      </c>
      <c r="L15" s="111">
        <v>103234.01513652581</v>
      </c>
      <c r="M15" s="111">
        <v>2460.7254223482391</v>
      </c>
      <c r="N15" s="111">
        <v>21134.208207129319</v>
      </c>
      <c r="O15" s="111">
        <v>7351.0289416101969</v>
      </c>
      <c r="P15" s="111">
        <v>-1797.8059911546677</v>
      </c>
      <c r="Q15" s="111">
        <v>51017.738904544683</v>
      </c>
      <c r="R15" s="111">
        <v>-1078.6835946928006</v>
      </c>
      <c r="S15" s="111"/>
      <c r="T15" s="108">
        <f t="shared" si="1"/>
        <v>2988259.0950000728</v>
      </c>
      <c r="U15" s="105">
        <f>'Sch. 111 Charge'!H13</f>
        <v>986675.87918992946</v>
      </c>
      <c r="V15" s="109">
        <f t="shared" si="3"/>
        <v>0.33018418009362921</v>
      </c>
      <c r="W15" s="105">
        <f>'Sch. 111 Credit'!H14</f>
        <v>-815382.85</v>
      </c>
      <c r="X15" s="110">
        <f t="shared" si="4"/>
        <v>-0.27286216625736737</v>
      </c>
      <c r="Y15" s="66">
        <f t="shared" si="5"/>
        <v>171293.02918992948</v>
      </c>
      <c r="Z15" s="109">
        <f t="shared" si="6"/>
        <v>5.7322013836261849E-2</v>
      </c>
    </row>
    <row r="16" spans="2:26" x14ac:dyDescent="0.25">
      <c r="B16" t="s">
        <v>25</v>
      </c>
      <c r="C16" s="97">
        <v>86</v>
      </c>
      <c r="D16" s="212">
        <v>5773170.4876905456</v>
      </c>
      <c r="E16" s="111">
        <v>1192875.52</v>
      </c>
      <c r="F16" s="106">
        <f t="shared" si="0"/>
        <v>0.20662398980654192</v>
      </c>
      <c r="G16" s="212">
        <v>2027748</v>
      </c>
      <c r="H16" s="107">
        <f t="shared" si="2"/>
        <v>418981.38208223577</v>
      </c>
      <c r="I16" s="111">
        <v>1132192.79</v>
      </c>
      <c r="J16" s="111">
        <v>81616.86</v>
      </c>
      <c r="K16" s="105">
        <f>SUM('Sch. 111 Charge'!F14,'Sch. 111 Credit'!F15)</f>
        <v>0</v>
      </c>
      <c r="L16" s="111">
        <v>52397.008319999994</v>
      </c>
      <c r="M16" s="111">
        <v>2271.0777599999997</v>
      </c>
      <c r="N16" s="111">
        <v>13646.74404</v>
      </c>
      <c r="O16" s="111">
        <v>993.59651999999994</v>
      </c>
      <c r="P16" s="111">
        <v>-729.98928000000001</v>
      </c>
      <c r="Q16" s="111">
        <v>21108.856680000001</v>
      </c>
      <c r="R16" s="111">
        <v>-669.15683999999999</v>
      </c>
      <c r="S16" s="111">
        <v>-53908.619999999995</v>
      </c>
      <c r="T16" s="108">
        <f t="shared" si="1"/>
        <v>1667900.5492822356</v>
      </c>
      <c r="U16" s="105">
        <f>'Sch. 111 Charge'!H14</f>
        <v>500792.92355999997</v>
      </c>
      <c r="V16" s="109">
        <f t="shared" si="3"/>
        <v>0.30025346761562688</v>
      </c>
      <c r="W16" s="105">
        <f>'Sch. 111 Credit'!H15</f>
        <v>-413851.21</v>
      </c>
      <c r="X16" s="110">
        <f t="shared" si="4"/>
        <v>-0.2481270302225734</v>
      </c>
      <c r="Y16" s="66">
        <f t="shared" si="5"/>
        <v>86941.713559999946</v>
      </c>
      <c r="Z16" s="109">
        <f t="shared" si="6"/>
        <v>5.2126437393053469E-2</v>
      </c>
    </row>
    <row r="17" spans="2:26" x14ac:dyDescent="0.25">
      <c r="B17" t="s">
        <v>26</v>
      </c>
      <c r="C17" s="97">
        <v>87</v>
      </c>
      <c r="D17" s="212">
        <v>21819455.762355208</v>
      </c>
      <c r="E17" s="111">
        <v>1509849.77</v>
      </c>
      <c r="F17" s="106">
        <f>(E17)/D17</f>
        <v>6.9197407416775353E-2</v>
      </c>
      <c r="G17" s="212">
        <v>529173.38832380553</v>
      </c>
      <c r="H17" s="107">
        <f t="shared" si="2"/>
        <v>36617.426545957846</v>
      </c>
      <c r="I17" s="111">
        <v>289404.93</v>
      </c>
      <c r="J17" s="111">
        <v>21283.35</v>
      </c>
      <c r="K17" s="105">
        <f>SUM('Sch. 111 Charge'!F15,'Sch. 111 Credit'!F16)</f>
        <v>0</v>
      </c>
      <c r="L17" s="111">
        <v>13673.840354287135</v>
      </c>
      <c r="M17" s="111">
        <v>144.57549391508698</v>
      </c>
      <c r="N17" s="111">
        <v>1994.9836739807467</v>
      </c>
      <c r="O17" s="111">
        <v>422.67918332072941</v>
      </c>
      <c r="P17" s="111">
        <v>-109.74803586080992</v>
      </c>
      <c r="Q17" s="111">
        <v>3184.6712047627543</v>
      </c>
      <c r="R17" s="111">
        <v>-74.084274365332774</v>
      </c>
      <c r="S17" s="111"/>
      <c r="T17" s="108">
        <f t="shared" si="1"/>
        <v>366542.6241459981</v>
      </c>
      <c r="U17" s="105">
        <f>'Sch. 111 Charge'!H15</f>
        <v>130689.95171433025</v>
      </c>
      <c r="V17" s="109">
        <f>U17/T17</f>
        <v>0.35654776035617336</v>
      </c>
      <c r="W17" s="105">
        <f>'Sch. 111 Credit'!H16</f>
        <v>-108001.29999999999</v>
      </c>
      <c r="X17" s="110">
        <f t="shared" si="4"/>
        <v>-0.29464867899505692</v>
      </c>
      <c r="Y17" s="66">
        <f t="shared" si="5"/>
        <v>22688.651714330263</v>
      </c>
      <c r="Z17" s="109">
        <f t="shared" si="6"/>
        <v>6.1899081361116451E-2</v>
      </c>
    </row>
    <row r="18" spans="2:26" x14ac:dyDescent="0.25">
      <c r="B18" t="s">
        <v>27</v>
      </c>
      <c r="C18" s="97" t="s">
        <v>28</v>
      </c>
      <c r="D18" s="212">
        <v>36958.529999999992</v>
      </c>
      <c r="E18" s="111">
        <v>23981.98</v>
      </c>
      <c r="F18" s="106">
        <f>(E18)/D18</f>
        <v>0.64888890331947735</v>
      </c>
      <c r="G18" s="212">
        <v>15141</v>
      </c>
      <c r="H18" s="107">
        <f t="shared" si="2"/>
        <v>9824.8268851602061</v>
      </c>
      <c r="I18" s="111"/>
      <c r="J18" s="111"/>
      <c r="K18" s="105">
        <f>SUM('Sch. 111 Charge'!F16,'Sch. 111 Credit'!F17)</f>
        <v>0</v>
      </c>
      <c r="L18" s="111"/>
      <c r="M18" s="111">
        <v>40.426470000000002</v>
      </c>
      <c r="N18" s="111">
        <v>380.49333000000001</v>
      </c>
      <c r="O18" s="111"/>
      <c r="P18" s="111">
        <v>-23.771370000000001</v>
      </c>
      <c r="Q18" s="111">
        <v>679.98230999999998</v>
      </c>
      <c r="R18" s="111">
        <v>-22.257269999999998</v>
      </c>
      <c r="S18" s="111">
        <v>-261.18</v>
      </c>
      <c r="T18" s="108">
        <f t="shared" si="1"/>
        <v>10618.520355160204</v>
      </c>
      <c r="U18" s="105">
        <f>'Sch. 111 Charge'!H16</f>
        <v>3739.3727699999999</v>
      </c>
      <c r="V18" s="109">
        <f t="shared" si="3"/>
        <v>0.35215572838100784</v>
      </c>
      <c r="W18" s="105">
        <f>'Sch. 111 Credit'!H17</f>
        <v>-3090.2</v>
      </c>
      <c r="X18" s="110">
        <f t="shared" si="4"/>
        <v>-0.29101983107262941</v>
      </c>
      <c r="Y18" s="66">
        <f t="shared" si="5"/>
        <v>649.17277000000013</v>
      </c>
      <c r="Z18" s="109">
        <f t="shared" si="6"/>
        <v>6.1135897308378415E-2</v>
      </c>
    </row>
    <row r="19" spans="2:26" x14ac:dyDescent="0.25">
      <c r="B19" t="s">
        <v>29</v>
      </c>
      <c r="C19" s="97" t="s">
        <v>30</v>
      </c>
      <c r="D19" s="212">
        <v>19494505.608019032</v>
      </c>
      <c r="E19" s="111">
        <v>4475398.7622919884</v>
      </c>
      <c r="F19" s="106">
        <f t="shared" ref="F19:F24" si="7">(E19)/D19</f>
        <v>0.22957231397810063</v>
      </c>
      <c r="G19" s="212">
        <v>9596298</v>
      </c>
      <c r="H19" s="107">
        <f>F19*G19</f>
        <v>2203044.3374834191</v>
      </c>
      <c r="I19" s="111"/>
      <c r="J19" s="111"/>
      <c r="K19" s="105">
        <f>SUM('Sch. 111 Charge'!F17,'Sch. 111 Credit'!F18)</f>
        <v>0</v>
      </c>
      <c r="L19" s="111"/>
      <c r="M19" s="111">
        <v>12379.224419999999</v>
      </c>
      <c r="N19" s="111">
        <v>96346.831919999997</v>
      </c>
      <c r="O19" s="111"/>
      <c r="P19" s="111">
        <v>-7197.2235000000001</v>
      </c>
      <c r="Q19" s="111">
        <v>206032.51806</v>
      </c>
      <c r="R19" s="111">
        <v>-5373.92688</v>
      </c>
      <c r="S19" s="111">
        <v>-284094.84999999998</v>
      </c>
      <c r="T19" s="108">
        <f t="shared" si="1"/>
        <v>2221136.9115034188</v>
      </c>
      <c r="U19" s="105">
        <f>'Sch. 111 Charge'!H17</f>
        <v>2369997.7170600002</v>
      </c>
      <c r="V19" s="109">
        <f t="shared" si="3"/>
        <v>1.0670200944325499</v>
      </c>
      <c r="W19" s="105">
        <f>'Sch. 111 Credit'!H18</f>
        <v>-1958553</v>
      </c>
      <c r="X19" s="110">
        <f t="shared" si="4"/>
        <v>-0.88177950213537992</v>
      </c>
      <c r="Y19" s="66">
        <f t="shared" si="5"/>
        <v>411444.71706000017</v>
      </c>
      <c r="Z19" s="109">
        <f t="shared" si="6"/>
        <v>0.18524059229716999</v>
      </c>
    </row>
    <row r="20" spans="2:26" x14ac:dyDescent="0.25">
      <c r="B20" t="s">
        <v>31</v>
      </c>
      <c r="C20" s="97" t="s">
        <v>32</v>
      </c>
      <c r="D20" s="212">
        <v>68886791.019958794</v>
      </c>
      <c r="E20" s="111">
        <v>7339677.3100000005</v>
      </c>
      <c r="F20" s="106">
        <f t="shared" si="7"/>
        <v>0.1065469475544804</v>
      </c>
      <c r="G20" s="212">
        <v>28109638.626885779</v>
      </c>
      <c r="H20" s="107">
        <f t="shared" si="2"/>
        <v>2994996.1925541954</v>
      </c>
      <c r="I20" s="111"/>
      <c r="J20" s="111"/>
      <c r="K20" s="105">
        <f>SUM('Sch. 111 Charge'!F18,'Sch. 111 Credit'!F19)</f>
        <v>0</v>
      </c>
      <c r="L20" s="111"/>
      <c r="M20" s="111">
        <v>16555.624355983458</v>
      </c>
      <c r="N20" s="111">
        <v>148699.9883362258</v>
      </c>
      <c r="O20" s="111"/>
      <c r="P20" s="111">
        <v>-12649.3373820986</v>
      </c>
      <c r="Q20" s="111">
        <v>358960.08526533138</v>
      </c>
      <c r="R20" s="111">
        <v>-7589.6024292591601</v>
      </c>
      <c r="S20" s="111"/>
      <c r="T20" s="108">
        <f t="shared" si="1"/>
        <v>3498972.9507003785</v>
      </c>
      <c r="U20" s="105">
        <f>'Sch. 111 Charge'!H18</f>
        <v>6942237.4516819809</v>
      </c>
      <c r="V20" s="109">
        <f t="shared" si="3"/>
        <v>1.984078628070667</v>
      </c>
      <c r="W20" s="105">
        <f>'Sch. 111 Credit'!H19</f>
        <v>-5737019.2000000002</v>
      </c>
      <c r="X20" s="110">
        <f t="shared" si="4"/>
        <v>-1.6396294800883324</v>
      </c>
      <c r="Y20" s="66">
        <f t="shared" si="5"/>
        <v>1205218.2516819807</v>
      </c>
      <c r="Z20" s="109">
        <f t="shared" si="6"/>
        <v>0.34444914798233461</v>
      </c>
    </row>
    <row r="21" spans="2:26" x14ac:dyDescent="0.25">
      <c r="B21" t="s">
        <v>33</v>
      </c>
      <c r="C21" s="97" t="s">
        <v>34</v>
      </c>
      <c r="D21" s="212">
        <v>1718484.3400000003</v>
      </c>
      <c r="E21" s="111">
        <v>367155.5</v>
      </c>
      <c r="F21" s="106">
        <f t="shared" si="7"/>
        <v>0.21365076856039314</v>
      </c>
      <c r="G21" s="212">
        <v>551738</v>
      </c>
      <c r="H21" s="107">
        <f t="shared" si="2"/>
        <v>117879.24774397419</v>
      </c>
      <c r="I21" s="111"/>
      <c r="J21" s="111"/>
      <c r="K21" s="105">
        <f>SUM('Sch. 111 Charge'!F19,'Sch. 111 Credit'!F20)</f>
        <v>0</v>
      </c>
      <c r="L21" s="111"/>
      <c r="M21" s="111">
        <v>617.94655999999998</v>
      </c>
      <c r="N21" s="111">
        <v>3713.1967399999999</v>
      </c>
      <c r="O21" s="111"/>
      <c r="P21" s="111">
        <v>-198.62568000000002</v>
      </c>
      <c r="Q21" s="111">
        <v>5743.5925800000005</v>
      </c>
      <c r="R21" s="111">
        <v>-182.07354000000001</v>
      </c>
      <c r="S21" s="111">
        <v>-14082.51</v>
      </c>
      <c r="T21" s="108">
        <f t="shared" si="1"/>
        <v>113490.7744039742</v>
      </c>
      <c r="U21" s="105">
        <f>'Sch. 111 Charge'!H19</f>
        <v>136262.73386000001</v>
      </c>
      <c r="V21" s="109">
        <f t="shared" si="3"/>
        <v>1.200650313434009</v>
      </c>
      <c r="W21" s="105">
        <f>'Sch. 111 Credit'!H20</f>
        <v>-112606.5</v>
      </c>
      <c r="X21" s="110">
        <f t="shared" si="4"/>
        <v>-0.99220840276561517</v>
      </c>
      <c r="Y21" s="66">
        <f t="shared" si="5"/>
        <v>23656.233860000008</v>
      </c>
      <c r="Z21" s="109">
        <f t="shared" si="6"/>
        <v>0.20844191066839365</v>
      </c>
    </row>
    <row r="22" spans="2:26" x14ac:dyDescent="0.25">
      <c r="B22" t="s">
        <v>35</v>
      </c>
      <c r="C22" s="97" t="s">
        <v>36</v>
      </c>
      <c r="D22" s="212">
        <v>97500425.645479575</v>
      </c>
      <c r="E22" s="111">
        <v>4790056.76</v>
      </c>
      <c r="F22" s="106">
        <f>(E22)/D22</f>
        <v>4.9128572806616068E-2</v>
      </c>
      <c r="G22" s="212">
        <v>5755133.3500792636</v>
      </c>
      <c r="H22" s="107">
        <f t="shared" si="2"/>
        <v>282741.48780115333</v>
      </c>
      <c r="I22" s="111"/>
      <c r="J22" s="111"/>
      <c r="K22" s="105">
        <f>SUM('Sch. 111 Charge'!F20,'Sch. 111 Credit'!F21)</f>
        <v>0</v>
      </c>
      <c r="L22" s="111"/>
      <c r="M22" s="111">
        <v>1276.7661666271069</v>
      </c>
      <c r="N22" s="111">
        <v>21696.852729798822</v>
      </c>
      <c r="O22" s="111"/>
      <c r="P22" s="111">
        <v>-859.95171958108006</v>
      </c>
      <c r="Q22" s="111">
        <v>24923.019209399754</v>
      </c>
      <c r="R22" s="111">
        <v>-805.71866901109684</v>
      </c>
      <c r="S22" s="111"/>
      <c r="T22" s="108">
        <f t="shared" si="1"/>
        <v>328972.45551838685</v>
      </c>
      <c r="U22" s="105">
        <f>'Sch. 111 Charge'!H20</f>
        <v>1421345.2834690758</v>
      </c>
      <c r="V22" s="109">
        <f t="shared" si="3"/>
        <v>4.3205601551940092</v>
      </c>
      <c r="W22" s="105">
        <f>'Sch. 111 Credit'!H21</f>
        <v>-1174590.45</v>
      </c>
      <c r="X22" s="110">
        <f t="shared" si="4"/>
        <v>-3.5704826659396414</v>
      </c>
      <c r="Y22" s="66">
        <f t="shared" si="5"/>
        <v>246754.83346907585</v>
      </c>
      <c r="Z22" s="109">
        <f t="shared" si="6"/>
        <v>0.7500774892543679</v>
      </c>
    </row>
    <row r="23" spans="2:26" x14ac:dyDescent="0.25">
      <c r="B23" t="s">
        <v>37</v>
      </c>
      <c r="D23" s="212">
        <v>32154478.538398605</v>
      </c>
      <c r="E23" s="111">
        <v>1699064.4523564125</v>
      </c>
      <c r="F23" s="112">
        <f t="shared" si="7"/>
        <v>5.2840678175744761E-2</v>
      </c>
      <c r="G23" s="212">
        <v>6716152.4196225004</v>
      </c>
      <c r="H23" s="107">
        <f t="shared" si="2"/>
        <v>354886.04858452204</v>
      </c>
      <c r="I23" s="111"/>
      <c r="J23" s="111"/>
      <c r="K23" s="105">
        <f>SUM('Sch. 111 Charge'!F21,'Sch. 111 Credit'!F22)</f>
        <v>0</v>
      </c>
      <c r="L23" s="111"/>
      <c r="M23" s="111"/>
      <c r="N23" s="111">
        <v>6313.1832744451503</v>
      </c>
      <c r="O23" s="111"/>
      <c r="P23" s="111">
        <v>0</v>
      </c>
      <c r="Q23" s="111">
        <v>0</v>
      </c>
      <c r="R23" s="111">
        <v>-470.13066937357496</v>
      </c>
      <c r="S23" s="111"/>
      <c r="T23" s="108">
        <f t="shared" si="1"/>
        <v>360729.10118959361</v>
      </c>
      <c r="U23" s="105">
        <f>'Sch. 111 Charge'!H21</f>
        <v>1658688.1630741688</v>
      </c>
      <c r="V23" s="109">
        <f t="shared" si="3"/>
        <v>4.5981545641985457</v>
      </c>
      <c r="W23" s="105">
        <f>'Sch. 111 Credit'!H22</f>
        <v>-1370729.2000000002</v>
      </c>
      <c r="X23" s="110">
        <f t="shared" si="4"/>
        <v>-3.7998852753484011</v>
      </c>
      <c r="Y23" s="66">
        <f t="shared" si="5"/>
        <v>287958.96307416866</v>
      </c>
      <c r="Z23" s="109">
        <f t="shared" si="6"/>
        <v>0.79826928885014437</v>
      </c>
    </row>
    <row r="24" spans="2:26" x14ac:dyDescent="0.25">
      <c r="B24" t="s">
        <v>2</v>
      </c>
      <c r="D24" s="113">
        <f>SUM(D11:D23)</f>
        <v>1172906987.060853</v>
      </c>
      <c r="E24" s="114">
        <f>SUM(E11:E23)</f>
        <v>567196461.71043551</v>
      </c>
      <c r="F24" s="106">
        <f t="shared" si="7"/>
        <v>0.48358179119706113</v>
      </c>
      <c r="G24" s="113">
        <f>SUM(G11:G23)</f>
        <v>424188687.55748945</v>
      </c>
      <c r="H24" s="114">
        <f>SUM(H11:H23)</f>
        <v>224807279.79228598</v>
      </c>
      <c r="I24" s="114">
        <f t="shared" ref="I24:L24" si="8">SUM(I11:I23)</f>
        <v>245034805.84</v>
      </c>
      <c r="J24" s="114">
        <f t="shared" si="8"/>
        <v>15068076.749999998</v>
      </c>
      <c r="K24" s="114">
        <f t="shared" si="8"/>
        <v>0</v>
      </c>
      <c r="L24" s="114">
        <f t="shared" si="8"/>
        <v>10717465.398809774</v>
      </c>
      <c r="M24" s="114">
        <f>SUM(M11:M23)</f>
        <v>1092221.5473553534</v>
      </c>
      <c r="N24" s="114">
        <f>SUM(N11:N23)</f>
        <v>8564148.2014561873</v>
      </c>
      <c r="O24" s="114">
        <f>SUM(O11:O23)</f>
        <v>1151317.0802329609</v>
      </c>
      <c r="P24" s="114">
        <f t="shared" ref="P24:Q24" si="9">SUM(P11:P23)</f>
        <v>-607070.77462549461</v>
      </c>
      <c r="Q24" s="114">
        <f t="shared" si="9"/>
        <v>17368365.366052356</v>
      </c>
      <c r="R24" s="114">
        <f>SUM(R11:R23)</f>
        <v>-506002.33529075823</v>
      </c>
      <c r="S24" s="114">
        <f t="shared" ref="S24:T24" si="10">SUM(S11:S23)</f>
        <v>-1983479.8799999997</v>
      </c>
      <c r="T24" s="115">
        <f t="shared" si="10"/>
        <v>520707126.98627639</v>
      </c>
      <c r="U24" s="114">
        <f>SUM(U11:U23)</f>
        <v>104761880.16607316</v>
      </c>
      <c r="V24" s="116">
        <f>U24/T24</f>
        <v>0.20119156189086351</v>
      </c>
      <c r="W24" s="114">
        <f>SUM(W11:W23)</f>
        <v>-87938661.378530174</v>
      </c>
      <c r="X24" s="116">
        <f>W24/T24</f>
        <v>-0.16888315296834389</v>
      </c>
      <c r="Y24" s="114">
        <f>SUM(Y11:Y23)</f>
        <v>16823218.78754298</v>
      </c>
      <c r="Z24" s="116">
        <f>Y24/T24</f>
        <v>3.2308408922519641E-2</v>
      </c>
    </row>
    <row r="25" spans="2:26" x14ac:dyDescent="0.25">
      <c r="D25" s="117"/>
      <c r="E25" s="107"/>
      <c r="G25" s="117"/>
      <c r="M25" s="107"/>
      <c r="R25" s="107"/>
      <c r="S25" s="107"/>
      <c r="T25" s="107"/>
      <c r="V25" s="118"/>
      <c r="X25" s="118"/>
      <c r="Z25" s="118"/>
    </row>
    <row r="26" spans="2:26" s="123" customFormat="1" x14ac:dyDescent="0.25">
      <c r="B26" s="119" t="s">
        <v>135</v>
      </c>
      <c r="C26" s="120"/>
      <c r="D26" s="121"/>
      <c r="E26" s="122"/>
      <c r="U26" s="124"/>
      <c r="V26" s="125"/>
      <c r="W26" s="124"/>
      <c r="X26" s="125"/>
      <c r="Y26" s="124"/>
      <c r="Z26" s="125"/>
    </row>
    <row r="27" spans="2:26" s="123" customFormat="1" x14ac:dyDescent="0.25">
      <c r="B27" s="126" t="s">
        <v>20</v>
      </c>
      <c r="C27" s="127" t="s">
        <v>248</v>
      </c>
      <c r="D27" s="128">
        <f>D11+D12</f>
        <v>620844874.32387137</v>
      </c>
      <c r="E27" s="129">
        <f>E11+E12</f>
        <v>403618690.2447409</v>
      </c>
      <c r="F27" s="106">
        <f t="shared" ref="F27:F34" si="11">(E27)/D27</f>
        <v>0.65011197955737365</v>
      </c>
      <c r="G27" s="128">
        <f>G11+G12</f>
        <v>237033118</v>
      </c>
      <c r="H27" s="129">
        <f>H11+H12</f>
        <v>154098071.59529963</v>
      </c>
      <c r="I27" s="129">
        <f t="shared" ref="I27:S27" si="12">I11+I12</f>
        <v>163597669.75</v>
      </c>
      <c r="J27" s="129">
        <f t="shared" si="12"/>
        <v>9566656.6399999987</v>
      </c>
      <c r="K27" s="129">
        <f t="shared" si="12"/>
        <v>0</v>
      </c>
      <c r="L27" s="129">
        <f t="shared" si="12"/>
        <v>6814702.1425000001</v>
      </c>
      <c r="M27" s="129">
        <f t="shared" si="12"/>
        <v>749015.34667999996</v>
      </c>
      <c r="N27" s="129">
        <f t="shared" si="12"/>
        <v>5416206.7462999998</v>
      </c>
      <c r="O27" s="129">
        <f t="shared" si="12"/>
        <v>772727.96467999998</v>
      </c>
      <c r="P27" s="129">
        <f t="shared" si="12"/>
        <v>-402956.30060000002</v>
      </c>
      <c r="Q27" s="129">
        <f t="shared" si="12"/>
        <v>11531661.1907</v>
      </c>
      <c r="R27" s="129">
        <f t="shared" si="12"/>
        <v>-324735.37165999995</v>
      </c>
      <c r="S27" s="129">
        <f t="shared" si="12"/>
        <v>1099820</v>
      </c>
      <c r="T27" s="129">
        <f>T11+T12</f>
        <v>352918839.70389962</v>
      </c>
      <c r="U27" s="107">
        <f>SUM(U11:U12)</f>
        <v>58540069.152460001</v>
      </c>
      <c r="V27" s="109">
        <f t="shared" ref="V27:V34" si="13">U27/T27</f>
        <v>0.16587402701872012</v>
      </c>
      <c r="W27" s="107">
        <f>SUM(W11:W12)</f>
        <v>-49742103.248530187</v>
      </c>
      <c r="X27" s="109">
        <f>W27/T27</f>
        <v>-0.14094487925400645</v>
      </c>
      <c r="Y27" s="107">
        <f>SUM(Y11:Y12)</f>
        <v>8797965.9039298128</v>
      </c>
      <c r="Z27" s="109">
        <f>Y27/T27</f>
        <v>2.4929147764713673E-2</v>
      </c>
    </row>
    <row r="28" spans="2:26" s="123" customFormat="1" x14ac:dyDescent="0.25">
      <c r="B28" s="130" t="s">
        <v>136</v>
      </c>
      <c r="C28" s="127" t="s">
        <v>137</v>
      </c>
      <c r="D28" s="128">
        <f>D13+D18</f>
        <v>222203870.67539161</v>
      </c>
      <c r="E28" s="129">
        <f>E13+E18</f>
        <v>122144982.04000001</v>
      </c>
      <c r="F28" s="106">
        <f t="shared" si="11"/>
        <v>0.54969781430331843</v>
      </c>
      <c r="G28" s="128">
        <f t="shared" ref="G28:S32" si="14">G13+G18</f>
        <v>101421792.59263071</v>
      </c>
      <c r="H28" s="129">
        <f t="shared" si="14"/>
        <v>55751166.260859504</v>
      </c>
      <c r="I28" s="129">
        <f t="shared" si="14"/>
        <v>61660314.5</v>
      </c>
      <c r="J28" s="129">
        <f t="shared" si="14"/>
        <v>4091758.39</v>
      </c>
      <c r="K28" s="129">
        <f t="shared" si="14"/>
        <v>0</v>
      </c>
      <c r="L28" s="129">
        <f t="shared" si="14"/>
        <v>2915441.2332881331</v>
      </c>
      <c r="M28" s="129">
        <f t="shared" si="14"/>
        <v>270796.18622232403</v>
      </c>
      <c r="N28" s="129">
        <f t="shared" si="14"/>
        <v>2548729.6478528096</v>
      </c>
      <c r="O28" s="129">
        <f t="shared" si="14"/>
        <v>305234.02129381848</v>
      </c>
      <c r="P28" s="129">
        <f t="shared" si="14"/>
        <v>-159232.21437043021</v>
      </c>
      <c r="Q28" s="129">
        <f t="shared" si="14"/>
        <v>4554852.7053350452</v>
      </c>
      <c r="R28" s="129">
        <f t="shared" si="14"/>
        <v>-149090.03511116715</v>
      </c>
      <c r="S28" s="129">
        <f t="shared" si="14"/>
        <v>-1806313.64</v>
      </c>
      <c r="T28" s="129">
        <f>T13+T18</f>
        <v>129983657.05537003</v>
      </c>
      <c r="U28" s="107">
        <f>SUM(U13,U18)</f>
        <v>25048140.116602007</v>
      </c>
      <c r="V28" s="109">
        <f t="shared" si="13"/>
        <v>0.19270222644937646</v>
      </c>
      <c r="W28" s="107">
        <f>SUM(W13,W18)</f>
        <v>-20698768.460000001</v>
      </c>
      <c r="X28" s="109">
        <f t="shared" ref="X28:X33" si="15">W28/T28</f>
        <v>-0.15924131486147372</v>
      </c>
      <c r="Y28" s="107">
        <f>SUM(Y13,Y18)</f>
        <v>4349371.6566020055</v>
      </c>
      <c r="Z28" s="109">
        <f t="shared" ref="Z28:Z33" si="16">Y28/T28</f>
        <v>3.3460911587902729E-2</v>
      </c>
    </row>
    <row r="29" spans="2:26" s="123" customFormat="1" x14ac:dyDescent="0.25">
      <c r="B29" s="126" t="s">
        <v>138</v>
      </c>
      <c r="C29" s="127" t="s">
        <v>139</v>
      </c>
      <c r="D29" s="128">
        <f t="shared" ref="D29:E32" si="17">D14+D19</f>
        <v>82012496.764967203</v>
      </c>
      <c r="E29" s="129">
        <f t="shared" si="17"/>
        <v>22261797.053338237</v>
      </c>
      <c r="F29" s="106">
        <f t="shared" si="11"/>
        <v>0.27144396197492282</v>
      </c>
      <c r="G29" s="128">
        <f t="shared" si="14"/>
        <v>38049068.755159236</v>
      </c>
      <c r="H29" s="129">
        <f t="shared" si="14"/>
        <v>10297871.182841048</v>
      </c>
      <c r="I29" s="129">
        <f t="shared" si="14"/>
        <v>16164038.869999999</v>
      </c>
      <c r="J29" s="129">
        <f t="shared" si="14"/>
        <v>1146077.6100000001</v>
      </c>
      <c r="K29" s="129">
        <f t="shared" si="14"/>
        <v>0</v>
      </c>
      <c r="L29" s="129">
        <f t="shared" si="14"/>
        <v>818017.15921082813</v>
      </c>
      <c r="M29" s="129">
        <f t="shared" si="14"/>
        <v>49083.298694155412</v>
      </c>
      <c r="N29" s="129">
        <f t="shared" si="14"/>
        <v>382012.65030179871</v>
      </c>
      <c r="O29" s="129">
        <f t="shared" si="14"/>
        <v>64587.789614211462</v>
      </c>
      <c r="P29" s="129">
        <f t="shared" si="14"/>
        <v>-28536.801566369428</v>
      </c>
      <c r="Q29" s="129">
        <f t="shared" si="14"/>
        <v>816913.50617326878</v>
      </c>
      <c r="R29" s="129">
        <f t="shared" si="14"/>
        <v>-21307.478502889171</v>
      </c>
      <c r="S29" s="129">
        <f t="shared" si="14"/>
        <v>-1208995.1099999999</v>
      </c>
      <c r="T29" s="129">
        <f>T14+T19</f>
        <v>28479762.676766049</v>
      </c>
      <c r="U29" s="107">
        <f>SUM(U14,U19)</f>
        <v>9396978.5104616769</v>
      </c>
      <c r="V29" s="109">
        <f t="shared" si="13"/>
        <v>0.32995283763820776</v>
      </c>
      <c r="W29" s="107">
        <f>SUM(W14,W19)</f>
        <v>-7765608.96</v>
      </c>
      <c r="X29" s="109">
        <f t="shared" si="15"/>
        <v>-0.27267112609527561</v>
      </c>
      <c r="Y29" s="107">
        <f>SUM(Y14,Y19)</f>
        <v>1631369.5504616764</v>
      </c>
      <c r="Z29" s="109">
        <f t="shared" si="16"/>
        <v>5.7281711542932094E-2</v>
      </c>
    </row>
    <row r="30" spans="2:26" s="123" customFormat="1" x14ac:dyDescent="0.25">
      <c r="B30" s="126" t="s">
        <v>24</v>
      </c>
      <c r="C30" s="127" t="s">
        <v>140</v>
      </c>
      <c r="D30" s="128">
        <f t="shared" si="17"/>
        <v>88879730.522699013</v>
      </c>
      <c r="E30" s="129">
        <f t="shared" si="17"/>
        <v>9611990.370000001</v>
      </c>
      <c r="F30" s="106">
        <f t="shared" si="11"/>
        <v>0.10814603412355298</v>
      </c>
      <c r="G30" s="128">
        <f t="shared" si="14"/>
        <v>32104763.05167393</v>
      </c>
      <c r="H30" s="129">
        <f t="shared" si="14"/>
        <v>3449065.1605279571</v>
      </c>
      <c r="I30" s="129">
        <f t="shared" si="14"/>
        <v>2191185</v>
      </c>
      <c r="J30" s="129">
        <f t="shared" si="14"/>
        <v>160683.9</v>
      </c>
      <c r="K30" s="129">
        <f t="shared" si="14"/>
        <v>0</v>
      </c>
      <c r="L30" s="129">
        <f t="shared" si="14"/>
        <v>103234.01513652581</v>
      </c>
      <c r="M30" s="129">
        <f t="shared" si="14"/>
        <v>19016.349778331696</v>
      </c>
      <c r="N30" s="129">
        <f t="shared" si="14"/>
        <v>169834.19654335512</v>
      </c>
      <c r="O30" s="129">
        <f t="shared" si="14"/>
        <v>7351.0289416101969</v>
      </c>
      <c r="P30" s="129">
        <f t="shared" si="14"/>
        <v>-14447.143373253268</v>
      </c>
      <c r="Q30" s="129">
        <f t="shared" si="14"/>
        <v>409977.82416987605</v>
      </c>
      <c r="R30" s="129">
        <f t="shared" si="14"/>
        <v>-8668.2860239519614</v>
      </c>
      <c r="S30" s="129">
        <f t="shared" si="14"/>
        <v>0</v>
      </c>
      <c r="T30" s="129">
        <f>T15+T20</f>
        <v>6487232.0457004514</v>
      </c>
      <c r="U30" s="107">
        <f>SUM(U15,U20)</f>
        <v>7928913.3308719099</v>
      </c>
      <c r="V30" s="109">
        <f t="shared" si="13"/>
        <v>1.222233654510164</v>
      </c>
      <c r="W30" s="107">
        <f>SUM(W15,W20)</f>
        <v>-6552402.0499999998</v>
      </c>
      <c r="X30" s="109">
        <f t="shared" si="15"/>
        <v>-1.0100458876513816</v>
      </c>
      <c r="Y30" s="107">
        <f>SUM(Y15,Y20)</f>
        <v>1376511.28087191</v>
      </c>
      <c r="Z30" s="109">
        <f t="shared" si="16"/>
        <v>0.21218776685878249</v>
      </c>
    </row>
    <row r="31" spans="2:26" s="123" customFormat="1" x14ac:dyDescent="0.25">
      <c r="B31" s="126" t="s">
        <v>141</v>
      </c>
      <c r="C31" s="127" t="s">
        <v>142</v>
      </c>
      <c r="D31" s="128">
        <f t="shared" si="17"/>
        <v>7491654.8276905455</v>
      </c>
      <c r="E31" s="129">
        <f t="shared" si="17"/>
        <v>1560031.02</v>
      </c>
      <c r="F31" s="106">
        <f t="shared" si="11"/>
        <v>0.20823583785972574</v>
      </c>
      <c r="G31" s="128">
        <f t="shared" si="14"/>
        <v>2579486</v>
      </c>
      <c r="H31" s="129">
        <f t="shared" si="14"/>
        <v>536860.62982620997</v>
      </c>
      <c r="I31" s="129">
        <f t="shared" si="14"/>
        <v>1132192.79</v>
      </c>
      <c r="J31" s="129">
        <f t="shared" si="14"/>
        <v>81616.86</v>
      </c>
      <c r="K31" s="129">
        <f t="shared" si="14"/>
        <v>0</v>
      </c>
      <c r="L31" s="129">
        <f t="shared" si="14"/>
        <v>52397.008319999994</v>
      </c>
      <c r="M31" s="129">
        <f t="shared" si="14"/>
        <v>2889.0243199999995</v>
      </c>
      <c r="N31" s="129">
        <f t="shared" si="14"/>
        <v>17359.940780000001</v>
      </c>
      <c r="O31" s="129">
        <f t="shared" si="14"/>
        <v>993.59651999999994</v>
      </c>
      <c r="P31" s="129">
        <f t="shared" si="14"/>
        <v>-928.61496</v>
      </c>
      <c r="Q31" s="129">
        <f t="shared" si="14"/>
        <v>26852.449260000001</v>
      </c>
      <c r="R31" s="129">
        <f t="shared" si="14"/>
        <v>-851.23037999999997</v>
      </c>
      <c r="S31" s="129">
        <f t="shared" si="14"/>
        <v>-67991.12999999999</v>
      </c>
      <c r="T31" s="129">
        <f>T16+T21</f>
        <v>1781391.3236862097</v>
      </c>
      <c r="U31" s="107">
        <f>SUM(U16,U21)</f>
        <v>637055.65741999994</v>
      </c>
      <c r="V31" s="109">
        <f t="shared" si="13"/>
        <v>0.35761690817138875</v>
      </c>
      <c r="W31" s="107">
        <f>SUM(W16,W21)</f>
        <v>-526457.71</v>
      </c>
      <c r="X31" s="109">
        <f t="shared" si="15"/>
        <v>-0.29553175823861538</v>
      </c>
      <c r="Y31" s="107">
        <f>SUM(Y16,Y21)</f>
        <v>110597.94741999995</v>
      </c>
      <c r="Z31" s="109">
        <f t="shared" si="16"/>
        <v>6.2085149932773372E-2</v>
      </c>
    </row>
    <row r="32" spans="2:26" s="123" customFormat="1" x14ac:dyDescent="0.25">
      <c r="B32" s="131" t="s">
        <v>143</v>
      </c>
      <c r="C32" s="127" t="s">
        <v>144</v>
      </c>
      <c r="D32" s="128">
        <f t="shared" si="17"/>
        <v>119319881.40783478</v>
      </c>
      <c r="E32" s="129">
        <f t="shared" si="17"/>
        <v>6299906.5299999993</v>
      </c>
      <c r="F32" s="106">
        <f t="shared" si="11"/>
        <v>5.2798464561550719E-2</v>
      </c>
      <c r="G32" s="128">
        <f t="shared" si="14"/>
        <v>6284306.7384030689</v>
      </c>
      <c r="H32" s="129">
        <f t="shared" si="14"/>
        <v>319358.91434711119</v>
      </c>
      <c r="I32" s="129">
        <f t="shared" si="14"/>
        <v>289404.93</v>
      </c>
      <c r="J32" s="129">
        <f t="shared" si="14"/>
        <v>21283.35</v>
      </c>
      <c r="K32" s="129">
        <f t="shared" si="14"/>
        <v>0</v>
      </c>
      <c r="L32" s="129">
        <f t="shared" si="14"/>
        <v>13673.840354287135</v>
      </c>
      <c r="M32" s="129">
        <f t="shared" si="14"/>
        <v>1421.3416605421939</v>
      </c>
      <c r="N32" s="129">
        <f t="shared" si="14"/>
        <v>23691.836403779569</v>
      </c>
      <c r="O32" s="129">
        <f t="shared" si="14"/>
        <v>422.67918332072941</v>
      </c>
      <c r="P32" s="129">
        <f t="shared" si="14"/>
        <v>-969.69975544188992</v>
      </c>
      <c r="Q32" s="129">
        <f t="shared" si="14"/>
        <v>28107.690414162509</v>
      </c>
      <c r="R32" s="129">
        <f t="shared" si="14"/>
        <v>-879.80294337642965</v>
      </c>
      <c r="S32" s="129">
        <f t="shared" si="14"/>
        <v>0</v>
      </c>
      <c r="T32" s="129">
        <f>T17+T22</f>
        <v>695515.07966438495</v>
      </c>
      <c r="U32" s="107">
        <f>SUM(U17,U22)</f>
        <v>1552035.2351834062</v>
      </c>
      <c r="V32" s="109">
        <f t="shared" si="13"/>
        <v>2.2314904170479353</v>
      </c>
      <c r="W32" s="107">
        <f>SUM(W17,W22)</f>
        <v>-1282591.75</v>
      </c>
      <c r="X32" s="109">
        <f t="shared" si="15"/>
        <v>-1.8440890607561005</v>
      </c>
      <c r="Y32" s="107">
        <f>SUM(Y17,Y22)</f>
        <v>269443.4851834061</v>
      </c>
      <c r="Z32" s="109">
        <f t="shared" si="16"/>
        <v>0.38740135629183459</v>
      </c>
    </row>
    <row r="33" spans="2:26" s="123" customFormat="1" x14ac:dyDescent="0.25">
      <c r="B33" s="131" t="s">
        <v>37</v>
      </c>
      <c r="C33" s="126"/>
      <c r="D33" s="128">
        <f>D23</f>
        <v>32154478.538398605</v>
      </c>
      <c r="E33" s="129">
        <f>E23</f>
        <v>1699064.4523564125</v>
      </c>
      <c r="F33" s="106">
        <f t="shared" si="11"/>
        <v>5.2840678175744761E-2</v>
      </c>
      <c r="G33" s="128">
        <f>G23</f>
        <v>6716152.4196225004</v>
      </c>
      <c r="H33" s="129">
        <f>H23</f>
        <v>354886.04858452204</v>
      </c>
      <c r="I33" s="129">
        <f t="shared" ref="I33:S33" si="18">I23</f>
        <v>0</v>
      </c>
      <c r="J33" s="129">
        <f t="shared" si="18"/>
        <v>0</v>
      </c>
      <c r="K33" s="129">
        <f t="shared" si="18"/>
        <v>0</v>
      </c>
      <c r="L33" s="129">
        <f t="shared" si="18"/>
        <v>0</v>
      </c>
      <c r="M33" s="129">
        <f t="shared" si="18"/>
        <v>0</v>
      </c>
      <c r="N33" s="129">
        <f t="shared" si="18"/>
        <v>6313.1832744451503</v>
      </c>
      <c r="O33" s="129">
        <f t="shared" si="18"/>
        <v>0</v>
      </c>
      <c r="P33" s="129">
        <f t="shared" si="18"/>
        <v>0</v>
      </c>
      <c r="Q33" s="129">
        <f t="shared" si="18"/>
        <v>0</v>
      </c>
      <c r="R33" s="129">
        <f t="shared" si="18"/>
        <v>-470.13066937357496</v>
      </c>
      <c r="S33" s="129">
        <f t="shared" si="18"/>
        <v>0</v>
      </c>
      <c r="T33" s="129">
        <f>T23</f>
        <v>360729.10118959361</v>
      </c>
      <c r="U33" s="107">
        <f>U23</f>
        <v>1658688.1630741688</v>
      </c>
      <c r="V33" s="109">
        <f t="shared" si="13"/>
        <v>4.5981545641985457</v>
      </c>
      <c r="W33" s="107">
        <f>W23</f>
        <v>-1370729.2000000002</v>
      </c>
      <c r="X33" s="109">
        <f t="shared" si="15"/>
        <v>-3.7998852753484011</v>
      </c>
      <c r="Y33" s="107">
        <f>Y23</f>
        <v>287958.96307416866</v>
      </c>
      <c r="Z33" s="109">
        <f t="shared" si="16"/>
        <v>0.79826928885014437</v>
      </c>
    </row>
    <row r="34" spans="2:26" s="123" customFormat="1" x14ac:dyDescent="0.25">
      <c r="B34" s="131" t="s">
        <v>2</v>
      </c>
      <c r="C34" s="131"/>
      <c r="D34" s="132">
        <f>SUM(D27:D33)</f>
        <v>1172906987.0608532</v>
      </c>
      <c r="E34" s="133">
        <f>SUM(E27:E33)</f>
        <v>567196461.71043563</v>
      </c>
      <c r="F34" s="134">
        <f t="shared" si="11"/>
        <v>0.48358179119706113</v>
      </c>
      <c r="G34" s="132">
        <f>SUM(G27:G33)</f>
        <v>424188687.55748951</v>
      </c>
      <c r="H34" s="133">
        <f>SUM(H27:H33)</f>
        <v>224807279.79228601</v>
      </c>
      <c r="I34" s="133">
        <f t="shared" ref="I34:S34" si="19">SUM(I27:I33)</f>
        <v>245034805.84</v>
      </c>
      <c r="J34" s="133">
        <f t="shared" si="19"/>
        <v>15068076.749999998</v>
      </c>
      <c r="K34" s="133">
        <f t="shared" si="19"/>
        <v>0</v>
      </c>
      <c r="L34" s="133">
        <f t="shared" si="19"/>
        <v>10717465.398809774</v>
      </c>
      <c r="M34" s="133">
        <f t="shared" si="19"/>
        <v>1092221.5473553531</v>
      </c>
      <c r="N34" s="133">
        <f t="shared" si="19"/>
        <v>8564148.2014561892</v>
      </c>
      <c r="O34" s="133">
        <f t="shared" si="19"/>
        <v>1151317.0802329609</v>
      </c>
      <c r="P34" s="133">
        <f t="shared" si="19"/>
        <v>-607070.77462549484</v>
      </c>
      <c r="Q34" s="133">
        <f t="shared" si="19"/>
        <v>17368365.366052352</v>
      </c>
      <c r="R34" s="133">
        <f t="shared" si="19"/>
        <v>-506002.33529075817</v>
      </c>
      <c r="S34" s="133">
        <f t="shared" si="19"/>
        <v>-1983479.8799999997</v>
      </c>
      <c r="T34" s="133">
        <f>SUM(T27:T33)</f>
        <v>520707126.98627633</v>
      </c>
      <c r="U34" s="114">
        <f>SUM(U27:U33)</f>
        <v>104761880.16607316</v>
      </c>
      <c r="V34" s="116">
        <f t="shared" si="13"/>
        <v>0.20119156189086354</v>
      </c>
      <c r="W34" s="114">
        <f>SUM(W27:W33)</f>
        <v>-87938661.378530174</v>
      </c>
      <c r="X34" s="116">
        <f>W34/T34</f>
        <v>-0.16888315296834389</v>
      </c>
      <c r="Y34" s="114">
        <f>SUM(Y27:Y33)</f>
        <v>16823218.787542976</v>
      </c>
      <c r="Z34" s="116">
        <f>Y34/T34</f>
        <v>3.2308408922519641E-2</v>
      </c>
    </row>
    <row r="35" spans="2:26" s="123" customFormat="1" x14ac:dyDescent="0.25">
      <c r="B35" s="135"/>
      <c r="C35" s="135"/>
      <c r="D35" s="135"/>
      <c r="E35" s="135"/>
      <c r="F35" s="135"/>
      <c r="I35" s="136"/>
      <c r="M35" s="135"/>
      <c r="O35" s="135"/>
      <c r="P35" s="135"/>
      <c r="Q35" s="135"/>
      <c r="R35" s="135"/>
      <c r="S35" s="135"/>
      <c r="T35" s="135"/>
      <c r="U35" s="137"/>
    </row>
    <row r="36" spans="2:26" ht="17.25" x14ac:dyDescent="0.25">
      <c r="B36" t="s">
        <v>145</v>
      </c>
    </row>
    <row r="37" spans="2:26" ht="17.25" x14ac:dyDescent="0.25">
      <c r="B37" t="s">
        <v>146</v>
      </c>
    </row>
  </sheetData>
  <printOptions horizontalCentered="1"/>
  <pageMargins left="0.45" right="0.45" top="0.75" bottom="0.75" header="0.3" footer="0.3"/>
  <pageSetup paperSize="5" scale="47" orientation="landscape" blackAndWhite="1" r:id="rId1"/>
  <headerFooter>
    <oddFooter>&amp;L&amp;F 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zoomScale="90" zoomScaleNormal="90" workbookViewId="0">
      <selection activeCell="J19" sqref="J19"/>
    </sheetView>
  </sheetViews>
  <sheetFormatPr defaultColWidth="9.140625" defaultRowHeight="15" x14ac:dyDescent="0.25"/>
  <cols>
    <col min="1" max="1" width="2.140625" style="139" customWidth="1"/>
    <col min="2" max="2" width="2.42578125" style="139" customWidth="1"/>
    <col min="3" max="3" width="34.85546875" style="139" customWidth="1"/>
    <col min="4" max="5" width="11.85546875" style="139" customWidth="1"/>
    <col min="6" max="6" width="2.7109375" style="140" customWidth="1"/>
    <col min="7" max="8" width="11.85546875" style="139" customWidth="1"/>
    <col min="9" max="16384" width="9.140625" style="139"/>
  </cols>
  <sheetData>
    <row r="1" spans="2:8" x14ac:dyDescent="0.25">
      <c r="B1" s="138" t="s">
        <v>0</v>
      </c>
      <c r="C1" s="138"/>
      <c r="D1" s="138"/>
      <c r="E1" s="138"/>
      <c r="F1" s="138"/>
      <c r="G1" s="138"/>
      <c r="H1" s="138"/>
    </row>
    <row r="2" spans="2:8" x14ac:dyDescent="0.25">
      <c r="B2" s="138" t="str">
        <f>'Rate Impacts Sch 111'!B2</f>
        <v>2023 Gas Schedule 111 Greenhouse Gas Emissions Cap and Invest Adjustment Filing</v>
      </c>
      <c r="C2" s="138"/>
      <c r="D2" s="138"/>
      <c r="E2" s="138"/>
      <c r="F2" s="138"/>
      <c r="G2" s="138"/>
      <c r="H2" s="138"/>
    </row>
    <row r="3" spans="2:8" x14ac:dyDescent="0.25">
      <c r="B3" s="95" t="s">
        <v>147</v>
      </c>
      <c r="C3" s="95"/>
      <c r="D3" s="95"/>
      <c r="E3" s="95"/>
      <c r="F3" s="95"/>
      <c r="G3" s="95"/>
      <c r="H3" s="95"/>
    </row>
    <row r="4" spans="2:8" x14ac:dyDescent="0.25">
      <c r="B4" s="95" t="str">
        <f>'Rate Impacts Sch 111'!B4</f>
        <v>Proposed Rates Effective August 1, 2023</v>
      </c>
      <c r="C4" s="95"/>
      <c r="D4" s="95"/>
      <c r="E4" s="95"/>
      <c r="F4" s="95"/>
      <c r="G4" s="95"/>
      <c r="H4" s="95"/>
    </row>
    <row r="6" spans="2:8" x14ac:dyDescent="0.25">
      <c r="G6" s="141" t="s">
        <v>148</v>
      </c>
      <c r="H6" s="141"/>
    </row>
    <row r="7" spans="2:8" x14ac:dyDescent="0.25">
      <c r="D7" s="142" t="s">
        <v>149</v>
      </c>
      <c r="E7" s="142"/>
      <c r="F7" s="143"/>
      <c r="G7" s="142" t="s">
        <v>150</v>
      </c>
      <c r="H7" s="142"/>
    </row>
    <row r="8" spans="2:8" ht="17.25" x14ac:dyDescent="0.25">
      <c r="D8" s="144" t="s">
        <v>151</v>
      </c>
      <c r="E8" s="144" t="s">
        <v>152</v>
      </c>
      <c r="F8" s="145"/>
      <c r="G8" s="144" t="s">
        <v>153</v>
      </c>
      <c r="H8" s="144" t="s">
        <v>152</v>
      </c>
    </row>
    <row r="9" spans="2:8" x14ac:dyDescent="0.25">
      <c r="B9" s="139" t="s">
        <v>154</v>
      </c>
      <c r="D9" s="146">
        <v>64</v>
      </c>
      <c r="E9" s="147"/>
      <c r="F9" s="148"/>
      <c r="G9" s="146">
        <v>64</v>
      </c>
      <c r="H9" s="147"/>
    </row>
    <row r="10" spans="2:8" x14ac:dyDescent="0.25">
      <c r="D10" s="146"/>
      <c r="E10" s="147"/>
      <c r="F10" s="148"/>
      <c r="G10" s="146"/>
      <c r="H10" s="147"/>
    </row>
    <row r="11" spans="2:8" x14ac:dyDescent="0.25">
      <c r="B11" s="139" t="s">
        <v>155</v>
      </c>
      <c r="D11" s="146"/>
      <c r="E11" s="147"/>
      <c r="F11" s="148"/>
      <c r="G11" s="146"/>
      <c r="H11" s="147"/>
    </row>
    <row r="12" spans="2:8" x14ac:dyDescent="0.25">
      <c r="C12" s="139" t="s">
        <v>156</v>
      </c>
      <c r="D12" s="213">
        <v>12.5</v>
      </c>
      <c r="E12" s="147">
        <f>D12</f>
        <v>12.5</v>
      </c>
      <c r="F12" s="150"/>
      <c r="G12" s="151">
        <f>$D$12</f>
        <v>12.5</v>
      </c>
      <c r="H12" s="147">
        <f>G12</f>
        <v>12.5</v>
      </c>
    </row>
    <row r="13" spans="2:8" x14ac:dyDescent="0.25">
      <c r="C13" s="139" t="s">
        <v>157</v>
      </c>
      <c r="D13" s="152">
        <f>SUM(D12:D12)</f>
        <v>12.5</v>
      </c>
      <c r="E13" s="152">
        <f>SUM(E12:E12)</f>
        <v>12.5</v>
      </c>
      <c r="F13" s="150"/>
      <c r="G13" s="152">
        <f>SUM(G12:G12)</f>
        <v>12.5</v>
      </c>
      <c r="H13" s="152">
        <f>SUM(H12:H12)</f>
        <v>12.5</v>
      </c>
    </row>
    <row r="14" spans="2:8" x14ac:dyDescent="0.25">
      <c r="D14" s="153"/>
      <c r="E14" s="147"/>
      <c r="F14" s="150"/>
      <c r="G14" s="151"/>
      <c r="H14" s="147"/>
    </row>
    <row r="15" spans="2:8" x14ac:dyDescent="0.25">
      <c r="C15" s="139" t="s">
        <v>158</v>
      </c>
      <c r="D15" s="149">
        <f>'Sch. 111 Credit'!D10</f>
        <v>0</v>
      </c>
      <c r="E15" s="147">
        <f>D15</f>
        <v>0</v>
      </c>
      <c r="F15" s="150"/>
      <c r="G15" s="149">
        <f>'Sch. 111 Credit'!E10</f>
        <v>-12.1</v>
      </c>
      <c r="H15" s="147">
        <f>G15</f>
        <v>-12.1</v>
      </c>
    </row>
    <row r="16" spans="2:8" x14ac:dyDescent="0.25">
      <c r="D16" s="153"/>
      <c r="E16" s="147"/>
      <c r="F16" s="150"/>
      <c r="G16" s="151"/>
      <c r="H16" s="147"/>
    </row>
    <row r="17" spans="2:8" x14ac:dyDescent="0.25">
      <c r="B17" s="139" t="s">
        <v>159</v>
      </c>
      <c r="E17" s="147"/>
      <c r="H17" s="147"/>
    </row>
    <row r="18" spans="2:8" x14ac:dyDescent="0.25">
      <c r="C18" s="139" t="s">
        <v>160</v>
      </c>
      <c r="D18" s="214">
        <v>0.45612999999999998</v>
      </c>
      <c r="E18" s="147"/>
      <c r="F18" s="155"/>
      <c r="G18" s="156">
        <f>$D$18</f>
        <v>0.45612999999999998</v>
      </c>
      <c r="H18" s="147"/>
    </row>
    <row r="19" spans="2:8" x14ac:dyDescent="0.25">
      <c r="C19" s="139" t="s">
        <v>161</v>
      </c>
      <c r="D19" s="154">
        <f>'Sch. 111 Charge'!D9</f>
        <v>0</v>
      </c>
      <c r="E19" s="147"/>
      <c r="F19" s="155"/>
      <c r="G19" s="154">
        <f>'Sch. 111 Charge'!E9</f>
        <v>0.24697</v>
      </c>
      <c r="H19" s="147"/>
    </row>
    <row r="20" spans="2:8" x14ac:dyDescent="0.25">
      <c r="C20" s="139" t="s">
        <v>162</v>
      </c>
      <c r="D20" s="215">
        <v>3.16E-3</v>
      </c>
      <c r="E20" s="147"/>
      <c r="F20" s="155"/>
      <c r="G20" s="157">
        <f>$D$20</f>
        <v>3.16E-3</v>
      </c>
      <c r="H20" s="147"/>
    </row>
    <row r="21" spans="2:8" x14ac:dyDescent="0.25">
      <c r="C21" s="139" t="s">
        <v>163</v>
      </c>
      <c r="D21" s="214">
        <v>2.2849999999999999E-2</v>
      </c>
      <c r="E21" s="147"/>
      <c r="F21" s="155"/>
      <c r="G21" s="157">
        <f>$D$21</f>
        <v>2.2849999999999999E-2</v>
      </c>
      <c r="H21" s="147"/>
    </row>
    <row r="22" spans="2:8" x14ac:dyDescent="0.25">
      <c r="C22" s="139" t="s">
        <v>164</v>
      </c>
      <c r="D22" s="214">
        <v>3.2599999999999999E-3</v>
      </c>
      <c r="E22" s="147"/>
      <c r="F22" s="155"/>
      <c r="G22" s="157">
        <f>$D$22</f>
        <v>3.2599999999999999E-3</v>
      </c>
      <c r="H22" s="147"/>
    </row>
    <row r="23" spans="2:8" x14ac:dyDescent="0.25">
      <c r="C23" s="139" t="s">
        <v>165</v>
      </c>
      <c r="D23" s="214">
        <v>-1.6999999999999999E-3</v>
      </c>
      <c r="E23" s="147"/>
      <c r="F23" s="155"/>
      <c r="G23" s="157">
        <f>$D$23</f>
        <v>-1.6999999999999999E-3</v>
      </c>
      <c r="H23" s="147"/>
    </row>
    <row r="24" spans="2:8" x14ac:dyDescent="0.25">
      <c r="C24" s="139" t="s">
        <v>166</v>
      </c>
      <c r="D24" s="214">
        <v>4.8649999999999999E-2</v>
      </c>
      <c r="E24" s="147"/>
      <c r="F24" s="155"/>
      <c r="G24" s="157">
        <f>$D$24</f>
        <v>4.8649999999999999E-2</v>
      </c>
      <c r="H24" s="147"/>
    </row>
    <row r="25" spans="2:8" x14ac:dyDescent="0.25">
      <c r="C25" s="139" t="s">
        <v>167</v>
      </c>
      <c r="D25" s="214">
        <v>-1.3699999999999999E-3</v>
      </c>
      <c r="E25" s="147"/>
      <c r="F25" s="155"/>
      <c r="G25" s="157">
        <f>$D$25</f>
        <v>-1.3699999999999999E-3</v>
      </c>
      <c r="H25" s="147"/>
    </row>
    <row r="26" spans="2:8" x14ac:dyDescent="0.25">
      <c r="C26" s="139" t="s">
        <v>168</v>
      </c>
      <c r="D26" s="214">
        <v>4.64E-3</v>
      </c>
      <c r="E26" s="147"/>
      <c r="F26" s="155"/>
      <c r="G26" s="157">
        <f>$D$26</f>
        <v>4.64E-3</v>
      </c>
      <c r="H26" s="147"/>
    </row>
    <row r="27" spans="2:8" x14ac:dyDescent="0.25">
      <c r="C27" s="139" t="s">
        <v>157</v>
      </c>
      <c r="D27" s="158">
        <f>SUM(D18:D26)</f>
        <v>0.53561999999999999</v>
      </c>
      <c r="E27" s="147">
        <f>ROUND(D27*D$9,2)</f>
        <v>34.28</v>
      </c>
      <c r="F27" s="155"/>
      <c r="G27" s="158">
        <f>SUM(G18:G26)</f>
        <v>0.78259000000000001</v>
      </c>
      <c r="H27" s="147">
        <f>ROUND(G27*G$9,2)</f>
        <v>50.09</v>
      </c>
    </row>
    <row r="29" spans="2:8" x14ac:dyDescent="0.25">
      <c r="C29" s="139" t="s">
        <v>169</v>
      </c>
      <c r="D29" s="214">
        <v>2.8750000000000001E-2</v>
      </c>
      <c r="E29" s="147">
        <f>ROUND(D29*D$9,2)</f>
        <v>1.84</v>
      </c>
      <c r="F29" s="155"/>
      <c r="G29" s="159">
        <f>$D$29</f>
        <v>2.8750000000000001E-2</v>
      </c>
      <c r="H29" s="147">
        <f>ROUND(G29*G$9,2)</f>
        <v>1.84</v>
      </c>
    </row>
    <row r="30" spans="2:8" x14ac:dyDescent="0.25">
      <c r="D30" s="156"/>
      <c r="E30" s="147"/>
      <c r="F30" s="155"/>
      <c r="G30" s="156"/>
      <c r="H30" s="147"/>
    </row>
    <row r="31" spans="2:8" x14ac:dyDescent="0.25">
      <c r="C31" s="139" t="s">
        <v>170</v>
      </c>
      <c r="D31" s="214">
        <v>0.69018999999999997</v>
      </c>
      <c r="E31" s="147"/>
      <c r="F31" s="155"/>
      <c r="G31" s="157">
        <f>$D$31</f>
        <v>0.69018999999999997</v>
      </c>
      <c r="H31" s="147"/>
    </row>
    <row r="32" spans="2:8" x14ac:dyDescent="0.25">
      <c r="C32" s="139" t="s">
        <v>171</v>
      </c>
      <c r="D32" s="214">
        <v>4.036E-2</v>
      </c>
      <c r="E32" s="147"/>
      <c r="F32" s="155"/>
      <c r="G32" s="157">
        <f>$D$32</f>
        <v>4.036E-2</v>
      </c>
      <c r="H32" s="147"/>
    </row>
    <row r="33" spans="2:8" x14ac:dyDescent="0.25">
      <c r="C33" s="139" t="s">
        <v>157</v>
      </c>
      <c r="D33" s="158">
        <f>SUM(D31:D32)</f>
        <v>0.73054999999999992</v>
      </c>
      <c r="E33" s="147">
        <f>ROUND(D33*D$9,2)</f>
        <v>46.76</v>
      </c>
      <c r="F33" s="155"/>
      <c r="G33" s="158">
        <f>SUM(G31:G32)</f>
        <v>0.73054999999999992</v>
      </c>
      <c r="H33" s="147">
        <f>ROUND(G33*G$9,2)</f>
        <v>46.76</v>
      </c>
    </row>
    <row r="34" spans="2:8" x14ac:dyDescent="0.25">
      <c r="C34" s="139" t="s">
        <v>172</v>
      </c>
      <c r="D34" s="158">
        <f>D27+D29+D33</f>
        <v>1.2949199999999998</v>
      </c>
      <c r="E34" s="160">
        <f>SUM(E27,E29,E33)</f>
        <v>82.88</v>
      </c>
      <c r="F34" s="161"/>
      <c r="G34" s="158">
        <f>G27+G29+G33</f>
        <v>1.54189</v>
      </c>
      <c r="H34" s="160">
        <f>SUM(H27,H29,H33)</f>
        <v>98.69</v>
      </c>
    </row>
    <row r="35" spans="2:8" x14ac:dyDescent="0.25">
      <c r="E35" s="147"/>
      <c r="H35" s="147"/>
    </row>
    <row r="36" spans="2:8" x14ac:dyDescent="0.25">
      <c r="B36" s="139" t="s">
        <v>173</v>
      </c>
      <c r="D36" s="151"/>
      <c r="E36" s="147">
        <f>E13+E15+E34</f>
        <v>95.38</v>
      </c>
      <c r="F36" s="162"/>
      <c r="G36" s="151"/>
      <c r="H36" s="147">
        <f>H13+H15+H34</f>
        <v>99.09</v>
      </c>
    </row>
    <row r="37" spans="2:8" x14ac:dyDescent="0.25">
      <c r="B37" s="139" t="s">
        <v>174</v>
      </c>
      <c r="D37" s="151"/>
      <c r="E37" s="147"/>
      <c r="F37" s="162"/>
      <c r="G37" s="151"/>
      <c r="H37" s="147">
        <f>H36-$E36</f>
        <v>3.710000000000008</v>
      </c>
    </row>
    <row r="38" spans="2:8" x14ac:dyDescent="0.25">
      <c r="B38" s="139" t="s">
        <v>175</v>
      </c>
      <c r="D38" s="9"/>
      <c r="E38" s="9"/>
      <c r="F38" s="163"/>
      <c r="G38" s="9"/>
      <c r="H38" s="164">
        <f>H37/$E36</f>
        <v>3.8897043405326147E-2</v>
      </c>
    </row>
    <row r="39" spans="2:8" x14ac:dyDescent="0.25">
      <c r="E39" s="147"/>
    </row>
    <row r="40" spans="2:8" x14ac:dyDescent="0.25">
      <c r="B40" s="139" t="s">
        <v>176</v>
      </c>
      <c r="D40" s="156">
        <f>D27+D29</f>
        <v>0.56437000000000004</v>
      </c>
      <c r="E40" s="147"/>
      <c r="F40" s="161"/>
      <c r="G40" s="156">
        <f>G27+G29</f>
        <v>0.81134000000000006</v>
      </c>
    </row>
    <row r="42" spans="2:8" ht="17.25" x14ac:dyDescent="0.25">
      <c r="B42" s="165" t="s">
        <v>177</v>
      </c>
      <c r="D42" s="165"/>
      <c r="E42" s="165"/>
      <c r="F42" s="166"/>
      <c r="G42" s="166"/>
      <c r="H42" s="166"/>
    </row>
    <row r="47" spans="2:8" ht="14.25" customHeight="1" x14ac:dyDescent="0.25"/>
  </sheetData>
  <printOptions horizontalCentered="1"/>
  <pageMargins left="0.5" right="0.5" top="1" bottom="1" header="0.5" footer="0.5"/>
  <pageSetup scale="75" orientation="landscape" blackAndWhite="1" r:id="rId1"/>
  <headerFooter alignWithMargins="0">
    <oddFooter>&amp;L&amp;F  
&amp;A&amp;C&amp;P&amp;R&amp;D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8"/>
  <sheetViews>
    <sheetView zoomScale="90" zoomScaleNormal="90" workbookViewId="0">
      <selection activeCell="E38" sqref="E38"/>
    </sheetView>
  </sheetViews>
  <sheetFormatPr defaultRowHeight="15" x14ac:dyDescent="0.25"/>
  <cols>
    <col min="1" max="1" width="2.85546875" customWidth="1"/>
    <col min="2" max="2" width="37.85546875" customWidth="1"/>
    <col min="3" max="3" width="9.140625" bestFit="1" customWidth="1"/>
    <col min="4" max="5" width="19" bestFit="1" customWidth="1"/>
    <col min="6" max="6" width="13.42578125" bestFit="1" customWidth="1"/>
    <col min="7" max="7" width="2.5703125" customWidth="1"/>
    <col min="8" max="9" width="19" bestFit="1" customWidth="1"/>
    <col min="10" max="10" width="13.42578125" bestFit="1" customWidth="1"/>
    <col min="11" max="11" width="2.5703125" customWidth="1"/>
    <col min="12" max="12" width="11.140625" bestFit="1" customWidth="1"/>
    <col min="13" max="14" width="9.140625" customWidth="1"/>
  </cols>
  <sheetData>
    <row r="1" spans="2:14" x14ac:dyDescent="0.25"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2:14" x14ac:dyDescent="0.25">
      <c r="B2" s="227" t="str">
        <f>'Rate Impacts Sch 111'!B2</f>
        <v>2023 Gas Schedule 111 Greenhouse Gas Emissions Cap and Invest Adjustment Filing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2:14" x14ac:dyDescent="0.25">
      <c r="B3" s="228" t="s">
        <v>188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2:14" x14ac:dyDescent="0.25">
      <c r="B4" s="228" t="str">
        <f>'Rate Impacts Sch 111'!B4</f>
        <v>Proposed Rates Effective August 1, 2023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2:14" x14ac:dyDescent="0.2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4" ht="17.25" x14ac:dyDescent="0.25">
      <c r="D6" s="229" t="s">
        <v>189</v>
      </c>
      <c r="E6" s="229"/>
      <c r="F6" s="229"/>
      <c r="G6" s="97"/>
      <c r="H6" s="229" t="s">
        <v>184</v>
      </c>
      <c r="I6" s="229"/>
      <c r="J6" s="229"/>
    </row>
    <row r="7" spans="2:14" x14ac:dyDescent="0.25">
      <c r="B7" s="98"/>
      <c r="C7" s="98"/>
      <c r="D7" s="98" t="s">
        <v>80</v>
      </c>
      <c r="E7" s="64" t="s">
        <v>80</v>
      </c>
      <c r="F7" s="98"/>
      <c r="G7" s="98"/>
      <c r="H7" s="98" t="s">
        <v>80</v>
      </c>
      <c r="I7" s="64" t="s">
        <v>80</v>
      </c>
      <c r="J7" s="98"/>
      <c r="K7" s="98"/>
      <c r="L7" s="98"/>
    </row>
    <row r="8" spans="2:14" x14ac:dyDescent="0.25">
      <c r="B8" s="98"/>
      <c r="C8" s="98" t="s">
        <v>11</v>
      </c>
      <c r="D8" s="98" t="s">
        <v>183</v>
      </c>
      <c r="E8" s="98" t="s">
        <v>4</v>
      </c>
      <c r="F8" s="98" t="s">
        <v>190</v>
      </c>
      <c r="G8" s="98"/>
      <c r="H8" s="98" t="s">
        <v>183</v>
      </c>
      <c r="I8" s="98" t="s">
        <v>4</v>
      </c>
      <c r="J8" s="98" t="s">
        <v>190</v>
      </c>
      <c r="K8" s="98"/>
      <c r="L8" s="98" t="s">
        <v>2</v>
      </c>
    </row>
    <row r="9" spans="2:14" x14ac:dyDescent="0.25">
      <c r="B9" s="100" t="s">
        <v>7</v>
      </c>
      <c r="C9" s="100" t="s">
        <v>103</v>
      </c>
      <c r="D9" s="183" t="s">
        <v>72</v>
      </c>
      <c r="E9" s="51" t="str">
        <f>D9</f>
        <v>Aug. 2023 - Dec. 2023</v>
      </c>
      <c r="F9" s="100" t="s">
        <v>191</v>
      </c>
      <c r="G9" s="98"/>
      <c r="H9" s="51" t="str">
        <f>D9</f>
        <v>Aug. 2023 - Dec. 2023</v>
      </c>
      <c r="I9" s="51" t="str">
        <f>D9</f>
        <v>Aug. 2023 - Dec. 2023</v>
      </c>
      <c r="J9" s="100" t="s">
        <v>191</v>
      </c>
      <c r="K9" s="98"/>
      <c r="L9" s="100" t="s">
        <v>192</v>
      </c>
      <c r="N9" s="184" t="s">
        <v>193</v>
      </c>
    </row>
    <row r="10" spans="2:14" x14ac:dyDescent="0.25">
      <c r="B10" s="98" t="s">
        <v>110</v>
      </c>
      <c r="C10" s="98" t="s">
        <v>111</v>
      </c>
      <c r="D10" s="98" t="s">
        <v>112</v>
      </c>
      <c r="E10" s="98" t="s">
        <v>113</v>
      </c>
      <c r="F10" s="102" t="s">
        <v>194</v>
      </c>
      <c r="G10" s="98"/>
      <c r="H10" s="98" t="s">
        <v>195</v>
      </c>
      <c r="I10" s="98" t="s">
        <v>196</v>
      </c>
      <c r="J10" s="102" t="s">
        <v>197</v>
      </c>
      <c r="K10" s="102"/>
      <c r="L10" s="103" t="s">
        <v>198</v>
      </c>
    </row>
    <row r="11" spans="2:14" x14ac:dyDescent="0.25">
      <c r="B11" t="s">
        <v>20</v>
      </c>
      <c r="C11" s="97">
        <v>23</v>
      </c>
      <c r="D11" s="185">
        <f>'Rate Impacts Sch 111'!G11</f>
        <v>237030173</v>
      </c>
      <c r="E11" s="186">
        <f>'Rate Impacts Sch 111'!T11</f>
        <v>352914728.69793648</v>
      </c>
      <c r="F11" s="187">
        <f>E11/D11</f>
        <v>1.4889021268103975</v>
      </c>
      <c r="G11" s="106"/>
      <c r="H11" s="185">
        <f>'Rate Impacts Sch 111'!G11</f>
        <v>237030173</v>
      </c>
      <c r="I11" s="186">
        <f>'Rate Impacts Sch 111'!T11+'Rate Impacts Sch 111'!Y11</f>
        <v>361712568.67521632</v>
      </c>
      <c r="J11" s="187">
        <f>I11/H11</f>
        <v>1.52601908903478</v>
      </c>
      <c r="K11" s="188"/>
      <c r="L11" s="109">
        <f>(I11-E11)/E11</f>
        <v>2.4929081338540587E-2</v>
      </c>
      <c r="N11" s="189">
        <f>L11-'Rate Impacts Sch 111'!Z11</f>
        <v>8.6736173798840355E-17</v>
      </c>
    </row>
    <row r="12" spans="2:14" x14ac:dyDescent="0.25">
      <c r="B12" t="s">
        <v>21</v>
      </c>
      <c r="C12" s="97">
        <v>16</v>
      </c>
      <c r="D12" s="185">
        <f>'Rate Impacts Sch 111'!G12</f>
        <v>2945</v>
      </c>
      <c r="E12" s="186">
        <f>'Rate Impacts Sch 111'!T12</f>
        <v>4111.0059631326558</v>
      </c>
      <c r="F12" s="187">
        <f t="shared" ref="F12:F23" si="0">E12/D12</f>
        <v>1.3959273219465724</v>
      </c>
      <c r="G12" s="106"/>
      <c r="H12" s="185">
        <f>'Rate Impacts Sch 111'!G12</f>
        <v>2945</v>
      </c>
      <c r="I12" s="186">
        <f>'Rate Impacts Sch 111'!T12+'Rate Impacts Sch 111'!Y12</f>
        <v>4236.9326131326561</v>
      </c>
      <c r="J12" s="187">
        <f t="shared" ref="J12:J23" si="1">I12/H12</f>
        <v>1.4386867956307832</v>
      </c>
      <c r="K12" s="188"/>
      <c r="L12" s="109">
        <f t="shared" ref="L12:L23" si="2">(I12-E12)/E12</f>
        <v>3.0631590206705053E-2</v>
      </c>
      <c r="N12" s="189">
        <f>L12-'Rate Impacts Sch 111'!Z12</f>
        <v>8.3266726846886741E-17</v>
      </c>
    </row>
    <row r="13" spans="2:14" x14ac:dyDescent="0.25">
      <c r="B13" t="s">
        <v>22</v>
      </c>
      <c r="C13" s="97">
        <v>31</v>
      </c>
      <c r="D13" s="185">
        <f>'Rate Impacts Sch 111'!G13</f>
        <v>101406651.59263071</v>
      </c>
      <c r="E13" s="186">
        <f>'Rate Impacts Sch 111'!T13</f>
        <v>129973038.53501487</v>
      </c>
      <c r="F13" s="187">
        <f t="shared" si="0"/>
        <v>1.2817013134122663</v>
      </c>
      <c r="G13" s="106"/>
      <c r="H13" s="185">
        <f>'Rate Impacts Sch 111'!G13</f>
        <v>101406651.59263071</v>
      </c>
      <c r="I13" s="186">
        <f>'Rate Impacts Sch 111'!T13+'Rate Impacts Sch 111'!Y13</f>
        <v>134321761.01884687</v>
      </c>
      <c r="J13" s="187">
        <f t="shared" si="1"/>
        <v>1.3245853098319649</v>
      </c>
      <c r="K13" s="188"/>
      <c r="L13" s="109">
        <f t="shared" si="2"/>
        <v>3.3458650600527828E-2</v>
      </c>
      <c r="N13" s="189">
        <f>L13-'Rate Impacts Sch 111'!Z13</f>
        <v>0</v>
      </c>
    </row>
    <row r="14" spans="2:14" x14ac:dyDescent="0.25">
      <c r="B14" t="s">
        <v>23</v>
      </c>
      <c r="C14" s="97">
        <v>41</v>
      </c>
      <c r="D14" s="185">
        <f>'Rate Impacts Sch 111'!G14</f>
        <v>28452770.755159236</v>
      </c>
      <c r="E14" s="186">
        <f>'Rate Impacts Sch 111'!T14</f>
        <v>26258625.76526263</v>
      </c>
      <c r="F14" s="187">
        <f t="shared" si="0"/>
        <v>0.92288466354375165</v>
      </c>
      <c r="G14" s="106"/>
      <c r="H14" s="185">
        <f>'Rate Impacts Sch 111'!G14</f>
        <v>28452770.755159236</v>
      </c>
      <c r="I14" s="186">
        <f>'Rate Impacts Sch 111'!T14+'Rate Impacts Sch 111'!Y14</f>
        <v>27478550.598664306</v>
      </c>
      <c r="J14" s="187">
        <f t="shared" si="1"/>
        <v>0.96576009539182472</v>
      </c>
      <c r="K14" s="188"/>
      <c r="L14" s="109">
        <f t="shared" si="2"/>
        <v>4.6458060840925922E-2</v>
      </c>
      <c r="N14" s="189">
        <f>L14-'Rate Impacts Sch 111'!Z14</f>
        <v>0</v>
      </c>
    </row>
    <row r="15" spans="2:14" x14ac:dyDescent="0.25">
      <c r="B15" t="s">
        <v>24</v>
      </c>
      <c r="C15" s="97">
        <v>85</v>
      </c>
      <c r="D15" s="185">
        <f>'Rate Impacts Sch 111'!G15</f>
        <v>3995124.4247881505</v>
      </c>
      <c r="E15" s="186">
        <f>'Rate Impacts Sch 111'!T15</f>
        <v>2988259.0950000728</v>
      </c>
      <c r="F15" s="187">
        <f t="shared" si="0"/>
        <v>0.74797647764337938</v>
      </c>
      <c r="G15" s="106"/>
      <c r="H15" s="185">
        <f>'Rate Impacts Sch 111'!G15</f>
        <v>3995124.4247881505</v>
      </c>
      <c r="I15" s="186">
        <f>'Rate Impacts Sch 111'!T15+'Rate Impacts Sch 111'!Y15</f>
        <v>3159552.1241900022</v>
      </c>
      <c r="J15" s="187">
        <f t="shared" si="1"/>
        <v>0.79085199564405151</v>
      </c>
      <c r="K15" s="188"/>
      <c r="L15" s="109">
        <f t="shared" si="2"/>
        <v>5.7322013836261808E-2</v>
      </c>
      <c r="N15" s="189">
        <f>L15-'Rate Impacts Sch 111'!Z15</f>
        <v>0</v>
      </c>
    </row>
    <row r="16" spans="2:14" x14ac:dyDescent="0.25">
      <c r="B16" t="s">
        <v>25</v>
      </c>
      <c r="C16" s="97">
        <v>86</v>
      </c>
      <c r="D16" s="185">
        <f>'Rate Impacts Sch 111'!G16</f>
        <v>2027748</v>
      </c>
      <c r="E16" s="186">
        <f>'Rate Impacts Sch 111'!T16</f>
        <v>1667900.5492822356</v>
      </c>
      <c r="F16" s="187">
        <f t="shared" si="0"/>
        <v>0.82253837719590184</v>
      </c>
      <c r="G16" s="106"/>
      <c r="H16" s="185">
        <f>'Rate Impacts Sch 111'!G16</f>
        <v>2027748</v>
      </c>
      <c r="I16" s="186">
        <f>'Rate Impacts Sch 111'!T16+'Rate Impacts Sch 111'!Y16</f>
        <v>1754842.2628422356</v>
      </c>
      <c r="J16" s="187">
        <f>I16/H16</f>
        <v>0.86541437241818786</v>
      </c>
      <c r="K16" s="188"/>
      <c r="L16" s="109">
        <f t="shared" si="2"/>
        <v>5.2126437393053539E-2</v>
      </c>
      <c r="N16" s="189">
        <f>L16-'Rate Impacts Sch 111'!Z16</f>
        <v>6.9388939039072284E-17</v>
      </c>
    </row>
    <row r="17" spans="2:14" x14ac:dyDescent="0.25">
      <c r="B17" t="s">
        <v>26</v>
      </c>
      <c r="C17" s="97">
        <v>87</v>
      </c>
      <c r="D17" s="185">
        <f>'Rate Impacts Sch 111'!G17</f>
        <v>529173.38832380553</v>
      </c>
      <c r="E17" s="186">
        <f>'Rate Impacts Sch 111'!T17</f>
        <v>366542.6241459981</v>
      </c>
      <c r="F17" s="187">
        <f t="shared" si="0"/>
        <v>0.69267017622909577</v>
      </c>
      <c r="G17" s="106"/>
      <c r="H17" s="185">
        <f>'Rate Impacts Sch 111'!G17</f>
        <v>529173.38832380553</v>
      </c>
      <c r="I17" s="186">
        <f>'Rate Impacts Sch 111'!T17+'Rate Impacts Sch 111'!Y17</f>
        <v>389231.27586032834</v>
      </c>
      <c r="J17" s="187">
        <f t="shared" si="1"/>
        <v>0.73554582382391942</v>
      </c>
      <c r="K17" s="188"/>
      <c r="L17" s="109">
        <f t="shared" si="2"/>
        <v>6.1899081361116409E-2</v>
      </c>
      <c r="N17" s="189">
        <f>L17-'Rate Impacts Sch 111'!Z17</f>
        <v>0</v>
      </c>
    </row>
    <row r="18" spans="2:14" x14ac:dyDescent="0.25">
      <c r="B18" t="s">
        <v>27</v>
      </c>
      <c r="C18" s="97" t="s">
        <v>28</v>
      </c>
      <c r="D18" s="185">
        <f>'Rate Impacts Sch 111'!G18</f>
        <v>15141</v>
      </c>
      <c r="E18" s="186">
        <f>'Rate Impacts Sch 111'!T18</f>
        <v>10618.520355160204</v>
      </c>
      <c r="F18" s="187">
        <f t="shared" si="0"/>
        <v>0.70130905192260773</v>
      </c>
      <c r="G18" s="106"/>
      <c r="H18" s="185">
        <f>'Rate Impacts Sch 111'!G18</f>
        <v>15141</v>
      </c>
      <c r="I18" s="186">
        <f>'Rate Impacts Sch 111'!T18+'Rate Impacts Sch 111'!Y18</f>
        <v>11267.693125160204</v>
      </c>
      <c r="J18" s="187">
        <f t="shared" si="1"/>
        <v>0.74418421010238445</v>
      </c>
      <c r="K18" s="188"/>
      <c r="L18" s="109">
        <f t="shared" si="2"/>
        <v>6.1135897308378324E-2</v>
      </c>
      <c r="N18" s="189">
        <f>L18-'Rate Impacts Sch 111'!Z18</f>
        <v>-9.0205620750793969E-17</v>
      </c>
    </row>
    <row r="19" spans="2:14" x14ac:dyDescent="0.25">
      <c r="B19" t="s">
        <v>29</v>
      </c>
      <c r="C19" s="97" t="s">
        <v>30</v>
      </c>
      <c r="D19" s="185">
        <f>'Rate Impacts Sch 111'!G19</f>
        <v>9596298</v>
      </c>
      <c r="E19" s="186">
        <f>'Rate Impacts Sch 111'!T19</f>
        <v>2221136.9115034188</v>
      </c>
      <c r="F19" s="187">
        <f t="shared" si="0"/>
        <v>0.23145768415105689</v>
      </c>
      <c r="G19" s="106"/>
      <c r="H19" s="185">
        <f>'Rate Impacts Sch 111'!G19</f>
        <v>9596298</v>
      </c>
      <c r="I19" s="186">
        <f>'Rate Impacts Sch 111'!T19+'Rate Impacts Sch 111'!Y19</f>
        <v>2632581.628563419</v>
      </c>
      <c r="J19" s="187">
        <f t="shared" si="1"/>
        <v>0.27433304265492997</v>
      </c>
      <c r="K19" s="188"/>
      <c r="L19" s="109">
        <f t="shared" si="2"/>
        <v>0.18524059229716999</v>
      </c>
      <c r="N19" s="189">
        <f>L19-'Rate Impacts Sch 111'!Z19</f>
        <v>0</v>
      </c>
    </row>
    <row r="20" spans="2:14" x14ac:dyDescent="0.25">
      <c r="B20" t="s">
        <v>31</v>
      </c>
      <c r="C20" s="97" t="s">
        <v>32</v>
      </c>
      <c r="D20" s="185">
        <f>'Rate Impacts Sch 111'!G20</f>
        <v>28109638.626885779</v>
      </c>
      <c r="E20" s="186">
        <f>'Rate Impacts Sch 111'!T20</f>
        <v>3498972.9507003785</v>
      </c>
      <c r="F20" s="187">
        <f t="shared" si="0"/>
        <v>0.12447591365880266</v>
      </c>
      <c r="G20" s="106"/>
      <c r="H20" s="185">
        <f>'Rate Impacts Sch 111'!G20</f>
        <v>28109638.626885779</v>
      </c>
      <c r="I20" s="186">
        <f>'Rate Impacts Sch 111'!T20+'Rate Impacts Sch 111'!Y20</f>
        <v>4704191.2023823597</v>
      </c>
      <c r="J20" s="187">
        <f t="shared" si="1"/>
        <v>0.1673515360628999</v>
      </c>
      <c r="K20" s="188"/>
      <c r="L20" s="109">
        <f t="shared" si="2"/>
        <v>0.34444914798233472</v>
      </c>
      <c r="N20" s="189">
        <f>L20-'Rate Impacts Sch 111'!Z20</f>
        <v>0</v>
      </c>
    </row>
    <row r="21" spans="2:14" x14ac:dyDescent="0.25">
      <c r="B21" t="s">
        <v>33</v>
      </c>
      <c r="C21" s="97" t="s">
        <v>34</v>
      </c>
      <c r="D21" s="185">
        <f>'Rate Impacts Sch 111'!G21</f>
        <v>551738</v>
      </c>
      <c r="E21" s="186">
        <f>'Rate Impacts Sch 111'!T21</f>
        <v>113490.7744039742</v>
      </c>
      <c r="F21" s="187">
        <f t="shared" si="0"/>
        <v>0.20569686047358382</v>
      </c>
      <c r="G21" s="106"/>
      <c r="H21" s="185">
        <f>'Rate Impacts Sch 111'!G21</f>
        <v>551738</v>
      </c>
      <c r="I21" s="186">
        <f>'Rate Impacts Sch 111'!T21+'Rate Impacts Sch 111'!Y21</f>
        <v>137147.00826397422</v>
      </c>
      <c r="J21" s="187">
        <f t="shared" si="1"/>
        <v>0.24857270708918766</v>
      </c>
      <c r="K21" s="188"/>
      <c r="L21" s="109">
        <f t="shared" si="2"/>
        <v>0.20844191066839379</v>
      </c>
      <c r="N21" s="189">
        <f>L21-'Rate Impacts Sch 111'!Z21</f>
        <v>0</v>
      </c>
    </row>
    <row r="22" spans="2:14" x14ac:dyDescent="0.25">
      <c r="B22" t="s">
        <v>35</v>
      </c>
      <c r="C22" s="97" t="s">
        <v>36</v>
      </c>
      <c r="D22" s="185">
        <f>'Rate Impacts Sch 111'!G22</f>
        <v>5755133.3500792636</v>
      </c>
      <c r="E22" s="186">
        <f>'Rate Impacts Sch 111'!T22</f>
        <v>328972.45551838685</v>
      </c>
      <c r="F22" s="187">
        <f t="shared" si="0"/>
        <v>5.7161569594882805E-2</v>
      </c>
      <c r="G22" s="106"/>
      <c r="H22" s="185">
        <f>'Rate Impacts Sch 111'!G22</f>
        <v>5755133.3500792636</v>
      </c>
      <c r="I22" s="186">
        <f>'Rate Impacts Sch 111'!T22+'Rate Impacts Sch 111'!Y22</f>
        <v>575727.28898746264</v>
      </c>
      <c r="J22" s="187">
        <f t="shared" si="1"/>
        <v>0.1000371761984513</v>
      </c>
      <c r="K22" s="188"/>
      <c r="L22" s="109">
        <f t="shared" si="2"/>
        <v>0.75007748925436779</v>
      </c>
      <c r="N22" s="189">
        <f>L22-'Rate Impacts Sch 111'!Z22</f>
        <v>0</v>
      </c>
    </row>
    <row r="23" spans="2:14" x14ac:dyDescent="0.25">
      <c r="B23" t="s">
        <v>37</v>
      </c>
      <c r="C23" s="97"/>
      <c r="D23" s="185">
        <f>'Rate Impacts Sch 111'!G23</f>
        <v>6716152.4196225004</v>
      </c>
      <c r="E23" s="186">
        <f>'Rate Impacts Sch 111'!T23</f>
        <v>360729.10118959361</v>
      </c>
      <c r="F23" s="187">
        <f t="shared" si="0"/>
        <v>5.3710678175744764E-2</v>
      </c>
      <c r="G23" s="190"/>
      <c r="H23" s="185">
        <f>'Rate Impacts Sch 111'!G23</f>
        <v>6716152.4196225004</v>
      </c>
      <c r="I23" s="186">
        <f>'Rate Impacts Sch 111'!T23+'Rate Impacts Sch 111'!Y23</f>
        <v>648688.06426376221</v>
      </c>
      <c r="J23" s="187">
        <f t="shared" si="1"/>
        <v>9.6586263046755494E-2</v>
      </c>
      <c r="K23" s="188"/>
      <c r="L23" s="109">
        <f t="shared" si="2"/>
        <v>0.79826928885014425</v>
      </c>
      <c r="M23" s="191"/>
      <c r="N23" s="189">
        <f>L23-'Rate Impacts Sch 111'!Z23</f>
        <v>0</v>
      </c>
    </row>
    <row r="24" spans="2:14" x14ac:dyDescent="0.25">
      <c r="B24" t="s">
        <v>2</v>
      </c>
      <c r="D24" s="192">
        <f>SUM(D11:D23)</f>
        <v>424188687.55748945</v>
      </c>
      <c r="E24" s="114">
        <f>SUM(E11:E23)</f>
        <v>520707126.98627639</v>
      </c>
      <c r="F24" s="193">
        <f>E24/D24</f>
        <v>1.2275365710117057</v>
      </c>
      <c r="G24" s="190"/>
      <c r="H24" s="192">
        <f>SUM(H11:H23)</f>
        <v>424188687.55748945</v>
      </c>
      <c r="I24" s="114">
        <f>SUM(I11:I23)</f>
        <v>537530345.77381933</v>
      </c>
      <c r="J24" s="193">
        <f>I24/H24</f>
        <v>1.2671963245152993</v>
      </c>
      <c r="K24" s="194"/>
      <c r="L24" s="116">
        <f>(I24-E24)/E24</f>
        <v>3.2308408922519564E-2</v>
      </c>
      <c r="M24" s="195"/>
      <c r="N24" s="189">
        <f>L24-'Rate Impacts Sch 111'!Z24</f>
        <v>-7.6327832942979512E-17</v>
      </c>
    </row>
    <row r="25" spans="2:14" s="123" customFormat="1" x14ac:dyDescent="0.25">
      <c r="B25" s="131"/>
      <c r="C25" s="196"/>
      <c r="D25" s="196"/>
      <c r="E25" s="196"/>
      <c r="F25" s="197"/>
      <c r="G25" s="198"/>
      <c r="H25" s="196"/>
      <c r="I25" s="196"/>
      <c r="J25" s="197"/>
      <c r="K25" s="197"/>
      <c r="L25" s="199"/>
      <c r="M25" s="136"/>
      <c r="N25" s="200"/>
    </row>
    <row r="26" spans="2:14" x14ac:dyDescent="0.25">
      <c r="F26" s="201"/>
      <c r="G26" s="191"/>
      <c r="J26" s="201"/>
      <c r="K26" s="194"/>
      <c r="L26" s="66"/>
      <c r="M26" s="191"/>
      <c r="N26" s="200"/>
    </row>
    <row r="27" spans="2:14" s="123" customFormat="1" x14ac:dyDescent="0.25">
      <c r="B27" s="119" t="s">
        <v>135</v>
      </c>
      <c r="C27" s="120"/>
      <c r="D27" s="120"/>
      <c r="E27" s="120"/>
      <c r="F27" s="202"/>
      <c r="G27" s="136"/>
      <c r="H27" s="120"/>
      <c r="I27" s="120"/>
      <c r="J27" s="202"/>
      <c r="K27" s="202"/>
      <c r="L27" s="203"/>
      <c r="M27" s="136"/>
      <c r="N27" s="200"/>
    </row>
    <row r="28" spans="2:14" s="123" customFormat="1" x14ac:dyDescent="0.25">
      <c r="B28" s="126" t="s">
        <v>20</v>
      </c>
      <c r="C28" s="127" t="s">
        <v>248</v>
      </c>
      <c r="D28" s="128">
        <f>D11+D12</f>
        <v>237033118</v>
      </c>
      <c r="E28" s="129">
        <f>E11+E12</f>
        <v>352918839.70389962</v>
      </c>
      <c r="F28" s="204">
        <f>E28/D28</f>
        <v>1.488900971651985</v>
      </c>
      <c r="G28" s="205"/>
      <c r="H28" s="128">
        <f>H11+H12</f>
        <v>237033118</v>
      </c>
      <c r="I28" s="129">
        <f>I11+I12</f>
        <v>361716805.60782945</v>
      </c>
      <c r="J28" s="204">
        <f>I28/H28</f>
        <v>1.5260180039813231</v>
      </c>
      <c r="K28" s="197"/>
      <c r="L28" s="109">
        <f>(I28-E28)/E28</f>
        <v>2.4929147764713722E-2</v>
      </c>
      <c r="M28" s="206"/>
      <c r="N28" s="189">
        <f>L28-'Rate Impacts Sch 111'!Z27</f>
        <v>4.8572257327350599E-17</v>
      </c>
    </row>
    <row r="29" spans="2:14" s="123" customFormat="1" x14ac:dyDescent="0.25">
      <c r="B29" s="130" t="s">
        <v>136</v>
      </c>
      <c r="C29" s="127" t="s">
        <v>137</v>
      </c>
      <c r="D29" s="128">
        <f t="shared" ref="D29:E33" si="3">D13+D18</f>
        <v>101421792.59263071</v>
      </c>
      <c r="E29" s="129">
        <f t="shared" si="3"/>
        <v>129983657.05537003</v>
      </c>
      <c r="F29" s="204">
        <f t="shared" ref="F29:F34" si="4">E29/D29</f>
        <v>1.2816146681360729</v>
      </c>
      <c r="G29" s="205"/>
      <c r="H29" s="128">
        <f t="shared" ref="H29:I33" si="5">H13+H18</f>
        <v>101421792.59263071</v>
      </c>
      <c r="I29" s="129">
        <f t="shared" si="5"/>
        <v>134333028.71197203</v>
      </c>
      <c r="J29" s="204">
        <f t="shared" ref="J29:J34" si="6">I29/H29</f>
        <v>1.3244986632363334</v>
      </c>
      <c r="K29" s="197"/>
      <c r="L29" s="109">
        <f t="shared" ref="L29:L35" si="7">(I29-E29)/E29</f>
        <v>3.3460911587902653E-2</v>
      </c>
      <c r="M29" s="136"/>
      <c r="N29" s="189">
        <f>L29-'Rate Impacts Sch 111'!Z28</f>
        <v>-7.6327832942979512E-17</v>
      </c>
    </row>
    <row r="30" spans="2:14" s="123" customFormat="1" x14ac:dyDescent="0.25">
      <c r="B30" s="126" t="s">
        <v>138</v>
      </c>
      <c r="C30" s="127" t="s">
        <v>139</v>
      </c>
      <c r="D30" s="128">
        <f t="shared" si="3"/>
        <v>38049068.755159236</v>
      </c>
      <c r="E30" s="129">
        <f t="shared" si="3"/>
        <v>28479762.676766049</v>
      </c>
      <c r="F30" s="204">
        <f t="shared" si="4"/>
        <v>0.7485009123358467</v>
      </c>
      <c r="G30" s="205"/>
      <c r="H30" s="128">
        <f t="shared" si="5"/>
        <v>38049068.755159236</v>
      </c>
      <c r="I30" s="129">
        <f t="shared" si="5"/>
        <v>30111132.227227725</v>
      </c>
      <c r="J30" s="204">
        <f t="shared" si="6"/>
        <v>0.79137632568589023</v>
      </c>
      <c r="K30" s="197"/>
      <c r="L30" s="109">
        <f t="shared" si="7"/>
        <v>5.728171154293208E-2</v>
      </c>
      <c r="M30" s="136"/>
      <c r="N30" s="189">
        <f>L30-'Rate Impacts Sch 111'!Z29</f>
        <v>0</v>
      </c>
    </row>
    <row r="31" spans="2:14" s="123" customFormat="1" x14ac:dyDescent="0.25">
      <c r="B31" s="126" t="s">
        <v>24</v>
      </c>
      <c r="C31" s="127" t="s">
        <v>140</v>
      </c>
      <c r="D31" s="128">
        <f t="shared" si="3"/>
        <v>32104763.05167393</v>
      </c>
      <c r="E31" s="129">
        <f t="shared" si="3"/>
        <v>6487232.0457004514</v>
      </c>
      <c r="F31" s="204">
        <f t="shared" si="4"/>
        <v>0.20206447358789056</v>
      </c>
      <c r="G31" s="205"/>
      <c r="H31" s="128">
        <f t="shared" si="5"/>
        <v>32104763.05167393</v>
      </c>
      <c r="I31" s="129">
        <f t="shared" si="5"/>
        <v>7863743.3265723623</v>
      </c>
      <c r="J31" s="204">
        <f t="shared" si="6"/>
        <v>0.24494008300000053</v>
      </c>
      <c r="K31" s="197"/>
      <c r="L31" s="109">
        <f t="shared" si="7"/>
        <v>0.21218776685878266</v>
      </c>
      <c r="M31" s="136"/>
      <c r="N31" s="189">
        <f>L31-'Rate Impacts Sch 111'!Z30</f>
        <v>0</v>
      </c>
    </row>
    <row r="32" spans="2:14" s="123" customFormat="1" x14ac:dyDescent="0.25">
      <c r="B32" s="126" t="s">
        <v>141</v>
      </c>
      <c r="C32" s="127" t="s">
        <v>142</v>
      </c>
      <c r="D32" s="128">
        <f t="shared" si="3"/>
        <v>2579486</v>
      </c>
      <c r="E32" s="129">
        <f t="shared" si="3"/>
        <v>1781391.3236862097</v>
      </c>
      <c r="F32" s="204">
        <f t="shared" si="4"/>
        <v>0.69059933788600125</v>
      </c>
      <c r="G32" s="205"/>
      <c r="H32" s="128">
        <f t="shared" si="5"/>
        <v>2579486</v>
      </c>
      <c r="I32" s="129">
        <f t="shared" si="5"/>
        <v>1891989.2711062098</v>
      </c>
      <c r="J32" s="204">
        <f t="shared" si="6"/>
        <v>0.73347530132212768</v>
      </c>
      <c r="K32" s="197"/>
      <c r="L32" s="109">
        <f t="shared" si="7"/>
        <v>6.2085149932773455E-2</v>
      </c>
      <c r="M32" s="136"/>
      <c r="N32" s="189">
        <f>L32-'Rate Impacts Sch 111'!Z31</f>
        <v>8.3266726846886741E-17</v>
      </c>
    </row>
    <row r="33" spans="2:14" s="123" customFormat="1" x14ac:dyDescent="0.25">
      <c r="B33" s="131" t="s">
        <v>143</v>
      </c>
      <c r="C33" s="127" t="s">
        <v>144</v>
      </c>
      <c r="D33" s="128">
        <f t="shared" si="3"/>
        <v>6284306.7384030689</v>
      </c>
      <c r="E33" s="129">
        <f t="shared" si="3"/>
        <v>695515.07966438495</v>
      </c>
      <c r="F33" s="204">
        <f t="shared" si="4"/>
        <v>0.11067490951931559</v>
      </c>
      <c r="G33" s="205"/>
      <c r="H33" s="128">
        <f t="shared" si="5"/>
        <v>6284306.7384030689</v>
      </c>
      <c r="I33" s="129">
        <f t="shared" si="5"/>
        <v>964958.56484779099</v>
      </c>
      <c r="J33" s="204">
        <f t="shared" si="6"/>
        <v>0.15355051957457452</v>
      </c>
      <c r="K33" s="197"/>
      <c r="L33" s="109">
        <f t="shared" si="7"/>
        <v>0.38740135629183448</v>
      </c>
      <c r="M33" s="136"/>
      <c r="N33" s="189">
        <f>L33-'Rate Impacts Sch 111'!Z32</f>
        <v>0</v>
      </c>
    </row>
    <row r="34" spans="2:14" s="123" customFormat="1" x14ac:dyDescent="0.25">
      <c r="B34" s="131" t="s">
        <v>37</v>
      </c>
      <c r="C34" s="127"/>
      <c r="D34" s="128">
        <f>D23</f>
        <v>6716152.4196225004</v>
      </c>
      <c r="E34" s="129">
        <f>E23</f>
        <v>360729.10118959361</v>
      </c>
      <c r="F34" s="204">
        <f t="shared" si="4"/>
        <v>5.3710678175744764E-2</v>
      </c>
      <c r="G34" s="205"/>
      <c r="H34" s="128">
        <f>H23</f>
        <v>6716152.4196225004</v>
      </c>
      <c r="I34" s="129">
        <f>I23</f>
        <v>648688.06426376221</v>
      </c>
      <c r="J34" s="204">
        <f t="shared" si="6"/>
        <v>9.6586263046755494E-2</v>
      </c>
      <c r="K34" s="197"/>
      <c r="L34" s="109">
        <f t="shared" si="7"/>
        <v>0.79826928885014425</v>
      </c>
      <c r="M34" s="136"/>
      <c r="N34" s="189">
        <f>L34-'Rate Impacts Sch 111'!Z33</f>
        <v>0</v>
      </c>
    </row>
    <row r="35" spans="2:14" s="123" customFormat="1" x14ac:dyDescent="0.25">
      <c r="B35" s="131" t="s">
        <v>2</v>
      </c>
      <c r="C35" s="131"/>
      <c r="D35" s="207">
        <f>SUM(D28:D34)</f>
        <v>424188687.55748951</v>
      </c>
      <c r="E35" s="208">
        <f>SUM(E28:E34)</f>
        <v>520707126.98627633</v>
      </c>
      <c r="F35" s="209">
        <f>E35/D35</f>
        <v>1.2275365710117054</v>
      </c>
      <c r="G35" s="205"/>
      <c r="H35" s="207">
        <f>SUM(H28:H34)</f>
        <v>424188687.55748951</v>
      </c>
      <c r="I35" s="208">
        <f>SUM(I28:I34)</f>
        <v>537530345.77381933</v>
      </c>
      <c r="J35" s="209">
        <f>I35/H35</f>
        <v>1.2671963245152991</v>
      </c>
      <c r="K35" s="197"/>
      <c r="L35" s="116">
        <f t="shared" si="7"/>
        <v>3.2308408922519682E-2</v>
      </c>
      <c r="M35" s="136"/>
      <c r="N35" s="189">
        <f>L35-'Rate Impacts Sch 111'!Z34</f>
        <v>0</v>
      </c>
    </row>
    <row r="36" spans="2:14" s="123" customFormat="1" x14ac:dyDescent="0.25">
      <c r="B36" s="131"/>
      <c r="C36" s="131"/>
      <c r="D36" s="131"/>
      <c r="E36" s="131"/>
      <c r="F36" s="129"/>
      <c r="G36" s="205"/>
      <c r="H36" s="131"/>
      <c r="I36" s="131"/>
      <c r="J36" s="129"/>
      <c r="K36" s="197"/>
      <c r="L36" s="210"/>
      <c r="M36" s="136"/>
      <c r="N36" s="189"/>
    </row>
    <row r="37" spans="2:14" x14ac:dyDescent="0.25">
      <c r="B37" s="126" t="s">
        <v>199</v>
      </c>
      <c r="F37" s="117"/>
    </row>
    <row r="38" spans="2:14" x14ac:dyDescent="0.25">
      <c r="B38" s="211"/>
    </row>
  </sheetData>
  <mergeCells count="6">
    <mergeCell ref="B1:L1"/>
    <mergeCell ref="B2:L2"/>
    <mergeCell ref="B3:L3"/>
    <mergeCell ref="B4:L4"/>
    <mergeCell ref="D6:F6"/>
    <mergeCell ref="H6:J6"/>
  </mergeCells>
  <printOptions horizontalCentered="1"/>
  <pageMargins left="0.7" right="0.7" top="0.75" bottom="0.75" header="0.3" footer="0.3"/>
  <pageSetup scale="73" orientation="landscape" blackAndWhite="1" r:id="rId1"/>
  <headerFooter>
    <oddFooter>&amp;L&amp;F 
&amp;A&amp;C&amp;P&amp;R&amp;D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zoomScale="90" zoomScaleNormal="90" workbookViewId="0">
      <selection activeCell="B23" sqref="B23"/>
    </sheetView>
  </sheetViews>
  <sheetFormatPr defaultColWidth="8.7109375" defaultRowHeight="15" x14ac:dyDescent="0.25"/>
  <cols>
    <col min="1" max="1" width="37.7109375" style="44" customWidth="1"/>
    <col min="2" max="2" width="9.140625" style="44" bestFit="1" customWidth="1"/>
    <col min="3" max="3" width="18.5703125" style="44" bestFit="1" customWidth="1"/>
    <col min="4" max="5" width="13.7109375" style="44" customWidth="1"/>
    <col min="6" max="8" width="14.42578125" style="44" customWidth="1"/>
    <col min="9" max="9" width="7.85546875" style="44" bestFit="1" customWidth="1"/>
    <col min="10" max="16384" width="8.7109375" style="44"/>
  </cols>
  <sheetData>
    <row r="1" spans="1:21" s="139" customFormat="1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95"/>
    </row>
    <row r="2" spans="1:21" s="139" customFormat="1" x14ac:dyDescent="0.25">
      <c r="A2" s="225" t="s">
        <v>178</v>
      </c>
      <c r="B2" s="230"/>
      <c r="C2" s="230"/>
      <c r="D2" s="230"/>
      <c r="E2" s="230"/>
      <c r="F2" s="230"/>
      <c r="G2" s="230"/>
      <c r="H2" s="230"/>
      <c r="I2" s="230"/>
      <c r="J2" s="167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</row>
    <row r="3" spans="1:21" s="139" customFormat="1" x14ac:dyDescent="0.25">
      <c r="A3" s="225" t="s">
        <v>179</v>
      </c>
      <c r="B3" s="225"/>
      <c r="C3" s="225"/>
      <c r="D3" s="225"/>
      <c r="E3" s="225"/>
      <c r="F3" s="225"/>
      <c r="G3" s="225"/>
      <c r="H3" s="225"/>
      <c r="I3" s="225"/>
      <c r="J3" s="95"/>
    </row>
    <row r="4" spans="1:21" s="139" customFormat="1" x14ac:dyDescent="0.25">
      <c r="A4" s="225" t="s">
        <v>40</v>
      </c>
      <c r="B4" s="225"/>
      <c r="C4" s="225"/>
      <c r="D4" s="225"/>
      <c r="E4" s="225"/>
      <c r="F4" s="225"/>
      <c r="G4" s="225"/>
      <c r="H4" s="225"/>
      <c r="I4" s="225"/>
      <c r="J4" s="95"/>
    </row>
    <row r="5" spans="1:21" x14ac:dyDescent="0.25">
      <c r="D5" s="180"/>
      <c r="E5" s="180"/>
    </row>
    <row r="6" spans="1:21" x14ac:dyDescent="0.25">
      <c r="A6" s="64"/>
      <c r="B6" s="64"/>
      <c r="C6" s="64" t="s">
        <v>80</v>
      </c>
      <c r="D6" s="64" t="s">
        <v>180</v>
      </c>
      <c r="E6" s="64" t="s">
        <v>181</v>
      </c>
      <c r="F6" s="169" t="s">
        <v>80</v>
      </c>
      <c r="G6" s="169" t="s">
        <v>80</v>
      </c>
      <c r="H6" s="64" t="s">
        <v>182</v>
      </c>
      <c r="I6" s="64"/>
      <c r="R6" s="170"/>
      <c r="S6" s="170"/>
      <c r="T6" s="170"/>
    </row>
    <row r="7" spans="1:21" x14ac:dyDescent="0.25">
      <c r="A7" s="64"/>
      <c r="B7" s="64" t="s">
        <v>11</v>
      </c>
      <c r="C7" s="64" t="s">
        <v>183</v>
      </c>
      <c r="D7" s="64" t="s">
        <v>182</v>
      </c>
      <c r="E7" s="64" t="s">
        <v>182</v>
      </c>
      <c r="F7" s="169" t="s">
        <v>4</v>
      </c>
      <c r="G7" s="169" t="s">
        <v>4</v>
      </c>
      <c r="H7" s="64" t="s">
        <v>4</v>
      </c>
      <c r="I7" s="64" t="s">
        <v>100</v>
      </c>
      <c r="R7" s="170"/>
      <c r="S7" s="170"/>
      <c r="T7" s="170"/>
    </row>
    <row r="8" spans="1:21" x14ac:dyDescent="0.25">
      <c r="A8" s="65" t="s">
        <v>7</v>
      </c>
      <c r="B8" s="65" t="s">
        <v>103</v>
      </c>
      <c r="C8" s="171" t="str">
        <f>'Rate Impacts Sch 111'!$T$7</f>
        <v>5ME Dec. 2023</v>
      </c>
      <c r="D8" s="65" t="s">
        <v>153</v>
      </c>
      <c r="E8" s="65" t="s">
        <v>153</v>
      </c>
      <c r="F8" s="144" t="s">
        <v>149</v>
      </c>
      <c r="G8" s="144" t="s">
        <v>184</v>
      </c>
      <c r="H8" s="65" t="s">
        <v>109</v>
      </c>
      <c r="I8" s="65" t="s">
        <v>109</v>
      </c>
      <c r="R8" s="170"/>
      <c r="S8" s="172"/>
      <c r="T8" s="170"/>
    </row>
    <row r="9" spans="1:21" x14ac:dyDescent="0.25">
      <c r="A9" s="44" t="s">
        <v>20</v>
      </c>
      <c r="B9" s="180">
        <v>23</v>
      </c>
      <c r="C9" s="212">
        <v>237030173</v>
      </c>
      <c r="D9" s="173">
        <v>0</v>
      </c>
      <c r="E9" s="174">
        <f>'Sch. 111 Charge Rates'!G11</f>
        <v>0.24697</v>
      </c>
      <c r="F9" s="108">
        <f>C9*D9</f>
        <v>0</v>
      </c>
      <c r="G9" s="108">
        <f>C9*E9</f>
        <v>58539341.82581</v>
      </c>
      <c r="H9" s="66">
        <f>G9-F9</f>
        <v>58539341.82581</v>
      </c>
      <c r="I9" s="74">
        <f>IF(D9=0,1,H9/F9)</f>
        <v>1</v>
      </c>
      <c r="R9" s="170"/>
      <c r="S9" s="175"/>
      <c r="T9" s="170"/>
    </row>
    <row r="10" spans="1:21" x14ac:dyDescent="0.25">
      <c r="A10" s="44" t="s">
        <v>21</v>
      </c>
      <c r="B10" s="180">
        <v>16</v>
      </c>
      <c r="C10" s="52">
        <v>2945</v>
      </c>
      <c r="D10" s="173">
        <v>0</v>
      </c>
      <c r="E10" s="174">
        <f>'Sch. 111 Charge Rates'!G12</f>
        <v>0.24697</v>
      </c>
      <c r="F10" s="108">
        <f t="shared" ref="F10:F20" si="0">C10*D10</f>
        <v>0</v>
      </c>
      <c r="G10" s="108">
        <f t="shared" ref="G10:G21" si="1">C10*E10</f>
        <v>727.32664999999997</v>
      </c>
      <c r="H10" s="66">
        <f t="shared" ref="H10:H21" si="2">G10-F10</f>
        <v>727.32664999999997</v>
      </c>
      <c r="I10" s="74">
        <f t="shared" ref="I10:I22" si="3">IF(D10=0,1,H10/F10)</f>
        <v>1</v>
      </c>
      <c r="R10" s="170"/>
      <c r="S10" s="170"/>
      <c r="T10" s="170"/>
    </row>
    <row r="11" spans="1:21" x14ac:dyDescent="0.25">
      <c r="A11" s="44" t="s">
        <v>22</v>
      </c>
      <c r="B11" s="180">
        <v>31</v>
      </c>
      <c r="C11" s="212">
        <v>101406651.59263071</v>
      </c>
      <c r="D11" s="173">
        <v>0</v>
      </c>
      <c r="E11" s="174">
        <f>'Sch. 111 Charge Rates'!G13</f>
        <v>0.24697</v>
      </c>
      <c r="F11" s="108">
        <f t="shared" si="0"/>
        <v>0</v>
      </c>
      <c r="G11" s="108">
        <f t="shared" si="1"/>
        <v>25044400.743832007</v>
      </c>
      <c r="H11" s="66">
        <f t="shared" si="2"/>
        <v>25044400.743832007</v>
      </c>
      <c r="I11" s="74">
        <f t="shared" si="3"/>
        <v>1</v>
      </c>
      <c r="R11" s="170"/>
      <c r="S11" s="170"/>
      <c r="T11" s="170"/>
    </row>
    <row r="12" spans="1:21" x14ac:dyDescent="0.25">
      <c r="A12" s="44" t="s">
        <v>23</v>
      </c>
      <c r="B12" s="180">
        <v>41</v>
      </c>
      <c r="C12" s="212">
        <v>28452770.755159236</v>
      </c>
      <c r="D12" s="173">
        <v>0</v>
      </c>
      <c r="E12" s="174">
        <f>'Sch. 111 Charge Rates'!G14</f>
        <v>0.24697</v>
      </c>
      <c r="F12" s="108">
        <f t="shared" si="0"/>
        <v>0</v>
      </c>
      <c r="G12" s="108">
        <f t="shared" si="1"/>
        <v>7026980.7934016762</v>
      </c>
      <c r="H12" s="66">
        <f t="shared" si="2"/>
        <v>7026980.7934016762</v>
      </c>
      <c r="I12" s="74">
        <f t="shared" si="3"/>
        <v>1</v>
      </c>
    </row>
    <row r="13" spans="1:21" x14ac:dyDescent="0.25">
      <c r="A13" s="44" t="s">
        <v>24</v>
      </c>
      <c r="B13" s="180">
        <v>85</v>
      </c>
      <c r="C13" s="212">
        <v>3995124.4247881505</v>
      </c>
      <c r="D13" s="173">
        <v>0</v>
      </c>
      <c r="E13" s="174">
        <f>'Sch. 111 Charge Rates'!G15</f>
        <v>0.24697</v>
      </c>
      <c r="F13" s="108">
        <f t="shared" si="0"/>
        <v>0</v>
      </c>
      <c r="G13" s="108">
        <f t="shared" si="1"/>
        <v>986675.87918992946</v>
      </c>
      <c r="H13" s="66">
        <f t="shared" si="2"/>
        <v>986675.87918992946</v>
      </c>
      <c r="I13" s="74">
        <f t="shared" si="3"/>
        <v>1</v>
      </c>
    </row>
    <row r="14" spans="1:21" x14ac:dyDescent="0.25">
      <c r="A14" s="44" t="s">
        <v>25</v>
      </c>
      <c r="B14" s="180">
        <v>86</v>
      </c>
      <c r="C14" s="212">
        <v>2027748</v>
      </c>
      <c r="D14" s="173">
        <v>0</v>
      </c>
      <c r="E14" s="174">
        <f>'Sch. 111 Charge Rates'!G16</f>
        <v>0.24697</v>
      </c>
      <c r="F14" s="108">
        <f t="shared" si="0"/>
        <v>0</v>
      </c>
      <c r="G14" s="108">
        <f t="shared" si="1"/>
        <v>500792.92355999997</v>
      </c>
      <c r="H14" s="66">
        <f t="shared" si="2"/>
        <v>500792.92355999997</v>
      </c>
      <c r="I14" s="74">
        <f t="shared" si="3"/>
        <v>1</v>
      </c>
    </row>
    <row r="15" spans="1:21" x14ac:dyDescent="0.25">
      <c r="A15" s="44" t="s">
        <v>26</v>
      </c>
      <c r="B15" s="180">
        <v>87</v>
      </c>
      <c r="C15" s="212">
        <v>529173.38832380553</v>
      </c>
      <c r="D15" s="173">
        <v>0</v>
      </c>
      <c r="E15" s="174">
        <f>'Sch. 111 Charge Rates'!G17</f>
        <v>0.24697</v>
      </c>
      <c r="F15" s="108">
        <f t="shared" si="0"/>
        <v>0</v>
      </c>
      <c r="G15" s="108">
        <f t="shared" si="1"/>
        <v>130689.95171433025</v>
      </c>
      <c r="H15" s="66">
        <f t="shared" si="2"/>
        <v>130689.95171433025</v>
      </c>
      <c r="I15" s="74">
        <f t="shared" si="3"/>
        <v>1</v>
      </c>
    </row>
    <row r="16" spans="1:21" x14ac:dyDescent="0.25">
      <c r="A16" s="44" t="s">
        <v>27</v>
      </c>
      <c r="B16" s="180" t="s">
        <v>28</v>
      </c>
      <c r="C16" s="212">
        <v>15141</v>
      </c>
      <c r="D16" s="173">
        <v>0</v>
      </c>
      <c r="E16" s="174">
        <f>'Sch. 111 Charge Rates'!G18</f>
        <v>0.24697</v>
      </c>
      <c r="F16" s="108">
        <f t="shared" si="0"/>
        <v>0</v>
      </c>
      <c r="G16" s="108">
        <f t="shared" si="1"/>
        <v>3739.3727699999999</v>
      </c>
      <c r="H16" s="66">
        <f t="shared" si="2"/>
        <v>3739.3727699999999</v>
      </c>
      <c r="I16" s="74">
        <f t="shared" si="3"/>
        <v>1</v>
      </c>
    </row>
    <row r="17" spans="1:9" x14ac:dyDescent="0.25">
      <c r="A17" s="44" t="s">
        <v>29</v>
      </c>
      <c r="B17" s="180" t="s">
        <v>30</v>
      </c>
      <c r="C17" s="212">
        <v>9596298</v>
      </c>
      <c r="D17" s="173">
        <v>0</v>
      </c>
      <c r="E17" s="174">
        <f>'Sch. 111 Charge Rates'!G19</f>
        <v>0.24697</v>
      </c>
      <c r="F17" s="108">
        <f t="shared" si="0"/>
        <v>0</v>
      </c>
      <c r="G17" s="108">
        <f t="shared" si="1"/>
        <v>2369997.7170600002</v>
      </c>
      <c r="H17" s="66">
        <f t="shared" si="2"/>
        <v>2369997.7170600002</v>
      </c>
      <c r="I17" s="74">
        <f t="shared" si="3"/>
        <v>1</v>
      </c>
    </row>
    <row r="18" spans="1:9" x14ac:dyDescent="0.25">
      <c r="A18" s="44" t="s">
        <v>31</v>
      </c>
      <c r="B18" s="180" t="s">
        <v>32</v>
      </c>
      <c r="C18" s="212">
        <v>28109638.626885779</v>
      </c>
      <c r="D18" s="173">
        <v>0</v>
      </c>
      <c r="E18" s="174">
        <f>'Sch. 111 Charge Rates'!G20</f>
        <v>0.24697</v>
      </c>
      <c r="F18" s="108">
        <f t="shared" si="0"/>
        <v>0</v>
      </c>
      <c r="G18" s="108">
        <f t="shared" si="1"/>
        <v>6942237.4516819809</v>
      </c>
      <c r="H18" s="66">
        <f t="shared" si="2"/>
        <v>6942237.4516819809</v>
      </c>
      <c r="I18" s="74">
        <f t="shared" si="3"/>
        <v>1</v>
      </c>
    </row>
    <row r="19" spans="1:9" x14ac:dyDescent="0.25">
      <c r="A19" s="44" t="s">
        <v>33</v>
      </c>
      <c r="B19" s="180" t="s">
        <v>34</v>
      </c>
      <c r="C19" s="212">
        <v>551738</v>
      </c>
      <c r="D19" s="173">
        <v>0</v>
      </c>
      <c r="E19" s="174">
        <f>'Sch. 111 Charge Rates'!G21</f>
        <v>0.24697</v>
      </c>
      <c r="F19" s="108">
        <f t="shared" si="0"/>
        <v>0</v>
      </c>
      <c r="G19" s="108">
        <f t="shared" si="1"/>
        <v>136262.73386000001</v>
      </c>
      <c r="H19" s="66">
        <f t="shared" si="2"/>
        <v>136262.73386000001</v>
      </c>
      <c r="I19" s="74">
        <f t="shared" si="3"/>
        <v>1</v>
      </c>
    </row>
    <row r="20" spans="1:9" x14ac:dyDescent="0.25">
      <c r="A20" s="44" t="s">
        <v>35</v>
      </c>
      <c r="B20" s="180" t="s">
        <v>36</v>
      </c>
      <c r="C20" s="212">
        <v>5755133.3500792636</v>
      </c>
      <c r="D20" s="173">
        <v>0</v>
      </c>
      <c r="E20" s="174">
        <f>'Sch. 111 Charge Rates'!G22</f>
        <v>0.24697</v>
      </c>
      <c r="F20" s="108">
        <f t="shared" si="0"/>
        <v>0</v>
      </c>
      <c r="G20" s="108">
        <f t="shared" si="1"/>
        <v>1421345.2834690758</v>
      </c>
      <c r="H20" s="66">
        <f t="shared" si="2"/>
        <v>1421345.2834690758</v>
      </c>
      <c r="I20" s="74">
        <f t="shared" si="3"/>
        <v>1</v>
      </c>
    </row>
    <row r="21" spans="1:9" x14ac:dyDescent="0.25">
      <c r="A21" s="44" t="s">
        <v>37</v>
      </c>
      <c r="B21" s="180"/>
      <c r="C21" s="212">
        <v>6716152.4196225004</v>
      </c>
      <c r="D21" s="173">
        <v>0</v>
      </c>
      <c r="E21" s="174">
        <f>'Sch. 111 Charge Rates'!G23</f>
        <v>0.24697</v>
      </c>
      <c r="F21" s="108">
        <f>C21*D21</f>
        <v>0</v>
      </c>
      <c r="G21" s="108">
        <f t="shared" si="1"/>
        <v>1658688.1630741688</v>
      </c>
      <c r="H21" s="66">
        <f t="shared" si="2"/>
        <v>1658688.1630741688</v>
      </c>
      <c r="I21" s="74">
        <f t="shared" si="3"/>
        <v>1</v>
      </c>
    </row>
    <row r="22" spans="1:9" x14ac:dyDescent="0.25">
      <c r="A22" s="44" t="s">
        <v>2</v>
      </c>
      <c r="C22" s="56">
        <f>SUM(C9:C21)</f>
        <v>424188687.55748945</v>
      </c>
      <c r="D22" s="176"/>
      <c r="E22" s="176"/>
      <c r="F22" s="115">
        <f t="shared" ref="F22:H22" si="4">SUM(F9:F21)</f>
        <v>0</v>
      </c>
      <c r="G22" s="115">
        <f t="shared" si="4"/>
        <v>104761880.16607316</v>
      </c>
      <c r="H22" s="72">
        <f t="shared" si="4"/>
        <v>104761880.16607316</v>
      </c>
      <c r="I22" s="71">
        <f t="shared" si="3"/>
        <v>1</v>
      </c>
    </row>
    <row r="23" spans="1:9" x14ac:dyDescent="0.25">
      <c r="F23" s="66"/>
      <c r="G23" s="66"/>
    </row>
    <row r="24" spans="1:9" x14ac:dyDescent="0.25">
      <c r="C24" s="57"/>
      <c r="F24" s="66"/>
      <c r="G24" s="66"/>
    </row>
    <row r="25" spans="1:9" x14ac:dyDescent="0.25">
      <c r="A25" s="177"/>
      <c r="B25" s="170"/>
      <c r="C25" s="170"/>
      <c r="D25" s="170"/>
      <c r="E25" s="170"/>
      <c r="F25" s="170"/>
      <c r="G25" s="170"/>
      <c r="H25" s="170"/>
    </row>
    <row r="26" spans="1:9" x14ac:dyDescent="0.25">
      <c r="B26" s="170"/>
      <c r="C26" s="170"/>
      <c r="D26" s="170"/>
      <c r="E26" s="170"/>
      <c r="F26" s="170"/>
      <c r="G26" s="170"/>
      <c r="H26" s="170"/>
    </row>
    <row r="41" spans="2:2" ht="17.25" x14ac:dyDescent="0.25">
      <c r="B41" s="178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502F5956129746AB67E46F1A37E6F9" ma:contentTypeVersion="24" ma:contentTypeDescription="" ma:contentTypeScope="" ma:versionID="a059b18eaee8355d2b1d1e13ee522fb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2023-06-09T07:00:00+00:00</OpenedDate>
    <SignificantOrder xmlns="dc463f71-b30c-4ab2-9473-d307f9d35888">false</SignificantOrder>
    <Date1 xmlns="dc463f71-b30c-4ab2-9473-d307f9d35888">2023-06-09T07:00:00+00:00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230470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654A22-44AD-4A1B-ABA5-A8598666B11A}"/>
</file>

<file path=customXml/itemProps2.xml><?xml version="1.0" encoding="utf-8"?>
<ds:datastoreItem xmlns:ds="http://schemas.openxmlformats.org/officeDocument/2006/customXml" ds:itemID="{04FEB00E-06D7-4A44-9803-B45528907A99}"/>
</file>

<file path=customXml/itemProps3.xml><?xml version="1.0" encoding="utf-8"?>
<ds:datastoreItem xmlns:ds="http://schemas.openxmlformats.org/officeDocument/2006/customXml" ds:itemID="{C20F118B-F813-41F5-A10E-C90B302CAE96}"/>
</file>

<file path=customXml/itemProps4.xml><?xml version="1.0" encoding="utf-8"?>
<ds:datastoreItem xmlns:ds="http://schemas.openxmlformats.org/officeDocument/2006/customXml" ds:itemID="{0A9FBD8E-40E5-43A4-A855-0098FAC26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Sch. 111 Charge Rates</vt:lpstr>
      <vt:lpstr>Sch. 111 Low Inc. Credit Rates</vt:lpstr>
      <vt:lpstr>Sch. 111 Non-Vol Credit Rates</vt:lpstr>
      <vt:lpstr>Sch. 111 Non-Vol Credit 23_31</vt:lpstr>
      <vt:lpstr>Rate Impacts--&gt;</vt:lpstr>
      <vt:lpstr>Rate Impacts Sch 111</vt:lpstr>
      <vt:lpstr>Typical Res Bill Sch 111</vt:lpstr>
      <vt:lpstr>Avg Per Therm</vt:lpstr>
      <vt:lpstr>Sch. 111 Charge</vt:lpstr>
      <vt:lpstr>Sch. 111 Credit</vt:lpstr>
      <vt:lpstr>Work Papers--&gt;</vt:lpstr>
      <vt:lpstr>Forecast Rev Req</vt:lpstr>
      <vt:lpstr>Low Income Therm Forecast</vt:lpstr>
      <vt:lpstr>CCA Therm Forecast</vt:lpstr>
      <vt:lpstr>CCA Customer Forecast</vt:lpstr>
      <vt:lpstr>F2022 Forecast</vt:lpstr>
      <vt:lpstr>'Avg Per Therm'!Print_Area</vt:lpstr>
      <vt:lpstr>'CCA Customer Forecast'!Print_Area</vt:lpstr>
      <vt:lpstr>'CCA Therm Forecast'!Print_Area</vt:lpstr>
      <vt:lpstr>'F2022 Forecast'!Print_Area</vt:lpstr>
      <vt:lpstr>'Low Income Therm Forecast'!Print_Area</vt:lpstr>
      <vt:lpstr>'Rate Impacts Sch 111'!Print_Area</vt:lpstr>
      <vt:lpstr>'Sch. 111 Charge'!Print_Area</vt:lpstr>
      <vt:lpstr>'Sch. 111 Charge Rates'!Print_Area</vt:lpstr>
      <vt:lpstr>'Sch. 111 Credit'!Print_Area</vt:lpstr>
      <vt:lpstr>'Sch. 111 Low Inc. Credit Rates'!Print_Area</vt:lpstr>
      <vt:lpstr>'Sch. 111 Non-Vol Credit 23_31'!Print_Area</vt:lpstr>
      <vt:lpstr>'Sch. 111 Non-Vol Credit Rates'!Print_Area</vt:lpstr>
      <vt:lpstr>'Typical Res Bill Sch 111'!Print_Area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Schmidt, Paul</cp:lastModifiedBy>
  <cp:lastPrinted>2023-06-09T03:59:21Z</cp:lastPrinted>
  <dcterms:created xsi:type="dcterms:W3CDTF">2023-05-22T00:13:46Z</dcterms:created>
  <dcterms:modified xsi:type="dcterms:W3CDTF">2023-06-09T18:22:57Z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0x0101006E56B4D1795A2E4DB2F0B01679ED314A002A502F5956129746AB67E46F1A37E6F9</vt:lpwstr>
  </property>
  <property fmtid="{D5CDD505-2E9C-101B-9397-08002B2CF9AE}" pid="3" name="_docset_NoMedatataSyncRequired">
    <vt:lpwstr>False</vt:lpwstr>
  </property>
</Properties>
</file>