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Murrey  2111\Commodity Credit\Commodity Price Adjustment 3-1-2023\"/>
    </mc:Choice>
  </mc:AlternateContent>
  <xr:revisionPtr revIDLastSave="0" documentId="8_{5369E3CB-7D46-409D-B7C2-B6DAC1CC4935}" xr6:coauthVersionLast="47" xr6:coauthVersionMax="47" xr10:uidLastSave="{00000000-0000-0000-0000-000000000000}"/>
  <bookViews>
    <workbookView xWindow="28680" yWindow="-120" windowWidth="29040" windowHeight="15840" xr2:uid="{53D4F7C8-AB9D-4B7A-9265-8AB201C7AF5B}"/>
  </bookViews>
  <sheets>
    <sheet name="CPA 3-1-202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BREMAIR_COST_of_SERVICE_STUDY">#REF!</definedName>
    <definedName name="_xlnm.Print_Area" localSheetId="0">'CPA 3-1-2023'!$A$1:$Q$54</definedName>
    <definedName name="_xlnm.Print_Titles" localSheetId="0">'CPA 3-1-2023'!$1:$5</definedName>
    <definedName name="Print1">#REF!</definedName>
    <definedName name="Print2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C7" i="2"/>
  <c r="D7" i="2"/>
  <c r="D8" i="2" s="1"/>
  <c r="E7" i="2"/>
  <c r="F7" i="2"/>
  <c r="F8" i="2" s="1"/>
  <c r="F29" i="2" s="1"/>
  <c r="F31" i="2" s="1"/>
  <c r="F35" i="2" s="1"/>
  <c r="G7" i="2"/>
  <c r="G8" i="2" s="1"/>
  <c r="H7" i="2"/>
  <c r="I7" i="2"/>
  <c r="J7" i="2"/>
  <c r="K7" i="2"/>
  <c r="L7" i="2"/>
  <c r="L8" i="2" s="1"/>
  <c r="M7" i="2"/>
  <c r="M8" i="2" s="1"/>
  <c r="B8" i="2"/>
  <c r="B10" i="2" s="1"/>
  <c r="C8" i="2"/>
  <c r="C29" i="2" s="1"/>
  <c r="C31" i="2" s="1"/>
  <c r="C35" i="2" s="1"/>
  <c r="H8" i="2"/>
  <c r="H10" i="2" s="1"/>
  <c r="H14" i="2" s="1"/>
  <c r="I8" i="2"/>
  <c r="I29" i="2" s="1"/>
  <c r="I31" i="2" s="1"/>
  <c r="I35" i="2" s="1"/>
  <c r="J8" i="2"/>
  <c r="J10" i="2" s="1"/>
  <c r="J14" i="2" s="1"/>
  <c r="K8" i="2"/>
  <c r="K29" i="2" s="1"/>
  <c r="K31" i="2" s="1"/>
  <c r="K35" i="2" s="1"/>
  <c r="B12" i="2"/>
  <c r="N12" i="2" s="1"/>
  <c r="C12" i="2"/>
  <c r="D12" i="2"/>
  <c r="E12" i="2"/>
  <c r="F12" i="2"/>
  <c r="G12" i="2"/>
  <c r="H12" i="2"/>
  <c r="H16" i="2" s="1"/>
  <c r="I12" i="2"/>
  <c r="I16" i="2" s="1"/>
  <c r="J12" i="2"/>
  <c r="K12" i="2"/>
  <c r="L12" i="2"/>
  <c r="M12" i="2"/>
  <c r="B15" i="2"/>
  <c r="C15" i="2"/>
  <c r="D15" i="2" s="1"/>
  <c r="D16" i="2" s="1"/>
  <c r="E15" i="2"/>
  <c r="F15" i="2"/>
  <c r="F16" i="2" s="1"/>
  <c r="G15" i="2"/>
  <c r="G16" i="2" s="1"/>
  <c r="H15" i="2"/>
  <c r="I15" i="2"/>
  <c r="J15" i="2" s="1"/>
  <c r="K15" i="2" s="1"/>
  <c r="C16" i="2"/>
  <c r="E16" i="2"/>
  <c r="N23" i="2"/>
  <c r="B28" i="2"/>
  <c r="N28" i="2" s="1"/>
  <c r="C28" i="2"/>
  <c r="D28" i="2"/>
  <c r="E28" i="2"/>
  <c r="F28" i="2"/>
  <c r="G28" i="2"/>
  <c r="H28" i="2"/>
  <c r="I28" i="2"/>
  <c r="J28" i="2"/>
  <c r="K28" i="2"/>
  <c r="L28" i="2"/>
  <c r="M28" i="2"/>
  <c r="H29" i="2"/>
  <c r="H31" i="2" s="1"/>
  <c r="H35" i="2" s="1"/>
  <c r="B33" i="2"/>
  <c r="C33" i="2"/>
  <c r="C37" i="2" s="1"/>
  <c r="D33" i="2"/>
  <c r="E33" i="2"/>
  <c r="E37" i="2" s="1"/>
  <c r="F33" i="2"/>
  <c r="F37" i="2" s="1"/>
  <c r="G33" i="2"/>
  <c r="H33" i="2"/>
  <c r="I33" i="2"/>
  <c r="J33" i="2"/>
  <c r="K33" i="2"/>
  <c r="L33" i="2"/>
  <c r="M33" i="2"/>
  <c r="B36" i="2"/>
  <c r="C36" i="2"/>
  <c r="D36" i="2"/>
  <c r="D37" i="2" s="1"/>
  <c r="E36" i="2"/>
  <c r="F36" i="2"/>
  <c r="G36" i="2" s="1"/>
  <c r="H36" i="2" s="1"/>
  <c r="B37" i="2"/>
  <c r="N45" i="2"/>
  <c r="B38" i="2" l="1"/>
  <c r="C38" i="2"/>
  <c r="G29" i="2"/>
  <c r="G31" i="2" s="1"/>
  <c r="G35" i="2" s="1"/>
  <c r="G10" i="2"/>
  <c r="G14" i="2" s="1"/>
  <c r="L15" i="2"/>
  <c r="K16" i="2"/>
  <c r="K17" i="2" s="1"/>
  <c r="D38" i="2"/>
  <c r="G37" i="2"/>
  <c r="L29" i="2"/>
  <c r="L31" i="2" s="1"/>
  <c r="L35" i="2" s="1"/>
  <c r="L10" i="2"/>
  <c r="L14" i="2" s="1"/>
  <c r="F38" i="2"/>
  <c r="F17" i="2"/>
  <c r="I36" i="2"/>
  <c r="H37" i="2"/>
  <c r="H38" i="2" s="1"/>
  <c r="B14" i="2"/>
  <c r="M10" i="2"/>
  <c r="M14" i="2" s="1"/>
  <c r="M29" i="2"/>
  <c r="M31" i="2" s="1"/>
  <c r="M35" i="2" s="1"/>
  <c r="G17" i="2"/>
  <c r="J16" i="2"/>
  <c r="J17" i="2" s="1"/>
  <c r="D10" i="2"/>
  <c r="D14" i="2" s="1"/>
  <c r="D29" i="2"/>
  <c r="D31" i="2" s="1"/>
  <c r="D35" i="2" s="1"/>
  <c r="H17" i="2"/>
  <c r="J29" i="2"/>
  <c r="J31" i="2" s="1"/>
  <c r="J35" i="2" s="1"/>
  <c r="B29" i="2"/>
  <c r="B31" i="2" s="1"/>
  <c r="I10" i="2"/>
  <c r="I14" i="2" s="1"/>
  <c r="E8" i="2"/>
  <c r="E29" i="2" s="1"/>
  <c r="E31" i="2" s="1"/>
  <c r="N33" i="2"/>
  <c r="F10" i="2"/>
  <c r="F14" i="2" s="1"/>
  <c r="B16" i="2"/>
  <c r="B17" i="2" s="1"/>
  <c r="K10" i="2"/>
  <c r="K14" i="2" s="1"/>
  <c r="C10" i="2"/>
  <c r="C14" i="2" s="1"/>
  <c r="E35" i="2" l="1"/>
  <c r="E38" i="2"/>
  <c r="B35" i="2"/>
  <c r="N31" i="2"/>
  <c r="N42" i="2" s="1"/>
  <c r="M15" i="2"/>
  <c r="M16" i="2" s="1"/>
  <c r="M17" i="2" s="1"/>
  <c r="L16" i="2"/>
  <c r="L17" i="2" s="1"/>
  <c r="G38" i="2"/>
  <c r="I17" i="2"/>
  <c r="E10" i="2"/>
  <c r="C17" i="2"/>
  <c r="J36" i="2"/>
  <c r="I37" i="2"/>
  <c r="I38" i="2" s="1"/>
  <c r="D17" i="2"/>
  <c r="N10" i="2"/>
  <c r="N20" i="2" s="1"/>
  <c r="K36" i="2" l="1"/>
  <c r="J37" i="2"/>
  <c r="J38" i="2" s="1"/>
  <c r="E14" i="2"/>
  <c r="E17" i="2"/>
  <c r="N17" i="2" s="1"/>
  <c r="N19" i="2" s="1"/>
  <c r="N21" i="2" s="1"/>
  <c r="N24" i="2" s="1"/>
  <c r="O24" i="2" l="1"/>
  <c r="N25" i="2"/>
  <c r="L36" i="2"/>
  <c r="K37" i="2"/>
  <c r="K38" i="2" s="1"/>
  <c r="L37" i="2" l="1"/>
  <c r="L38" i="2" s="1"/>
  <c r="M36" i="2"/>
  <c r="M37" i="2" s="1"/>
  <c r="M38" i="2" s="1"/>
  <c r="N38" i="2" s="1"/>
  <c r="N41" i="2" s="1"/>
  <c r="N43" i="2" s="1"/>
  <c r="N46" i="2" s="1"/>
  <c r="O46" i="2" l="1"/>
  <c r="N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33" authorId="0" shapeId="0" xr:uid="{8696617C-9E76-445F-AE87-D5FAF660B78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Assumes all customers have recycle yardage equal to MSW yardage.  Some customers pay for additional recycling yards</t>
        </r>
      </text>
    </comment>
  </commentList>
</comments>
</file>

<file path=xl/sharedStrings.xml><?xml version="1.0" encoding="utf-8"?>
<sst xmlns="http://schemas.openxmlformats.org/spreadsheetml/2006/main" count="34" uniqueCount="22">
  <si>
    <t>Revenue Impact:</t>
  </si>
  <si>
    <t>Change:</t>
  </si>
  <si>
    <t>Old Debit/(Credit):</t>
  </si>
  <si>
    <t>New Commodity Debit/(Credit):</t>
  </si>
  <si>
    <t>12-Month rolling cost/(benefit) of material sales/customer</t>
  </si>
  <si>
    <t>Under/(Over) collected/customer:</t>
  </si>
  <si>
    <t>Due From/(To) customers</t>
  </si>
  <si>
    <t>Projected Revenue (Expense)</t>
  </si>
  <si>
    <t>Projected Revenue (Expense)/Customer</t>
  </si>
  <si>
    <t>Earned Revenue (Expense)/Customer</t>
  </si>
  <si>
    <t>Yards</t>
  </si>
  <si>
    <t>Actual Revenue (Expense)</t>
  </si>
  <si>
    <t>Price</t>
  </si>
  <si>
    <t>Tonnages</t>
  </si>
  <si>
    <t xml:space="preserve">Multi-Family Container Recycling </t>
  </si>
  <si>
    <t>Customers</t>
  </si>
  <si>
    <t>Revenue (Expense)/Ton</t>
  </si>
  <si>
    <t>Residential Curbside Recycling</t>
  </si>
  <si>
    <t>Total</t>
  </si>
  <si>
    <t>Rate Effective March 1, 2023</t>
  </si>
  <si>
    <t>Commodity Price Adjustment (CPA) Calculation</t>
  </si>
  <si>
    <t>Murrey's Disposal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</si>
</sst>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164" fontId="2" fillId="0" borderId="0" xfId="2" applyNumberFormat="1" applyFont="1"/>
    <xf numFmtId="0" fontId="3" fillId="0" borderId="0" xfId="1" applyFont="1" applyAlignment="1">
      <alignment horizontal="right"/>
    </xf>
    <xf numFmtId="10" fontId="2" fillId="0" borderId="0" xfId="3" applyNumberFormat="1" applyFont="1" applyFill="1"/>
    <xf numFmtId="44" fontId="2" fillId="0" borderId="0" xfId="2" applyFont="1" applyFill="1"/>
    <xf numFmtId="0" fontId="4" fillId="0" borderId="0" xfId="1" applyFont="1" applyAlignment="1">
      <alignment horizontal="left" wrapText="1"/>
    </xf>
    <xf numFmtId="44" fontId="3" fillId="0" borderId="1" xfId="2" applyFont="1" applyFill="1" applyBorder="1"/>
    <xf numFmtId="0" fontId="3" fillId="0" borderId="0" xfId="4" applyFont="1" applyAlignment="1">
      <alignment horizontal="right"/>
    </xf>
    <xf numFmtId="44" fontId="2" fillId="0" borderId="0" xfId="5" applyFont="1" applyFill="1" applyBorder="1"/>
    <xf numFmtId="164" fontId="2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right"/>
    </xf>
    <xf numFmtId="164" fontId="3" fillId="0" borderId="2" xfId="2" applyNumberFormat="1" applyFont="1" applyFill="1" applyBorder="1"/>
    <xf numFmtId="0" fontId="3" fillId="0" borderId="2" xfId="1" applyFont="1" applyBorder="1"/>
    <xf numFmtId="0" fontId="3" fillId="0" borderId="0" xfId="1" applyFont="1"/>
    <xf numFmtId="43" fontId="2" fillId="0" borderId="0" xfId="6" applyFont="1" applyFill="1"/>
    <xf numFmtId="4" fontId="2" fillId="0" borderId="0" xfId="6" applyNumberFormat="1" applyFont="1" applyFill="1"/>
    <xf numFmtId="165" fontId="3" fillId="0" borderId="0" xfId="6" applyNumberFormat="1" applyFont="1" applyFill="1"/>
    <xf numFmtId="165" fontId="2" fillId="0" borderId="0" xfId="6" applyNumberFormat="1" applyFont="1" applyFill="1" applyBorder="1" applyAlignment="1">
      <alignment horizontal="center"/>
    </xf>
    <xf numFmtId="7" fontId="2" fillId="0" borderId="0" xfId="1" applyNumberFormat="1" applyFont="1"/>
    <xf numFmtId="0" fontId="3" fillId="0" borderId="0" xfId="1" applyFont="1" applyAlignment="1">
      <alignment horizontal="left" vertical="top"/>
    </xf>
    <xf numFmtId="0" fontId="2" fillId="0" borderId="0" xfId="1" applyFont="1" applyAlignment="1">
      <alignment horizontal="center"/>
    </xf>
    <xf numFmtId="43" fontId="2" fillId="0" borderId="0" xfId="6" applyFont="1" applyFill="1" applyBorder="1" applyAlignment="1">
      <alignment horizontal="center"/>
    </xf>
    <xf numFmtId="17" fontId="3" fillId="0" borderId="0" xfId="1" applyNumberFormat="1" applyFont="1" applyAlignment="1">
      <alignment horizontal="center"/>
    </xf>
    <xf numFmtId="17" fontId="3" fillId="2" borderId="0" xfId="1" applyNumberFormat="1" applyFont="1" applyFill="1" applyAlignment="1">
      <alignment horizontal="center"/>
    </xf>
    <xf numFmtId="17" fontId="3" fillId="2" borderId="0" xfId="4" applyNumberFormat="1" applyFont="1" applyFill="1" applyAlignment="1">
      <alignment horizontal="center"/>
    </xf>
    <xf numFmtId="0" fontId="6" fillId="2" borderId="0" xfId="1" applyFont="1" applyFill="1" applyAlignment="1">
      <alignment horizontal="left"/>
    </xf>
    <xf numFmtId="43" fontId="2" fillId="0" borderId="0" xfId="1" applyNumberFormat="1" applyFont="1"/>
    <xf numFmtId="43" fontId="3" fillId="0" borderId="1" xfId="6" applyFont="1" applyFill="1" applyBorder="1"/>
    <xf numFmtId="0" fontId="3" fillId="0" borderId="0" xfId="1" applyFont="1" applyAlignment="1">
      <alignment horizontal="center"/>
    </xf>
    <xf numFmtId="165" fontId="2" fillId="0" borderId="0" xfId="6" applyNumberFormat="1" applyFont="1"/>
    <xf numFmtId="165" fontId="2" fillId="0" borderId="0" xfId="6" applyNumberFormat="1" applyFont="1" applyFill="1"/>
    <xf numFmtId="165" fontId="2" fillId="0" borderId="0" xfId="6" applyNumberFormat="1" applyFont="1" applyFill="1" applyBorder="1"/>
    <xf numFmtId="0" fontId="2" fillId="0" borderId="0" xfId="6" applyNumberFormat="1" applyFont="1"/>
    <xf numFmtId="165" fontId="2" fillId="0" borderId="0" xfId="6" applyNumberFormat="1" applyFont="1" applyFill="1" applyAlignment="1">
      <alignment horizontal="right"/>
    </xf>
    <xf numFmtId="43" fontId="2" fillId="0" borderId="0" xfId="6" applyFont="1" applyAlignment="1">
      <alignment horizontal="left"/>
    </xf>
    <xf numFmtId="7" fontId="2" fillId="0" borderId="0" xfId="6" applyNumberFormat="1" applyFont="1" applyFill="1" applyBorder="1" applyAlignment="1">
      <alignment horizontal="center"/>
    </xf>
    <xf numFmtId="7" fontId="2" fillId="0" borderId="0" xfId="2" applyNumberFormat="1" applyFont="1" applyFill="1" applyBorder="1" applyAlignment="1">
      <alignment horizontal="right"/>
    </xf>
    <xf numFmtId="0" fontId="2" fillId="0" borderId="3" xfId="1" applyFont="1" applyBorder="1" applyAlignment="1">
      <alignment horizontal="center"/>
    </xf>
    <xf numFmtId="17" fontId="3" fillId="0" borderId="3" xfId="1" applyNumberFormat="1" applyFont="1" applyBorder="1" applyAlignment="1">
      <alignment horizontal="center"/>
    </xf>
    <xf numFmtId="17" fontId="3" fillId="0" borderId="3" xfId="4" applyNumberFormat="1" applyFont="1" applyBorder="1" applyAlignment="1">
      <alignment horizontal="center"/>
    </xf>
    <xf numFmtId="0" fontId="2" fillId="0" borderId="3" xfId="1" applyFont="1" applyBorder="1" applyAlignment="1">
      <alignment horizontal="left"/>
    </xf>
    <xf numFmtId="43" fontId="2" fillId="0" borderId="0" xfId="6" applyFont="1" applyAlignment="1">
      <alignment horizontal="center"/>
    </xf>
    <xf numFmtId="0" fontId="3" fillId="0" borderId="0" xfId="1" applyFont="1" applyAlignment="1">
      <alignment horizontal="left"/>
    </xf>
  </cellXfs>
  <cellStyles count="7">
    <cellStyle name="Comma 2" xfId="6" xr:uid="{6FE285E8-A386-415B-ACB3-905C53FC8002}"/>
    <cellStyle name="Currency 12" xfId="5" xr:uid="{7AE74B3A-9E0B-4E1F-B472-46E1A60B005D}"/>
    <cellStyle name="Currency 2" xfId="2" xr:uid="{BA0103C3-2A69-4D93-BDD5-BBAED872BE1F}"/>
    <cellStyle name="Normal" xfId="0" builtinId="0"/>
    <cellStyle name="Normal_PCR 3-1-02" xfId="1" xr:uid="{2BCADA48-0703-4667-84A7-FC38B3B19756}"/>
    <cellStyle name="Normal_PCR 3-1-02 2" xfId="4" xr:uid="{E9A25690-EA65-442A-AB6E-12EB856507DD}"/>
    <cellStyle name="Percent 2" xfId="3" xr:uid="{DAC1F855-5FC2-423D-A7FF-B411F80F6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rrey's%20CPA%203-1-2023%20-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06%20County%20Suppor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05%20County%20Suppor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04%20County%20Suppor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03%20County%20Suppor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02%20County%20Suppor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01%20County%20Suppor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1\TacomaH\Support\Recycle%20Revenue%202021-12%20County%20Sup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WIP%20Files\WUTC%20Scorecard\2111-2131%20Murrey's-American\2022\TacomaH%20Price%20Out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WIP%20Files\WUTC%20Scorecard\2111-2131%20Murrey's-American\2021\TacomaH%20Price%20Out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ulifamily%20Proceeds%20reclass%202022-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11%20County%20Sup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10%20County%20Suppo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09%20County%20Suppor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08%20County%20Suppor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2000%20Western%20Region%20Office\WUTC\County%20Reporting\Pierce%20County\2022\TacomaH\Support\Recycle%20Revenue%202022-07%20County%20Su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 3-1-2022"/>
      <sheetName val="CPA 3-1-2021"/>
      <sheetName val="CPA 3-1-2020"/>
    </sheetNames>
    <sheetDataSet>
      <sheetData sheetId="0">
        <row r="15">
          <cell r="M15">
            <v>-1.9699542523951517</v>
          </cell>
        </row>
        <row r="20">
          <cell r="N20">
            <v>0.48438819050699961</v>
          </cell>
        </row>
        <row r="21">
          <cell r="N21">
            <v>-0.98561180949300042</v>
          </cell>
        </row>
        <row r="36">
          <cell r="M36">
            <v>-0.85602728905080272</v>
          </cell>
        </row>
        <row r="42">
          <cell r="N42">
            <v>0.19999649392118193</v>
          </cell>
        </row>
        <row r="43">
          <cell r="N43">
            <v>-0.49000350607881804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2.06"/>
      <sheetName val="Pioneer 2022.06"/>
      <sheetName val="JMK - Vashon 2022.06"/>
      <sheetName val="JMK - DM Disposal 2022.06"/>
      <sheetName val="JMK - DM Recycling 2022.06"/>
      <sheetName val="Greif2022.06"/>
      <sheetName val="IP 2022.06"/>
      <sheetName val="Sonoco 2022.06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D21">
            <v>1050.5078042248804</v>
          </cell>
          <cell r="F21">
            <v>-36988.379786758036</v>
          </cell>
        </row>
        <row r="22">
          <cell r="D22"/>
          <cell r="F22">
            <v>0</v>
          </cell>
        </row>
        <row r="23">
          <cell r="D23">
            <v>0</v>
          </cell>
          <cell r="F23">
            <v>0</v>
          </cell>
        </row>
        <row r="24">
          <cell r="D24"/>
          <cell r="F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2.05"/>
      <sheetName val="Pioneer 2022.05"/>
      <sheetName val="JMK - Vashon 2022.05"/>
      <sheetName val="JMK - DM Disposal 2022.05"/>
      <sheetName val="JMK - DM Recycling 2022.05"/>
      <sheetName val="Greif2022.05"/>
      <sheetName val="IP 2022.05"/>
      <sheetName val="Sonoco 2022.05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D21">
            <v>1192.9355279732367</v>
          </cell>
          <cell r="F21">
            <v>-34165.673521153498</v>
          </cell>
        </row>
        <row r="22">
          <cell r="D22"/>
          <cell r="F22">
            <v>0</v>
          </cell>
        </row>
        <row r="23">
          <cell r="D23">
            <v>0</v>
          </cell>
          <cell r="F23">
            <v>0</v>
          </cell>
        </row>
        <row r="24">
          <cell r="D24"/>
          <cell r="F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2.04"/>
      <sheetName val="Pioneer 2022.04"/>
      <sheetName val="JMK - Vashon 2022.04"/>
      <sheetName val="JMK - DM Disposal 2022.04"/>
      <sheetName val="JMK - DM Recycling 2022.04"/>
      <sheetName val="Greif2022.04"/>
      <sheetName val="IP 2022.04"/>
      <sheetName val="Sonoco 2022.04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D21">
            <v>1144.9765797209491</v>
          </cell>
          <cell r="F21">
            <v>-28796.160979981873</v>
          </cell>
        </row>
        <row r="22">
          <cell r="D22"/>
          <cell r="F22">
            <v>0</v>
          </cell>
        </row>
        <row r="23">
          <cell r="D23">
            <v>0</v>
          </cell>
          <cell r="F23">
            <v>0</v>
          </cell>
        </row>
        <row r="24">
          <cell r="D24"/>
          <cell r="F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2.03"/>
      <sheetName val="Pioneer 2022.03"/>
      <sheetName val="JMK - Vashon 2022.03"/>
      <sheetName val="JMK - DM Disposal 2022.03"/>
      <sheetName val="JMK - DM Recycling 2022.03"/>
      <sheetName val="Greif2022.03"/>
      <sheetName val="IP 2022.03"/>
      <sheetName val="Sonoco 2022.03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D21">
            <v>1070.1599999999999</v>
          </cell>
          <cell r="F21">
            <v>-31184.462399999997</v>
          </cell>
        </row>
        <row r="22">
          <cell r="D22"/>
          <cell r="F22">
            <v>0</v>
          </cell>
        </row>
        <row r="23">
          <cell r="D23">
            <v>82.998744127728514</v>
          </cell>
          <cell r="F23">
            <v>-1311.3801572181105</v>
          </cell>
        </row>
        <row r="24">
          <cell r="D24"/>
          <cell r="F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11800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2.02"/>
      <sheetName val="Pioneer 2022.02"/>
      <sheetName val="JMK - Vashon 2022.02"/>
      <sheetName val="JMK - DM Disposal 2022.02"/>
      <sheetName val="JMK - DM Recycling 2022.02"/>
      <sheetName val="Greif2022.02"/>
      <sheetName val="IP 2022.02"/>
      <sheetName val="Sonoco 2022.02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D21">
            <v>814.30000000000018</v>
          </cell>
          <cell r="F21">
            <v>-33842.308000000012</v>
          </cell>
        </row>
        <row r="22">
          <cell r="D22"/>
          <cell r="F22">
            <v>0</v>
          </cell>
        </row>
        <row r="23">
          <cell r="D23">
            <v>269.52933683845936</v>
          </cell>
          <cell r="F23">
            <v>-5714.0219409753381</v>
          </cell>
        </row>
        <row r="24">
          <cell r="D24"/>
          <cell r="F2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2.01"/>
      <sheetName val="Pioneer 2022.01"/>
      <sheetName val="JMK - Vashon 2022.01"/>
      <sheetName val="JMK - DM Disposal 2022.01"/>
      <sheetName val="JMK - DM Recycling 2022.01"/>
      <sheetName val="Greif2022.01"/>
      <sheetName val="IP 2022.01"/>
      <sheetName val="Sonoco 2022.01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D21">
            <v>1249.8863121684301</v>
          </cell>
          <cell r="F21">
            <v>-50682.889958429849</v>
          </cell>
        </row>
        <row r="22">
          <cell r="F22">
            <v>0</v>
          </cell>
        </row>
        <row r="23">
          <cell r="D23">
            <v>0</v>
          </cell>
          <cell r="F23">
            <v>0</v>
          </cell>
        </row>
        <row r="24">
          <cell r="F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1.12"/>
      <sheetName val="Pioneer 2021.12"/>
      <sheetName val="JMK - Vashon 2021.12"/>
      <sheetName val="JMK - DM Disposal 2021.12"/>
      <sheetName val="JMK - DM Recycling 2021.12"/>
      <sheetName val="Greif2021.12"/>
      <sheetName val="IP 2021.12"/>
      <sheetName val="Sonoco 2021.12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D21">
            <v>955.8399999999998</v>
          </cell>
          <cell r="F21">
            <v>-26486.326399999994</v>
          </cell>
        </row>
        <row r="22">
          <cell r="F22">
            <v>0</v>
          </cell>
        </row>
        <row r="23">
          <cell r="D23">
            <v>106.45608742659704</v>
          </cell>
          <cell r="F23">
            <v>-1107.1433092366092</v>
          </cell>
        </row>
        <row r="24">
          <cell r="F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1.Epicor"/>
      <sheetName val="Epicor"/>
      <sheetName val="2111_IS210"/>
      <sheetName val="2132_IS210"/>
      <sheetName val="2140_IS210"/>
      <sheetName val="Revenue"/>
      <sheetName val="Customers"/>
      <sheetName val="Murrey's American G-9 Reg."/>
      <sheetName val="BonneyLake"/>
      <sheetName val="Buckley"/>
      <sheetName val="CARBONADO"/>
      <sheetName val="Milton"/>
      <sheetName val="Orting"/>
      <sheetName val="DM-PIER"/>
      <sheetName val="Puyallup"/>
      <sheetName val="SOUTH PRAIRIE"/>
      <sheetName val="SUMNER"/>
      <sheetName val="RUSTON"/>
      <sheetName val="Vashon"/>
      <sheetName val="MM001 Data"/>
      <sheetName val="PI default pricing 7.1.18"/>
      <sheetName val="PI Default Pricing 1.1.19"/>
      <sheetName val="PI default Pricing 3.1.19"/>
      <sheetName val="b cycle Ref"/>
      <sheetName val="Sheet2"/>
      <sheetName val="PI Default Pricing 3.1.21"/>
      <sheetName val="PI Default Pricing 3.1.22"/>
      <sheetName val="Carb Cust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8">
          <cell r="T78">
            <v>62958.400531816325</v>
          </cell>
          <cell r="U78">
            <v>62941.130805958208</v>
          </cell>
          <cell r="V78">
            <v>63094.932778624883</v>
          </cell>
          <cell r="W78">
            <v>63443.372593569715</v>
          </cell>
          <cell r="X78">
            <v>63710.781582845739</v>
          </cell>
          <cell r="Y78">
            <v>64138.853016555637</v>
          </cell>
          <cell r="Z78">
            <v>64174.249031133782</v>
          </cell>
          <cell r="AA78">
            <v>64438.526796588674</v>
          </cell>
          <cell r="AB78">
            <v>64550.906938956963</v>
          </cell>
          <cell r="AC78">
            <v>64701.609205269175</v>
          </cell>
          <cell r="AD78">
            <v>64804.947403278791</v>
          </cell>
        </row>
        <row r="295">
          <cell r="AO295">
            <v>8913.3295036715972</v>
          </cell>
          <cell r="AP295">
            <v>9230.7472230020121</v>
          </cell>
          <cell r="AQ295">
            <v>9333.672336494652</v>
          </cell>
          <cell r="AR295">
            <v>9426.316122811495</v>
          </cell>
          <cell r="AS295">
            <v>9493.4896538569592</v>
          </cell>
          <cell r="AT295">
            <v>9519.0304316230358</v>
          </cell>
          <cell r="AU295">
            <v>9500.7013292839874</v>
          </cell>
          <cell r="AV295">
            <v>9534.206897142205</v>
          </cell>
          <cell r="AW295">
            <v>9515.1756315134862</v>
          </cell>
          <cell r="AX295">
            <v>9326.2617119353108</v>
          </cell>
          <cell r="AY295">
            <v>9432.1367403371296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1.Epicor"/>
      <sheetName val="Epicor"/>
      <sheetName val="2111_IS210"/>
      <sheetName val="2132_IS210"/>
      <sheetName val="2140_IS210"/>
      <sheetName val="Revenue"/>
      <sheetName val="Customers"/>
      <sheetName val="Murrey's American G-9 Reg."/>
      <sheetName val="DM-BL"/>
      <sheetName val="DM-BUCK"/>
      <sheetName val="DM-CAR"/>
      <sheetName val="DM-MIL"/>
      <sheetName val="DM-ORT"/>
      <sheetName val="DM-PIER"/>
      <sheetName val="DM-PUY"/>
      <sheetName val="DM-SP"/>
      <sheetName val="DM-SUM"/>
      <sheetName val="RUSTON"/>
      <sheetName val="Vashon"/>
      <sheetName val="MM001 Data"/>
      <sheetName val="PI default pricing 7.1.18"/>
      <sheetName val="PI Default Pricing 1.1.19"/>
      <sheetName val="PI default Pricing 3.1.19"/>
      <sheetName val="PI Default Pricing 3.1.20"/>
      <sheetName val="Sheet2"/>
      <sheetName val="PI Default Pricing 3.1.21"/>
      <sheetName val="PI Default Pricing 8.1.21"/>
      <sheetName val="Default Pricing 9.1.21"/>
      <sheetName val="2160 Pivot"/>
      <sheetName val="Manual Revenue"/>
      <sheetName val="Buckley Cust"/>
      <sheetName val="Carb Cust"/>
      <sheetName val="SP Cust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8">
          <cell r="AE78">
            <v>62958.683373760956</v>
          </cell>
        </row>
        <row r="300">
          <cell r="AZ300">
            <v>8932.1104889807939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1"/>
      <sheetName val="Multi Family true up"/>
      <sheetName val="Pioneer"/>
    </sheetNames>
    <sheetDataSet>
      <sheetData sheetId="0" refreshError="1"/>
      <sheetData sheetId="1">
        <row r="7">
          <cell r="Z7">
            <v>72.38</v>
          </cell>
          <cell r="AX7">
            <v>75.669999999999987</v>
          </cell>
          <cell r="AY7">
            <v>69.089999999999989</v>
          </cell>
          <cell r="AZ7">
            <v>65.8</v>
          </cell>
          <cell r="BA7">
            <v>75.67</v>
          </cell>
          <cell r="BB7">
            <v>69.09</v>
          </cell>
          <cell r="BC7">
            <v>72.38</v>
          </cell>
          <cell r="BD7">
            <v>72.38</v>
          </cell>
          <cell r="BE7">
            <v>69.089999999999989</v>
          </cell>
          <cell r="BF7">
            <v>75.669999999999987</v>
          </cell>
          <cell r="BG7">
            <v>72.38</v>
          </cell>
          <cell r="BH7">
            <v>69.089999999999989</v>
          </cell>
          <cell r="BI7">
            <v>72.38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Interject_LastPulledValues"/>
      <sheetName val="Pioneer Reconciliation"/>
      <sheetName val="County Reporting"/>
      <sheetName val="JMK Commingle Breakdown"/>
      <sheetName val="Volume Reconciliation"/>
      <sheetName val="Commodity Pricing and Volumes"/>
      <sheetName val="Fife TSF 2022.11"/>
      <sheetName val="Pioneer 2022.11"/>
      <sheetName val="JMK - Vashon 2022.11"/>
      <sheetName val="JMK - DM Disposal 2022.11"/>
      <sheetName val="JMK - DM Recycling 2022.11"/>
      <sheetName val="Greif 2022.11"/>
      <sheetName val="IP 2022.11"/>
      <sheetName val="Sonoco 2022.11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D21">
            <v>1120.7627927480867</v>
          </cell>
          <cell r="F21">
            <v>-131577.55186862539</v>
          </cell>
        </row>
        <row r="22">
          <cell r="D22"/>
          <cell r="F22">
            <v>0</v>
          </cell>
        </row>
        <row r="23">
          <cell r="D23">
            <v>0</v>
          </cell>
          <cell r="F23">
            <v>0</v>
          </cell>
        </row>
        <row r="24">
          <cell r="D24"/>
          <cell r="F2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2.09"/>
      <sheetName val="Pioneer 2022.10"/>
      <sheetName val="JMK - Vashon 2022.10"/>
      <sheetName val="JMK - DM Disposal 2022.10"/>
      <sheetName val="JMK - DM Recycling 2022.10"/>
      <sheetName val="Greif2022.10"/>
      <sheetName val="IP 2022.10"/>
      <sheetName val="Sonoco 2022.10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D21">
            <v>1060.863605256485</v>
          </cell>
          <cell r="F21">
            <v>-152796.18506509153</v>
          </cell>
        </row>
        <row r="22">
          <cell r="F22">
            <v>0</v>
          </cell>
        </row>
        <row r="23">
          <cell r="D23">
            <v>0</v>
          </cell>
          <cell r="F23">
            <v>0</v>
          </cell>
        </row>
        <row r="24">
          <cell r="F2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2.09"/>
      <sheetName val="Pioneer 2022.09"/>
      <sheetName val="JMK - Vashon 2022.09"/>
      <sheetName val="JMK - DM Disposal 2022.09"/>
      <sheetName val="JMK - DM Recycling 2022.09"/>
      <sheetName val="Greif2022.09"/>
      <sheetName val="IP 2022.09"/>
      <sheetName val="Sonoco 2022.09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D21">
            <v>1154.3225154756037</v>
          </cell>
          <cell r="F21">
            <v>-133566.65826568211</v>
          </cell>
        </row>
        <row r="22">
          <cell r="D22"/>
          <cell r="F22">
            <v>0</v>
          </cell>
        </row>
        <row r="23">
          <cell r="D23">
            <v>0</v>
          </cell>
          <cell r="F23">
            <v>0</v>
          </cell>
        </row>
        <row r="24">
          <cell r="D24"/>
          <cell r="F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2.08"/>
      <sheetName val="Pioneer 2022.08"/>
      <sheetName val="JMK - Vashon 2022.08"/>
      <sheetName val="JMK - DM Disposal 2022.08"/>
      <sheetName val="JMK - DM Recycling 2022.08"/>
      <sheetName val="Greif2022.08"/>
      <sheetName val="IP 2022.08"/>
      <sheetName val="Sonoco 2022.08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D21">
            <v>1288.0045378781645</v>
          </cell>
          <cell r="F21">
            <v>-83965.015824277536</v>
          </cell>
        </row>
        <row r="22">
          <cell r="D22"/>
          <cell r="F22">
            <v>0</v>
          </cell>
        </row>
        <row r="23">
          <cell r="D23">
            <v>0</v>
          </cell>
          <cell r="F23">
            <v>0</v>
          </cell>
        </row>
        <row r="24">
          <cell r="D24"/>
          <cell r="F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"/>
      <sheetName val="Rev10 - Reversing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Fife TSF 2022.07"/>
      <sheetName val="Pioneer 2022.07"/>
      <sheetName val="JMK - Vashon 2022.07"/>
      <sheetName val="JMK - DM Disposal 2022.07"/>
      <sheetName val="JMK - DM Recycling 2022.07"/>
      <sheetName val="Greif2022.07"/>
      <sheetName val="IP 2022.07"/>
      <sheetName val="Sonoco 2022.07"/>
      <sheetName val="Stat Reporting"/>
      <sheetName val="Route Mapping updated5.2.2018"/>
      <sheetName val="Cheat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D21">
            <v>1083.296402438569</v>
          </cell>
          <cell r="F21">
            <v>-54034.824553635823</v>
          </cell>
        </row>
        <row r="22">
          <cell r="D22"/>
          <cell r="F22">
            <v>0</v>
          </cell>
        </row>
        <row r="23">
          <cell r="D23">
            <v>0</v>
          </cell>
          <cell r="F23">
            <v>0</v>
          </cell>
        </row>
        <row r="24">
          <cell r="D24"/>
          <cell r="F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D118-A768-4346-95EB-72EED7718AD8}">
  <sheetPr>
    <tabColor theme="6" tint="0.59999389629810485"/>
    <pageSetUpPr fitToPage="1"/>
  </sheetPr>
  <dimension ref="A1:AA64"/>
  <sheetViews>
    <sheetView showGridLines="0" tabSelected="1" zoomScale="115" zoomScaleNormal="115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10" sqref="C10"/>
    </sheetView>
  </sheetViews>
  <sheetFormatPr defaultRowHeight="12" x14ac:dyDescent="0.2"/>
  <cols>
    <col min="1" max="1" width="35.140625" style="1" customWidth="1"/>
    <col min="2" max="2" width="10.7109375" style="1" bestFit="1" customWidth="1"/>
    <col min="3" max="11" width="10.140625" style="1" bestFit="1" customWidth="1"/>
    <col min="12" max="12" width="11.7109375" style="1" customWidth="1"/>
    <col min="13" max="13" width="11.5703125" style="1" customWidth="1"/>
    <col min="14" max="14" width="15.140625" style="1" customWidth="1"/>
    <col min="15" max="15" width="11.5703125" style="1" customWidth="1"/>
    <col min="16" max="16" width="1.7109375" style="1" customWidth="1"/>
    <col min="17" max="17" width="1.85546875" style="1" customWidth="1"/>
    <col min="18" max="18" width="18.85546875" style="1" bestFit="1" customWidth="1"/>
    <col min="19" max="19" width="13.28515625" style="1" customWidth="1"/>
    <col min="20" max="20" width="12.5703125" style="1" bestFit="1" customWidth="1"/>
    <col min="21" max="21" width="12.5703125" style="1" customWidth="1"/>
    <col min="22" max="22" width="2.28515625" style="1" customWidth="1"/>
    <col min="23" max="23" width="11.85546875" style="1" bestFit="1" customWidth="1"/>
    <col min="24" max="24" width="11.28515625" style="1" customWidth="1"/>
    <col min="25" max="16384" width="9.140625" style="1"/>
  </cols>
  <sheetData>
    <row r="1" spans="1:27" x14ac:dyDescent="0.2">
      <c r="A1" s="15" t="s">
        <v>21</v>
      </c>
    </row>
    <row r="2" spans="1:27" x14ac:dyDescent="0.2">
      <c r="A2" s="15" t="s">
        <v>20</v>
      </c>
    </row>
    <row r="3" spans="1:27" s="22" customFormat="1" x14ac:dyDescent="0.2">
      <c r="A3" s="44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43"/>
      <c r="W3" s="43"/>
    </row>
    <row r="4" spans="1:27" s="22" customFormat="1" x14ac:dyDescent="0.2">
      <c r="A4" s="44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1"/>
      <c r="P4" s="1"/>
      <c r="Q4" s="1"/>
      <c r="R4" s="1"/>
      <c r="S4" s="1"/>
      <c r="T4" s="1"/>
      <c r="U4" s="1"/>
      <c r="V4" s="43"/>
      <c r="W4" s="43"/>
    </row>
    <row r="5" spans="1:27" s="39" customFormat="1" x14ac:dyDescent="0.2">
      <c r="A5" s="42"/>
      <c r="B5" s="41">
        <v>44531</v>
      </c>
      <c r="C5" s="41">
        <v>44562</v>
      </c>
      <c r="D5" s="41">
        <v>44593</v>
      </c>
      <c r="E5" s="41">
        <v>44621</v>
      </c>
      <c r="F5" s="41">
        <v>44652</v>
      </c>
      <c r="G5" s="41">
        <v>44682</v>
      </c>
      <c r="H5" s="41">
        <v>44713</v>
      </c>
      <c r="I5" s="41">
        <v>44743</v>
      </c>
      <c r="J5" s="41">
        <v>44774</v>
      </c>
      <c r="K5" s="41">
        <v>44805</v>
      </c>
      <c r="L5" s="41">
        <v>44835</v>
      </c>
      <c r="M5" s="41">
        <v>44866</v>
      </c>
      <c r="N5" s="40" t="s">
        <v>18</v>
      </c>
      <c r="O5" s="30"/>
      <c r="P5" s="30"/>
      <c r="Q5" s="30"/>
      <c r="R5" s="30"/>
      <c r="S5" s="30"/>
      <c r="T5" s="30"/>
      <c r="U5" s="30"/>
    </row>
    <row r="6" spans="1:27" s="22" customFormat="1" ht="12.75" x14ac:dyDescent="0.2">
      <c r="A6" s="27" t="s">
        <v>17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5"/>
      <c r="O6" s="1"/>
      <c r="P6" s="1"/>
      <c r="Q6" s="1"/>
      <c r="R6" s="1"/>
      <c r="S6" s="1"/>
      <c r="T6" s="1"/>
      <c r="U6" s="1"/>
    </row>
    <row r="7" spans="1:27" s="22" customFormat="1" x14ac:dyDescent="0.2">
      <c r="A7" s="21" t="s">
        <v>13</v>
      </c>
      <c r="B7" s="19">
        <f>+SUM('[16]Volume Reconciliation'!$D$21:$D$24)</f>
        <v>1062.2960874265968</v>
      </c>
      <c r="C7" s="19">
        <f>+SUM('[15]Volume Reconciliation'!$D$21:$D$24)</f>
        <v>1249.8863121684301</v>
      </c>
      <c r="D7" s="19">
        <f>+SUM('[14]Volume Reconciliation'!$D$21:$D$24)</f>
        <v>1083.8293368384595</v>
      </c>
      <c r="E7" s="19">
        <f>+SUM('[13]Volume Reconciliation'!$D$21:$D$24)</f>
        <v>1153.1587441277284</v>
      </c>
      <c r="F7" s="19">
        <f>+SUM('[12]Volume Reconciliation'!$D$21:$D$24)</f>
        <v>1144.9765797209491</v>
      </c>
      <c r="G7" s="19">
        <f>+SUM('[11]Volume Reconciliation'!$D$21:$D$24)</f>
        <v>1192.9355279732367</v>
      </c>
      <c r="H7" s="19">
        <f>+SUM('[10]Volume Reconciliation'!$D$21:$D$24)</f>
        <v>1050.5078042248804</v>
      </c>
      <c r="I7" s="19">
        <f>+SUM('[9]Volume Reconciliation'!$D$21:$D$24)</f>
        <v>1083.296402438569</v>
      </c>
      <c r="J7" s="19">
        <f>+SUM('[8]Volume Reconciliation'!$D$21:$D$24)</f>
        <v>1288.0045378781645</v>
      </c>
      <c r="K7" s="19">
        <f>+SUM('[7]Volume Reconciliation'!$D$21:$D$24)</f>
        <v>1154.3225154756037</v>
      </c>
      <c r="L7" s="19">
        <f>+SUM('[6]Volume Reconciliation'!$D$21:$D$24)</f>
        <v>1060.863605256485</v>
      </c>
      <c r="M7" s="19">
        <f>+SUM('[5]Volume Reconciliation'!$D$21:$D$24)</f>
        <v>1120.7627927480867</v>
      </c>
      <c r="N7" s="19"/>
      <c r="O7" s="30"/>
      <c r="P7" s="30"/>
      <c r="Q7" s="30"/>
      <c r="R7" s="30"/>
      <c r="S7" s="30"/>
      <c r="T7" s="30"/>
      <c r="U7" s="30"/>
    </row>
    <row r="8" spans="1:27" s="22" customFormat="1" x14ac:dyDescent="0.2">
      <c r="A8" s="21" t="s">
        <v>16</v>
      </c>
      <c r="B8" s="38">
        <f>+SUM('[16]Volume Reconciliation'!$F$21:$F$24)/B7</f>
        <v>-25.975309554308485</v>
      </c>
      <c r="C8" s="38">
        <f>+SUM('[15]Volume Reconciliation'!$F$21:$F$24)/C7</f>
        <v>-40.550000000000004</v>
      </c>
      <c r="D8" s="38">
        <f>+SUM('[14]Volume Reconciliation'!$F$21:$F$24)/D7</f>
        <v>-36.496825280963094</v>
      </c>
      <c r="E8" s="38">
        <f>+SUM('[13]Volume Reconciliation'!$F$21:$F$24)/E7</f>
        <v>-28.17985183973833</v>
      </c>
      <c r="F8" s="38">
        <f>+SUM('[12]Volume Reconciliation'!$F$21:$F$24)/F7</f>
        <v>-25.150000000000002</v>
      </c>
      <c r="G8" s="38">
        <f>+SUM('[11]Volume Reconciliation'!$F$21:$F$24)/G7</f>
        <v>-28.639999999999997</v>
      </c>
      <c r="H8" s="38">
        <f>+SUM('[10]Volume Reconciliation'!$F$21:$F$24)/H7</f>
        <v>-35.21</v>
      </c>
      <c r="I8" s="38">
        <f>+SUM('[9]Volume Reconciliation'!$F$21:$F$24)/I7</f>
        <v>-49.88</v>
      </c>
      <c r="J8" s="38">
        <f>+SUM('[8]Volume Reconciliation'!$F$21:$F$24)/J7</f>
        <v>-65.19</v>
      </c>
      <c r="K8" s="38">
        <f>+SUM('[7]Volume Reconciliation'!$F$21:$F$24)/K7</f>
        <v>-115.71000000000001</v>
      </c>
      <c r="L8" s="38">
        <f>+SUM('[6]Volume Reconciliation'!$F$21:$F$24)/L7</f>
        <v>-144.03</v>
      </c>
      <c r="M8" s="38">
        <f>+SUM('[5]Volume Reconciliation'!$F$21:$F$24)/M7</f>
        <v>-117.40000000000002</v>
      </c>
      <c r="N8" s="37"/>
      <c r="O8" s="1"/>
      <c r="P8" s="1"/>
      <c r="Q8" s="1"/>
      <c r="R8" s="1"/>
      <c r="S8" s="1"/>
      <c r="T8" s="1"/>
      <c r="U8" s="1"/>
    </row>
    <row r="9" spans="1:27" x14ac:dyDescent="0.2">
      <c r="A9" s="3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30"/>
      <c r="P9" s="30"/>
      <c r="Q9" s="30"/>
      <c r="R9" s="30"/>
      <c r="S9" s="30"/>
      <c r="T9" s="30"/>
      <c r="U9" s="30"/>
    </row>
    <row r="10" spans="1:27" s="15" customFormat="1" x14ac:dyDescent="0.2">
      <c r="A10" s="14" t="s">
        <v>11</v>
      </c>
      <c r="B10" s="13">
        <f>B7*B8</f>
        <v>-27593.4697092366</v>
      </c>
      <c r="C10" s="13">
        <f>C7*C8</f>
        <v>-50682.889958429849</v>
      </c>
      <c r="D10" s="13">
        <f>D7*D8</f>
        <v>-39556.329940975353</v>
      </c>
      <c r="E10" s="13">
        <f>E7*E8</f>
        <v>-32495.842557218108</v>
      </c>
      <c r="F10" s="13">
        <f>F7*F8</f>
        <v>-28796.160979981873</v>
      </c>
      <c r="G10" s="13">
        <f>G7*G8</f>
        <v>-34165.673521153498</v>
      </c>
      <c r="H10" s="13">
        <f>H7*H8</f>
        <v>-36988.379786758036</v>
      </c>
      <c r="I10" s="13">
        <f>I7*I8</f>
        <v>-54034.824553635823</v>
      </c>
      <c r="J10" s="13">
        <f>J7*J8</f>
        <v>-83965.015824277536</v>
      </c>
      <c r="K10" s="13">
        <f>K7*K8</f>
        <v>-133566.65826568211</v>
      </c>
      <c r="L10" s="13">
        <f>L7*L8</f>
        <v>-152796.18506509153</v>
      </c>
      <c r="M10" s="13">
        <f>M7*M8</f>
        <v>-131577.55186862539</v>
      </c>
      <c r="N10" s="13">
        <f>SUM(B10:M10)</f>
        <v>-806218.98203106574</v>
      </c>
      <c r="O10" s="1"/>
      <c r="P10" s="1"/>
      <c r="Q10" s="1"/>
      <c r="R10" s="1"/>
      <c r="S10" s="1"/>
      <c r="T10" s="1"/>
      <c r="U10" s="1"/>
    </row>
    <row r="11" spans="1:27" x14ac:dyDescent="0.2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35"/>
      <c r="N11" s="16"/>
      <c r="O11" s="30"/>
      <c r="P11" s="30"/>
      <c r="Q11" s="30"/>
      <c r="R11" s="30"/>
      <c r="S11" s="30"/>
      <c r="T11" s="30"/>
      <c r="U11" s="30"/>
    </row>
    <row r="12" spans="1:27" x14ac:dyDescent="0.2">
      <c r="A12" s="15" t="s">
        <v>15</v>
      </c>
      <c r="B12" s="18">
        <f>+'[3]Murrey''s American G-9 Reg.'!$AE$78</f>
        <v>62958.683373760956</v>
      </c>
      <c r="C12" s="18">
        <f>+'[2]Murrey''s American G-9 Reg.'!T$78</f>
        <v>62958.400531816325</v>
      </c>
      <c r="D12" s="18">
        <f>+'[2]Murrey''s American G-9 Reg.'!U$78</f>
        <v>62941.130805958208</v>
      </c>
      <c r="E12" s="18">
        <f>+'[2]Murrey''s American G-9 Reg.'!V$78</f>
        <v>63094.932778624883</v>
      </c>
      <c r="F12" s="18">
        <f>+'[2]Murrey''s American G-9 Reg.'!W$78</f>
        <v>63443.372593569715</v>
      </c>
      <c r="G12" s="18">
        <f>+'[2]Murrey''s American G-9 Reg.'!X$78</f>
        <v>63710.781582845739</v>
      </c>
      <c r="H12" s="18">
        <f>+'[2]Murrey''s American G-9 Reg.'!Y$78</f>
        <v>64138.853016555637</v>
      </c>
      <c r="I12" s="18">
        <f>+'[2]Murrey''s American G-9 Reg.'!Z$78</f>
        <v>64174.249031133782</v>
      </c>
      <c r="J12" s="18">
        <f>+'[2]Murrey''s American G-9 Reg.'!AA$78</f>
        <v>64438.526796588674</v>
      </c>
      <c r="K12" s="18">
        <f>+'[2]Murrey''s American G-9 Reg.'!AB$78</f>
        <v>64550.906938956963</v>
      </c>
      <c r="L12" s="18">
        <f>+'[2]Murrey''s American G-9 Reg.'!AC$78</f>
        <v>64701.609205269175</v>
      </c>
      <c r="M12" s="18">
        <f>+'[2]Murrey''s American G-9 Reg.'!AD$78</f>
        <v>64804.947403278791</v>
      </c>
      <c r="N12" s="18">
        <f>SUM(B12:M12)</f>
        <v>765916.39405835874</v>
      </c>
    </row>
    <row r="13" spans="1:27" s="31" customFormat="1" x14ac:dyDescent="0.2">
      <c r="A13" s="34"/>
      <c r="B13" s="16"/>
      <c r="C13" s="16"/>
      <c r="D13" s="16"/>
      <c r="E13" s="16"/>
      <c r="F13" s="32"/>
      <c r="G13" s="32"/>
      <c r="H13" s="32"/>
      <c r="I13" s="32"/>
      <c r="J13" s="32"/>
      <c r="K13" s="32"/>
      <c r="L13" s="32"/>
      <c r="M13" s="32"/>
      <c r="N13" s="17"/>
      <c r="O13" s="30"/>
      <c r="P13" s="30"/>
      <c r="Q13" s="30"/>
      <c r="R13" s="30"/>
      <c r="S13" s="30"/>
      <c r="T13" s="30"/>
      <c r="U13" s="30"/>
      <c r="V13" s="33"/>
      <c r="W13" s="33"/>
      <c r="X13" s="33"/>
      <c r="Y13" s="32"/>
      <c r="Z13" s="32"/>
      <c r="AA13" s="32"/>
    </row>
    <row r="14" spans="1:27" x14ac:dyDescent="0.2">
      <c r="A14" s="15" t="s">
        <v>9</v>
      </c>
      <c r="B14" s="5">
        <f>B10/B12</f>
        <v>-0.43827901459477825</v>
      </c>
      <c r="C14" s="5">
        <f>C10/C12</f>
        <v>-0.80502188000816521</v>
      </c>
      <c r="D14" s="5">
        <f>D10/D12</f>
        <v>-0.62846551109677273</v>
      </c>
      <c r="E14" s="5">
        <f>E10/E12</f>
        <v>-0.51503094030123053</v>
      </c>
      <c r="F14" s="5">
        <f>F10/F12</f>
        <v>-0.45388761351726281</v>
      </c>
      <c r="G14" s="5">
        <f>G10/G12</f>
        <v>-0.53626203716754717</v>
      </c>
      <c r="H14" s="5">
        <f>H10/H12</f>
        <v>-0.576692255117355</v>
      </c>
      <c r="I14" s="5">
        <f>I10/I12</f>
        <v>-0.84200166530068976</v>
      </c>
      <c r="J14" s="5">
        <f>J10/J12</f>
        <v>-1.30302506898284</v>
      </c>
      <c r="K14" s="5">
        <f>K10/K12</f>
        <v>-2.0691678025839422</v>
      </c>
      <c r="L14" s="5">
        <f>L10/L12</f>
        <v>-2.3615515431824545</v>
      </c>
      <c r="M14" s="5">
        <f>M10/M12</f>
        <v>-2.0303627599575562</v>
      </c>
    </row>
    <row r="15" spans="1:27" x14ac:dyDescent="0.2">
      <c r="A15" s="15" t="s">
        <v>8</v>
      </c>
      <c r="B15" s="16">
        <f>+'[1]CPA 3-1-2022'!M15</f>
        <v>-1.9699542523951517</v>
      </c>
      <c r="C15" s="16">
        <f>+B15</f>
        <v>-1.9699542523951517</v>
      </c>
      <c r="D15" s="16">
        <f>+C15</f>
        <v>-1.9699542523951517</v>
      </c>
      <c r="E15" s="16">
        <f>-'[1]CPA 3-1-2022'!N20</f>
        <v>-0.48438819050699961</v>
      </c>
      <c r="F15" s="16">
        <f>+E15</f>
        <v>-0.48438819050699961</v>
      </c>
      <c r="G15" s="16">
        <f>+F15</f>
        <v>-0.48438819050699961</v>
      </c>
      <c r="H15" s="16">
        <f>+G15</f>
        <v>-0.48438819050699961</v>
      </c>
      <c r="I15" s="16">
        <f>+H15</f>
        <v>-0.48438819050699961</v>
      </c>
      <c r="J15" s="16">
        <f>+I15</f>
        <v>-0.48438819050699961</v>
      </c>
      <c r="K15" s="16">
        <f>+J15</f>
        <v>-0.48438819050699961</v>
      </c>
      <c r="L15" s="16">
        <f>+K15</f>
        <v>-0.48438819050699961</v>
      </c>
      <c r="M15" s="16">
        <f>+L15</f>
        <v>-0.48438819050699961</v>
      </c>
      <c r="O15" s="30"/>
      <c r="P15" s="30"/>
      <c r="Q15" s="30"/>
      <c r="R15" s="30"/>
      <c r="S15" s="30"/>
      <c r="T15" s="30"/>
      <c r="U15" s="30"/>
    </row>
    <row r="16" spans="1:27" x14ac:dyDescent="0.2">
      <c r="A16" s="15" t="s">
        <v>7</v>
      </c>
      <c r="B16" s="11">
        <f>B12*B15</f>
        <v>-124025.72603734033</v>
      </c>
      <c r="C16" s="11">
        <f>C12*C15</f>
        <v>-124025.16885164875</v>
      </c>
      <c r="D16" s="11">
        <f>D12*D15</f>
        <v>-123991.14828175685</v>
      </c>
      <c r="E16" s="11">
        <f>E12*E15</f>
        <v>-30562.440318798883</v>
      </c>
      <c r="F16" s="11">
        <f>F12*F15</f>
        <v>-30731.220450260604</v>
      </c>
      <c r="G16" s="11">
        <f>G12*G15</f>
        <v>-30860.750206701323</v>
      </c>
      <c r="H16" s="11">
        <f>H12*H15</f>
        <v>-31068.102953883797</v>
      </c>
      <c r="I16" s="11">
        <f>I12*I15</f>
        <v>-31085.248365336465</v>
      </c>
      <c r="J16" s="11">
        <f>J12*J15</f>
        <v>-31213.261393936395</v>
      </c>
      <c r="K16" s="11">
        <f>K12*K15</f>
        <v>-31267.697007747087</v>
      </c>
      <c r="L16" s="11">
        <f>L12*L15</f>
        <v>-31340.695405831364</v>
      </c>
      <c r="M16" s="11">
        <f>M12*M15</f>
        <v>-31390.751208575497</v>
      </c>
    </row>
    <row r="17" spans="1:21" s="15" customFormat="1" x14ac:dyDescent="0.2">
      <c r="A17" s="14" t="s">
        <v>6</v>
      </c>
      <c r="B17" s="13">
        <f>+ROUND((B16-B10),2)</f>
        <v>-96432.26</v>
      </c>
      <c r="C17" s="13">
        <f>+ROUND((C16-C10),2)</f>
        <v>-73342.28</v>
      </c>
      <c r="D17" s="13">
        <f>+ROUND((D16-D10),2)</f>
        <v>-84434.82</v>
      </c>
      <c r="E17" s="13">
        <f>+ROUND((E16-E10),2)</f>
        <v>1933.4</v>
      </c>
      <c r="F17" s="13">
        <f>+ROUND((F16-F10),2)</f>
        <v>-1935.06</v>
      </c>
      <c r="G17" s="13">
        <f>+ROUND((G16-G10),2)</f>
        <v>3304.92</v>
      </c>
      <c r="H17" s="13">
        <f>+ROUND((H16-H10),2)</f>
        <v>5920.28</v>
      </c>
      <c r="I17" s="13">
        <f>+ROUND((I16-I10),2)</f>
        <v>22949.58</v>
      </c>
      <c r="J17" s="13">
        <f>+ROUND((J16-J10),2)</f>
        <v>52751.75</v>
      </c>
      <c r="K17" s="13">
        <f>+ROUND((K16-K10),2)</f>
        <v>102298.96</v>
      </c>
      <c r="L17" s="13">
        <f>+ROUND((L16-L10),2)</f>
        <v>121455.49</v>
      </c>
      <c r="M17" s="13">
        <f>+ROUND((M16-M10),2)</f>
        <v>100186.8</v>
      </c>
      <c r="N17" s="13">
        <f>SUM(B17:M17)</f>
        <v>154656.76</v>
      </c>
      <c r="O17" s="30"/>
      <c r="P17" s="30"/>
      <c r="Q17" s="30"/>
      <c r="R17" s="30"/>
      <c r="S17" s="30"/>
      <c r="T17" s="30"/>
      <c r="U17" s="30"/>
    </row>
    <row r="19" spans="1:21" x14ac:dyDescent="0.2">
      <c r="M19" s="8" t="s">
        <v>5</v>
      </c>
      <c r="N19" s="9">
        <f>ROUND((N17/N12),2)</f>
        <v>0.2</v>
      </c>
    </row>
    <row r="20" spans="1:21" x14ac:dyDescent="0.2">
      <c r="M20" s="8" t="s">
        <v>4</v>
      </c>
      <c r="N20" s="16">
        <f>-N10/N12</f>
        <v>1.052620087891259</v>
      </c>
    </row>
    <row r="21" spans="1:21" x14ac:dyDescent="0.2">
      <c r="M21" s="8" t="s">
        <v>3</v>
      </c>
      <c r="N21" s="29">
        <f>SUM(N19:N20)</f>
        <v>1.252620087891259</v>
      </c>
    </row>
    <row r="23" spans="1:21" x14ac:dyDescent="0.2">
      <c r="M23" s="3" t="s">
        <v>2</v>
      </c>
      <c r="N23" s="28">
        <f>'[1]CPA 3-1-2022'!N21</f>
        <v>-0.98561180949300042</v>
      </c>
    </row>
    <row r="24" spans="1:21" x14ac:dyDescent="0.2">
      <c r="M24" s="3" t="s">
        <v>1</v>
      </c>
      <c r="N24" s="28">
        <f>-N23+N21</f>
        <v>2.2382318973842592</v>
      </c>
      <c r="O24" s="4">
        <f>N24/N23</f>
        <v>-2.2709061273683475</v>
      </c>
    </row>
    <row r="25" spans="1:21" x14ac:dyDescent="0.2">
      <c r="M25" s="3" t="s">
        <v>0</v>
      </c>
      <c r="N25" s="2">
        <f>N24*N12</f>
        <v>1714298.5039109502</v>
      </c>
    </row>
    <row r="27" spans="1:21" s="22" customFormat="1" ht="12.75" x14ac:dyDescent="0.2">
      <c r="A27" s="27" t="s">
        <v>14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5"/>
      <c r="O27" s="24"/>
      <c r="P27" s="23"/>
      <c r="Q27" s="23"/>
    </row>
    <row r="28" spans="1:21" x14ac:dyDescent="0.2">
      <c r="A28" s="21" t="s">
        <v>13</v>
      </c>
      <c r="B28" s="1">
        <f>+'[4]Multi Family true up'!AX$7</f>
        <v>75.669999999999987</v>
      </c>
      <c r="C28" s="1">
        <f>+'[4]Multi Family true up'!AY$7</f>
        <v>69.089999999999989</v>
      </c>
      <c r="D28" s="1">
        <f>+'[4]Multi Family true up'!AZ$7</f>
        <v>65.8</v>
      </c>
      <c r="E28" s="1">
        <f>+'[4]Multi Family true up'!BA$7</f>
        <v>75.67</v>
      </c>
      <c r="F28" s="1">
        <f>+'[4]Multi Family true up'!BB$7</f>
        <v>69.09</v>
      </c>
      <c r="G28" s="1">
        <f>+'[4]Multi Family true up'!BC$7</f>
        <v>72.38</v>
      </c>
      <c r="H28" s="1">
        <f>+'[4]Multi Family true up'!BD$7</f>
        <v>72.38</v>
      </c>
      <c r="I28" s="1">
        <f>+'[4]Multi Family true up'!BE$7</f>
        <v>69.089999999999989</v>
      </c>
      <c r="J28" s="1">
        <f>+'[4]Multi Family true up'!BF$7</f>
        <v>75.669999999999987</v>
      </c>
      <c r="K28" s="1">
        <f>+'[4]Multi Family true up'!BG$7</f>
        <v>72.38</v>
      </c>
      <c r="L28" s="1">
        <f>+'[4]Multi Family true up'!BH$7</f>
        <v>69.089999999999989</v>
      </c>
      <c r="M28" s="1">
        <f>+'[4]Multi Family true up'!BI$7</f>
        <v>72.38</v>
      </c>
      <c r="N28" s="19">
        <f>SUM(B28:M28)</f>
        <v>858.69</v>
      </c>
      <c r="P28" s="3"/>
      <c r="Q28" s="4"/>
    </row>
    <row r="29" spans="1:21" x14ac:dyDescent="0.2">
      <c r="A29" s="21" t="s">
        <v>12</v>
      </c>
      <c r="B29" s="20">
        <f>B8</f>
        <v>-25.975309554308485</v>
      </c>
      <c r="C29" s="20">
        <f>C8</f>
        <v>-40.550000000000004</v>
      </c>
      <c r="D29" s="20">
        <f>D8</f>
        <v>-36.496825280963094</v>
      </c>
      <c r="E29" s="20">
        <f>E8</f>
        <v>-28.17985183973833</v>
      </c>
      <c r="F29" s="20">
        <f>F8</f>
        <v>-25.150000000000002</v>
      </c>
      <c r="G29" s="20">
        <f>G8</f>
        <v>-28.639999999999997</v>
      </c>
      <c r="H29" s="20">
        <f>H8</f>
        <v>-35.21</v>
      </c>
      <c r="I29" s="20">
        <f>I8</f>
        <v>-49.88</v>
      </c>
      <c r="J29" s="20">
        <f>J8</f>
        <v>-65.19</v>
      </c>
      <c r="K29" s="20">
        <f>K8</f>
        <v>-115.71000000000001</v>
      </c>
      <c r="L29" s="20">
        <f>L8</f>
        <v>-144.03</v>
      </c>
      <c r="M29" s="20">
        <f>M8</f>
        <v>-117.40000000000002</v>
      </c>
      <c r="N29" s="19"/>
    </row>
    <row r="31" spans="1:21" x14ac:dyDescent="0.2">
      <c r="A31" s="14" t="s">
        <v>11</v>
      </c>
      <c r="B31" s="13">
        <f>B28*B29</f>
        <v>-1965.5516739745226</v>
      </c>
      <c r="C31" s="13">
        <f>C28*C29</f>
        <v>-2801.5994999999998</v>
      </c>
      <c r="D31" s="13">
        <f>D28*D29</f>
        <v>-2401.4911034873717</v>
      </c>
      <c r="E31" s="13">
        <f>E28*E29</f>
        <v>-2132.3693887129994</v>
      </c>
      <c r="F31" s="13">
        <f>F28*F29</f>
        <v>-1737.6135000000002</v>
      </c>
      <c r="G31" s="13">
        <f>G28*G29</f>
        <v>-2072.9631999999997</v>
      </c>
      <c r="H31" s="13">
        <f>H28*H29</f>
        <v>-2548.4998000000001</v>
      </c>
      <c r="I31" s="13">
        <f>I28*I29</f>
        <v>-3446.2091999999998</v>
      </c>
      <c r="J31" s="13">
        <f>J28*J29</f>
        <v>-4932.9272999999994</v>
      </c>
      <c r="K31" s="13">
        <f>K28*K29</f>
        <v>-8375.0897999999997</v>
      </c>
      <c r="L31" s="13">
        <f>L28*L29</f>
        <v>-9951.0326999999979</v>
      </c>
      <c r="M31" s="13">
        <f>M28*M29</f>
        <v>-8497.4120000000003</v>
      </c>
      <c r="N31" s="13">
        <f>SUM(B31:M31)</f>
        <v>-50862.759166174888</v>
      </c>
    </row>
    <row r="33" spans="1:20" x14ac:dyDescent="0.2">
      <c r="A33" s="15" t="s">
        <v>10</v>
      </c>
      <c r="B33" s="18">
        <f>+'[3]Murrey''s American G-9 Reg.'!$AZ$300</f>
        <v>8932.1104889807939</v>
      </c>
      <c r="C33" s="18">
        <f>+'[2]Murrey''s American G-9 Reg.'!AO$295</f>
        <v>8913.3295036715972</v>
      </c>
      <c r="D33" s="18">
        <f>+'[2]Murrey''s American G-9 Reg.'!AP$295</f>
        <v>9230.7472230020121</v>
      </c>
      <c r="E33" s="18">
        <f>+'[2]Murrey''s American G-9 Reg.'!AQ$295</f>
        <v>9333.672336494652</v>
      </c>
      <c r="F33" s="18">
        <f>+'[2]Murrey''s American G-9 Reg.'!AR$295</f>
        <v>9426.316122811495</v>
      </c>
      <c r="G33" s="18">
        <f>+'[2]Murrey''s American G-9 Reg.'!AS$295</f>
        <v>9493.4896538569592</v>
      </c>
      <c r="H33" s="18">
        <f>+'[2]Murrey''s American G-9 Reg.'!AT$295</f>
        <v>9519.0304316230358</v>
      </c>
      <c r="I33" s="18">
        <f>+'[2]Murrey''s American G-9 Reg.'!AU$295</f>
        <v>9500.7013292839874</v>
      </c>
      <c r="J33" s="18">
        <f>+'[2]Murrey''s American G-9 Reg.'!AV$295</f>
        <v>9534.206897142205</v>
      </c>
      <c r="K33" s="18">
        <f>+'[2]Murrey''s American G-9 Reg.'!AW$295</f>
        <v>9515.1756315134862</v>
      </c>
      <c r="L33" s="18">
        <f>+'[2]Murrey''s American G-9 Reg.'!AX$295</f>
        <v>9326.2617119353108</v>
      </c>
      <c r="M33" s="18">
        <f>+'[2]Murrey''s American G-9 Reg.'!AY$295</f>
        <v>9432.1367403371296</v>
      </c>
      <c r="N33" s="18">
        <f>SUM(B33:M33)</f>
        <v>112157.17807065266</v>
      </c>
    </row>
    <row r="34" spans="1:20" x14ac:dyDescent="0.2">
      <c r="N34" s="17"/>
    </row>
    <row r="35" spans="1:20" x14ac:dyDescent="0.2">
      <c r="A35" s="15" t="s">
        <v>9</v>
      </c>
      <c r="B35" s="5">
        <f>B31/B33</f>
        <v>-0.22005456340910126</v>
      </c>
      <c r="C35" s="5">
        <f>C31/C33</f>
        <v>-0.31431571096367067</v>
      </c>
      <c r="D35" s="5">
        <f>D31/D33</f>
        <v>-0.26016215648318464</v>
      </c>
      <c r="E35" s="5">
        <f>E31/E33</f>
        <v>-0.22845985072514668</v>
      </c>
      <c r="F35" s="5">
        <f>F31/F33</f>
        <v>-0.18433643401742178</v>
      </c>
      <c r="G35" s="5">
        <f>G31/G33</f>
        <v>-0.21835629210991012</v>
      </c>
      <c r="H35" s="5">
        <f>H31/H33</f>
        <v>-0.26772682557392241</v>
      </c>
      <c r="I35" s="5">
        <f>I31/I33</f>
        <v>-0.36273208477544261</v>
      </c>
      <c r="J35" s="5">
        <f>J31/J33</f>
        <v>-0.51739251656879826</v>
      </c>
      <c r="K35" s="5">
        <f>K31/K33</f>
        <v>-0.88018236597361221</v>
      </c>
      <c r="L35" s="5">
        <f>L31/L33</f>
        <v>-1.0669905056669313</v>
      </c>
      <c r="M35" s="5">
        <f>M31/M33</f>
        <v>-0.90090000112702784</v>
      </c>
    </row>
    <row r="36" spans="1:20" x14ac:dyDescent="0.2">
      <c r="A36" s="15" t="s">
        <v>8</v>
      </c>
      <c r="B36" s="16">
        <f>+'[1]CPA 3-1-2022'!M36</f>
        <v>-0.85602728905080272</v>
      </c>
      <c r="C36" s="16">
        <f>+B36</f>
        <v>-0.85602728905080272</v>
      </c>
      <c r="D36" s="16">
        <f>+C36</f>
        <v>-0.85602728905080272</v>
      </c>
      <c r="E36" s="16">
        <f>-'[1]CPA 3-1-2022'!$N$42</f>
        <v>-0.19999649392118193</v>
      </c>
      <c r="F36" s="16">
        <f>+E36</f>
        <v>-0.19999649392118193</v>
      </c>
      <c r="G36" s="16">
        <f>+F36</f>
        <v>-0.19999649392118193</v>
      </c>
      <c r="H36" s="16">
        <f>+G36</f>
        <v>-0.19999649392118193</v>
      </c>
      <c r="I36" s="16">
        <f>+H36</f>
        <v>-0.19999649392118193</v>
      </c>
      <c r="J36" s="16">
        <f>+I36</f>
        <v>-0.19999649392118193</v>
      </c>
      <c r="K36" s="16">
        <f>+J36</f>
        <v>-0.19999649392118193</v>
      </c>
      <c r="L36" s="16">
        <f>+K36</f>
        <v>-0.19999649392118193</v>
      </c>
      <c r="M36" s="16">
        <f>+L36</f>
        <v>-0.19999649392118193</v>
      </c>
    </row>
    <row r="37" spans="1:20" x14ac:dyDescent="0.2">
      <c r="A37" s="15" t="s">
        <v>7</v>
      </c>
      <c r="B37" s="11">
        <f>B33*B36</f>
        <v>-7646.1303273844687</v>
      </c>
      <c r="C37" s="11">
        <f>C33*C36</f>
        <v>-7630.0532914445339</v>
      </c>
      <c r="D37" s="11">
        <f>D33*D36</f>
        <v>-7901.7715212196381</v>
      </c>
      <c r="E37" s="11">
        <f>E33*E36</f>
        <v>-1866.7017427080566</v>
      </c>
      <c r="F37" s="11">
        <f>F33*F36</f>
        <v>-1885.2301751550085</v>
      </c>
      <c r="G37" s="11">
        <f>G33*G36</f>
        <v>-1898.664645848407</v>
      </c>
      <c r="H37" s="11">
        <f>H33*H36</f>
        <v>-1903.7727118536422</v>
      </c>
      <c r="I37" s="11">
        <f>I33*I36</f>
        <v>-1900.1069556491102</v>
      </c>
      <c r="J37" s="11">
        <f>J33*J36</f>
        <v>-1906.8079517475919</v>
      </c>
      <c r="K37" s="11">
        <f>K33*K36</f>
        <v>-1903.0017653469654</v>
      </c>
      <c r="L37" s="11">
        <f>L33*L36</f>
        <v>-1865.2196437784221</v>
      </c>
      <c r="M37" s="11">
        <f>M33*M36</f>
        <v>-1886.3942782525914</v>
      </c>
    </row>
    <row r="38" spans="1:20" x14ac:dyDescent="0.2">
      <c r="A38" s="14" t="s">
        <v>6</v>
      </c>
      <c r="B38" s="13">
        <f>+ROUND((B37-B31),2)</f>
        <v>-5680.58</v>
      </c>
      <c r="C38" s="13">
        <f>+ROUND((C37-C31),2)</f>
        <v>-4828.45</v>
      </c>
      <c r="D38" s="13">
        <f>+ROUND((D37-D31),2)</f>
        <v>-5500.28</v>
      </c>
      <c r="E38" s="13">
        <f>+ROUND((E37-E31),2)</f>
        <v>265.67</v>
      </c>
      <c r="F38" s="13">
        <f>+ROUND((F37-F31),2)</f>
        <v>-147.62</v>
      </c>
      <c r="G38" s="13">
        <f>+ROUND((G37-G31),2)</f>
        <v>174.3</v>
      </c>
      <c r="H38" s="13">
        <f>+ROUND((H37-H31),2)</f>
        <v>644.73</v>
      </c>
      <c r="I38" s="13">
        <f>+ROUND((I37-I31),2)</f>
        <v>1546.1</v>
      </c>
      <c r="J38" s="13">
        <f>+ROUND((J37-J31),2)</f>
        <v>3026.12</v>
      </c>
      <c r="K38" s="13">
        <f>+ROUND((K37-K31),2)</f>
        <v>6472.09</v>
      </c>
      <c r="L38" s="13">
        <f>+ROUND((L37-L31),2)</f>
        <v>8085.81</v>
      </c>
      <c r="M38" s="13">
        <f>+ROUND((M37-M31),2)</f>
        <v>6611.02</v>
      </c>
      <c r="N38" s="13">
        <f>SUM(B38:M38)</f>
        <v>10668.910000000003</v>
      </c>
      <c r="S38" s="12"/>
      <c r="T38" s="10"/>
    </row>
    <row r="39" spans="1:20" x14ac:dyDescent="0.2">
      <c r="T39" s="11"/>
    </row>
    <row r="40" spans="1:20" x14ac:dyDescent="0.2">
      <c r="T40" s="10"/>
    </row>
    <row r="41" spans="1:20" x14ac:dyDescent="0.2">
      <c r="M41" s="8" t="s">
        <v>5</v>
      </c>
      <c r="N41" s="9">
        <f>ROUND((N38/N33),2)</f>
        <v>0.1</v>
      </c>
    </row>
    <row r="42" spans="1:20" x14ac:dyDescent="0.2">
      <c r="M42" s="8" t="s">
        <v>4</v>
      </c>
      <c r="N42" s="5">
        <f>-N31/N33</f>
        <v>0.45349535394100443</v>
      </c>
    </row>
    <row r="43" spans="1:20" x14ac:dyDescent="0.2">
      <c r="M43" s="8" t="s">
        <v>3</v>
      </c>
      <c r="N43" s="7">
        <f>SUM(N41:N42)</f>
        <v>0.55349535394100446</v>
      </c>
      <c r="O43" s="6"/>
      <c r="P43" s="6"/>
      <c r="Q43" s="6"/>
    </row>
    <row r="45" spans="1:20" x14ac:dyDescent="0.2">
      <c r="M45" s="3" t="s">
        <v>2</v>
      </c>
      <c r="N45" s="5">
        <f>+'[1]CPA 3-1-2022'!N43</f>
        <v>-0.49000350607881804</v>
      </c>
    </row>
    <row r="46" spans="1:20" x14ac:dyDescent="0.2">
      <c r="M46" s="3" t="s">
        <v>1</v>
      </c>
      <c r="N46" s="5">
        <f>-N45+N43</f>
        <v>1.0434988600198225</v>
      </c>
      <c r="O46" s="4">
        <f>N46/N45</f>
        <v>-2.1295742725807632</v>
      </c>
    </row>
    <row r="47" spans="1:20" x14ac:dyDescent="0.2">
      <c r="M47" s="3" t="s">
        <v>0</v>
      </c>
      <c r="N47" s="2">
        <f>N46*N33</f>
        <v>117035.88745976629</v>
      </c>
    </row>
    <row r="64" ht="19.5" customHeight="1" x14ac:dyDescent="0.2"/>
  </sheetData>
  <mergeCells count="1">
    <mergeCell ref="O43:Q43"/>
  </mergeCells>
  <pageMargins left="0.5" right="0.5" top="0.5" bottom="0.5" header="0.5" footer="0.5"/>
  <pageSetup scale="67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3D76DC5A2E8544288264AABD58625BA" ma:contentTypeVersion="24" ma:contentTypeDescription="" ma:contentTypeScope="" ma:versionID="c9bace64f873cbc8cbe4a828b32a6c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2023-01-13T08:00:00+00:00</OpenedDate>
    <SignificantOrder xmlns="dc463f71-b30c-4ab2-9473-d307f9d35888">false</SignificantOrder>
    <Date1 xmlns="dc463f71-b30c-4ab2-9473-d307f9d35888">2023-01-13T08:00:00+00:00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  </CaseCompanyNames>
    <Nickname xmlns="http://schemas.microsoft.com/sharepoint/v3" xsi:nil="true"/>
    <DocketNumber xmlns="dc463f71-b30c-4ab2-9473-d307f9d35888">230038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2144B3-F94E-458A-A0CA-9B78E9FB5DBD}"/>
</file>

<file path=customXml/itemProps2.xml><?xml version="1.0" encoding="utf-8"?>
<ds:datastoreItem xmlns:ds="http://schemas.openxmlformats.org/officeDocument/2006/customXml" ds:itemID="{FD0EEFFA-F3D2-4ADC-A28A-6C8AA32538D0}"/>
</file>

<file path=customXml/itemProps3.xml><?xml version="1.0" encoding="utf-8"?>
<ds:datastoreItem xmlns:ds="http://schemas.openxmlformats.org/officeDocument/2006/customXml" ds:itemID="{B540749E-F815-40C7-94FF-2784254174B2}"/>
</file>

<file path=customXml/itemProps4.xml><?xml version="1.0" encoding="utf-8"?>
<ds:datastoreItem xmlns:ds="http://schemas.openxmlformats.org/officeDocument/2006/customXml" ds:itemID="{1575836C-B8D5-40E2-8503-CD67CE9324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CPA 3-1-2023</vt:lpstr>
      <vt:lpstr>'CPA 3-1-2023'!Print_Area</vt:lpstr>
      <vt:lpstr>'CPA 3-1-2023'!Print_Titles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Vandenburg</dc:creator>
  <cp:lastModifiedBy>Brian Vandenburg</cp:lastModifiedBy>
  <dcterms:created xsi:type="dcterms:W3CDTF">2023-01-14T00:25:47Z</dcterms:created>
  <dcterms:modified xsi:type="dcterms:W3CDTF">2023-01-14T00:26:22Z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0x0101006E56B4D1795A2E4DB2F0B01679ED314A0073D76DC5A2E8544288264AABD58625BA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