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_TO_E\BAD0735 - Bainbridge Disposal\Rate Case\2023 Disposal fee only\Draft Submission for 101722\"/>
    </mc:Choice>
  </mc:AlternateContent>
  <xr:revisionPtr revIDLastSave="0" documentId="13_ncr:1_{4C62265B-2BA6-4590-80B0-BBD3EED7B843}" xr6:coauthVersionLast="47" xr6:coauthVersionMax="47" xr10:uidLastSave="{00000000-0000-0000-0000-000000000000}"/>
  <bookViews>
    <workbookView xWindow="-108" yWindow="-108" windowWidth="23256" windowHeight="12576" xr2:uid="{03BD61A0-D359-4E31-8375-7952E7AD43C1}"/>
  </bookViews>
  <sheets>
    <sheet name="Notes" sheetId="10" r:id="rId1"/>
    <sheet name="Company Ref. " sheetId="9" r:id="rId2"/>
    <sheet name="References" sheetId="7" r:id="rId3"/>
    <sheet name="Staff Price Out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D" localSheetId="2">#REF!</definedName>
    <definedName name="\D">#REF!</definedName>
    <definedName name="\S" localSheetId="2">#REF!</definedName>
    <definedName name="\S">#REF!</definedName>
    <definedName name="\Y" localSheetId="2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ACT1">[2]Hidden!#REF!</definedName>
    <definedName name="______ACT2">[2]Hidden!#REF!</definedName>
    <definedName name="______ACT3">[2]Hidden!#REF!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ACT1">[2]Hidden!#REF!</definedName>
    <definedName name="_____ACT2">[2]Hidden!#REF!</definedName>
    <definedName name="_____ACT3">[2]Hidden!#REF!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ACT1">[2]Hidden!#REF!</definedName>
    <definedName name="____ACT2">[2]Hidden!#REF!</definedName>
    <definedName name="____ACT3">[2]Hidden!#REF!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ACT1">[2]Hidden!#REF!</definedName>
    <definedName name="___ACT2">[2]Hidden!#REF!</definedName>
    <definedName name="___ACT3">[2]Hidden!#REF!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ACT1">[3]Hidden!#REF!</definedName>
    <definedName name="__ACT2">[3]Hidden!#REF!</definedName>
    <definedName name="__ACT3">[3]Hidden!#REF!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[4]Hidden!$P$11</definedName>
    <definedName name="__LYA10">[4]Hidden!$G$11</definedName>
    <definedName name="__LYA11">[4]Hidden!$F$11</definedName>
    <definedName name="__LYA12">[1]Hidden!$O$11</definedName>
    <definedName name="__LYA2">[4]Hidden!$O$11</definedName>
    <definedName name="__LYA3">[4]Hidden!$N$11</definedName>
    <definedName name="__LYA4">[4]Hidden!$M$11</definedName>
    <definedName name="__LYA5">[4]Hidden!$L$11</definedName>
    <definedName name="__LYA6">[4]Hidden!$K$11</definedName>
    <definedName name="__LYA7">[4]Hidden!$J$11</definedName>
    <definedName name="__LYA8">[4]Hidden!$I$11</definedName>
    <definedName name="__LYA9">[4]Hidden!$H$11</definedName>
    <definedName name="_123Graph_g" hidden="1">'[5]#REF'!$F$9:$F$83</definedName>
    <definedName name="_132" hidden="1">[6]XXXXXX!$B$10:$B$10</definedName>
    <definedName name="_132Graph_h" localSheetId="2" hidden="1">#REF!</definedName>
    <definedName name="_132Graph_h" hidden="1">#REF!</definedName>
    <definedName name="_ACT1" localSheetId="1">[3]Hidden!#REF!</definedName>
    <definedName name="_ACT1" localSheetId="2">[7]Hidden!#REF!</definedName>
    <definedName name="_ACT1">[7]Hidden!#REF!</definedName>
    <definedName name="_ACT2" localSheetId="1">[3]Hidden!#REF!</definedName>
    <definedName name="_ACT2">[7]Hidden!#REF!</definedName>
    <definedName name="_ACT3" localSheetId="1">[3]Hidden!#REF!</definedName>
    <definedName name="_ACT3">[7]Hidden!#REF!</definedName>
    <definedName name="_ACT4">[2]Hidden!#REF!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localSheetId="2" hidden="1">#REF!</definedName>
    <definedName name="_Key1" hidden="1">#REF!</definedName>
    <definedName name="_Key2" hidden="1">'[5]#REF'!$D$12</definedName>
    <definedName name="_key5" hidden="1">[6]XXXXXX!$H$10</definedName>
    <definedName name="_LYA1">[4]Hidden!$P$11</definedName>
    <definedName name="_LYA10">[4]Hidden!$G$11</definedName>
    <definedName name="_LYA11">[4]Hidden!$F$11</definedName>
    <definedName name="_LYA12">[1]Hidden!$O$11</definedName>
    <definedName name="_LYA2">[4]Hidden!$O$11</definedName>
    <definedName name="_LYA3">[4]Hidden!$N$11</definedName>
    <definedName name="_LYA4">[4]Hidden!$M$11</definedName>
    <definedName name="_LYA5">[4]Hidden!$L$11</definedName>
    <definedName name="_LYA6">[4]Hidden!$K$11</definedName>
    <definedName name="_LYA7">[4]Hidden!$J$11</definedName>
    <definedName name="_LYA8">[4]Hidden!$I$11</definedName>
    <definedName name="_LYA9">[4]Hidden!$H$11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hidden="1">#REF!</definedName>
    <definedName name="_Sort1" hidden="1">'[5]#REF'!$A$10:$Z$281</definedName>
    <definedName name="_sort3" hidden="1">[6]XXXXXX!$G$10:$J$11</definedName>
    <definedName name="a" localSheetId="1">#REF!</definedName>
    <definedName name="a" localSheetId="2">#REF!</definedName>
    <definedName name="a">#REF!</definedName>
    <definedName name="Accounts" localSheetId="2">#REF!</definedName>
    <definedName name="Accounts">#REF!</definedName>
    <definedName name="ACCT" localSheetId="1">[3]Hidden!#REF!</definedName>
    <definedName name="ACCT" localSheetId="2">[7]Hidden!#REF!</definedName>
    <definedName name="ACCT">[7]Hidden!#REF!</definedName>
    <definedName name="ACCT.ConsolSum">[1]Hidden!$Q$11</definedName>
    <definedName name="AcctName">'[8]2012 Act-Fcast P&amp;L'!#REF!</definedName>
    <definedName name="ACT_CUR" localSheetId="1">[3]Hidden!#REF!</definedName>
    <definedName name="ACT_CUR" localSheetId="2">[7]Hidden!#REF!</definedName>
    <definedName name="ACT_CUR">[7]Hidden!#REF!</definedName>
    <definedName name="ACT_YTD" localSheetId="1">[3]Hidden!#REF!</definedName>
    <definedName name="ACT_YTD" localSheetId="2">[7]Hidden!#REF!</definedName>
    <definedName name="ACT_YTD">[7]Hidden!#REF!</definedName>
    <definedName name="afsdfsdfsd" localSheetId="2">#REF!</definedName>
    <definedName name="afsdfsdfsd">#REF!</definedName>
    <definedName name="AmountCount" localSheetId="1">#REF!</definedName>
    <definedName name="AmountCount" localSheetId="2">#REF!</definedName>
    <definedName name="AmountCount">#REF!</definedName>
    <definedName name="AmountCount1" localSheetId="2">#REF!</definedName>
    <definedName name="AmountCount1">#REF!</definedName>
    <definedName name="AmountFrom">#REF!</definedName>
    <definedName name="AmountTo">#REF!</definedName>
    <definedName name="AmountTotal" localSheetId="1">#REF!</definedName>
    <definedName name="AmountTotal">#REF!</definedName>
    <definedName name="AmountTotal1">#REF!</definedName>
    <definedName name="BaseMonthDate">[9]Settings!$I$15</definedName>
    <definedName name="BaseMonthDate2">[9]Settings!$I$16</definedName>
    <definedName name="BaseMonthDate3">[9]Settings!$I$17</definedName>
    <definedName name="BaseYear">#REF!</definedName>
    <definedName name="BookRev" localSheetId="1">'[10]Pacific Regulated - Price Out'!$F$50</definedName>
    <definedName name="BookRev">'[11]Pacific Regulated - Price Out'!$F$50</definedName>
    <definedName name="BookRev_com" localSheetId="1">'[10]Pacific Regulated - Price Out'!$F$214</definedName>
    <definedName name="BookRev_com">'[11]Pacific Regulated - Price Out'!$F$214</definedName>
    <definedName name="BookRev_mfr" localSheetId="1">'[10]Pacific Regulated - Price Out'!$F$222</definedName>
    <definedName name="BookRev_mfr">'[11]Pacific Regulated - Price Out'!$F$222</definedName>
    <definedName name="BookRev_ro" localSheetId="1">'[10]Pacific Regulated - Price Out'!$F$282</definedName>
    <definedName name="BookRev_ro">'[11]Pacific Regulated - Price Out'!$F$282</definedName>
    <definedName name="BookRev_rr" localSheetId="1">'[10]Pacific Regulated - Price Out'!$F$59</definedName>
    <definedName name="BookRev_rr">'[11]Pacific Regulated - Price Out'!$F$59</definedName>
    <definedName name="BookRev_yw" localSheetId="1">'[10]Pacific Regulated - Price Out'!$F$70</definedName>
    <definedName name="BookRev_yw">'[11]Pacific Regulated - Price Out'!$F$70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BUD_CUR" localSheetId="1">[3]Hidden!#REF!</definedName>
    <definedName name="BUD_CUR" localSheetId="2">[7]Hidden!#REF!</definedName>
    <definedName name="BUD_CUR">[7]Hidden!#REF!</definedName>
    <definedName name="BUD_YTD" localSheetId="1">[3]Hidden!#REF!</definedName>
    <definedName name="BUD_YTD">[7]Hidden!#REF!</definedName>
    <definedName name="BusUnitCode">[9]Settings!$I$3</definedName>
    <definedName name="BusUnitName">[9]Settings!$I$4</definedName>
    <definedName name="CalRecyTons">'[12]Recycl Tons, Commodity Value'!$L$23</definedName>
    <definedName name="CanCartTons">[13]CanCartTonsAllocate!$E$3</definedName>
    <definedName name="CheckTotals" localSheetId="1">#REF!</definedName>
    <definedName name="CheckTotals" localSheetId="2">#REF!</definedName>
    <definedName name="CheckTotals">#REF!</definedName>
    <definedName name="CoCanTons">[14]Cust_Count1!$M$28</definedName>
    <definedName name="CoComYd">'[14]Gross Yardage Worksheet'!$L$16</definedName>
    <definedName name="CoCustCnt">#REF!</definedName>
    <definedName name="colgroup">[1]Orientation!$G$6</definedName>
    <definedName name="colsegment">[1]Orientation!$F$6</definedName>
    <definedName name="Comments">[15]Main!$K$57:INDEX([15]Main!$K$57:$K$59,SUMPRODUCT(--([15]Main!$K$57:$K$59&lt;&gt;"")))</definedName>
    <definedName name="CommlStaffPriceOut" localSheetId="2">'[16]Price Out-Reg EASTSIDE-Resi'!#REF!</definedName>
    <definedName name="CommlStaffPriceOut">'[16]Price Out-Reg EASTSIDE-Resi'!#REF!</definedName>
    <definedName name="CoMultiYd">'[14]Gross Yardage Worksheet'!$L$31</definedName>
    <definedName name="ContainerTons">[13]ContainerTonsAllocation!$E$2</definedName>
    <definedName name="COST_OF_SERVICE_STUDY">#REF!</definedName>
    <definedName name="CoXtraYds">#REF!</definedName>
    <definedName name="CR">#REF!</definedName>
    <definedName name="CRCTable" localSheetId="1">#REF!</definedName>
    <definedName name="CRCTable" localSheetId="2">#REF!</definedName>
    <definedName name="CRCTable">#REF!</definedName>
    <definedName name="CRCTableOLD" localSheetId="1">#REF!</definedName>
    <definedName name="CRCTableOLD" localSheetId="2">#REF!</definedName>
    <definedName name="CRCTableOLD">#REF!</definedName>
    <definedName name="CriteriaType" localSheetId="1">[17]ControlPanel!$Z$2:$Z$5</definedName>
    <definedName name="CriteriaType">[18]ControlPanel!$Z$2:$Z$5</definedName>
    <definedName name="CtyCanTons">[14]Cust_Count1!$N$28</definedName>
    <definedName name="CtyComYd">'[14]Gross Yardage Worksheet'!$L$49</definedName>
    <definedName name="CtyCustCnt">#REF!</definedName>
    <definedName name="CtyMultiYd">'[14]Gross Yardage Worksheet'!$L$64</definedName>
    <definedName name="CtyXtraYds">#REF!</definedName>
    <definedName name="Currency">[15]Main!$I$82</definedName>
    <definedName name="CurrentMonth" localSheetId="2">#REF!</definedName>
    <definedName name="CurrentMonth">#REF!</definedName>
    <definedName name="Cutomers" localSheetId="1">#REF!</definedName>
    <definedName name="Cutomers" localSheetId="2">#REF!</definedName>
    <definedName name="Cutomers">#REF!</definedName>
    <definedName name="Data_End_Test">#REF!</definedName>
    <definedName name="Data_Start_Test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ateFrom" localSheetId="2">#REF!</definedName>
    <definedName name="DateFrom">#REF!</definedName>
    <definedName name="DateRange">#REF!</definedName>
    <definedName name="DateTo" localSheetId="2">#REF!</definedName>
    <definedName name="DateTo">#REF!</definedName>
    <definedName name="DBxStaffPriceOut" localSheetId="2">'[16]Price Out-Reg EASTSIDE-Resi'!#REF!</definedName>
    <definedName name="DBxStaffPriceOut">'[16]Price Out-Reg EASTSIDE-Resi'!#REF!</definedName>
    <definedName name="debtP">#REF!</definedName>
    <definedName name="DEPT" localSheetId="1">[3]Hidden!#REF!</definedName>
    <definedName name="DEPT" localSheetId="2">[7]Hidden!#REF!</definedName>
    <definedName name="DEPT">[7]Hidden!#REF!</definedName>
    <definedName name="DetailBudYear">#REF!</definedName>
    <definedName name="DetailDistrict">#REF!</definedName>
    <definedName name="Dist">[19]Data!$E$3</definedName>
    <definedName name="District" localSheetId="1">'[20]Vashon BS'!#REF!</definedName>
    <definedName name="District" localSheetId="2">'[21]Vashon BS'!#REF!</definedName>
    <definedName name="District">'[21]Vashon BS'!#REF!</definedName>
    <definedName name="DistrictNum" localSheetId="1">#REF!</definedName>
    <definedName name="DistrictNum" localSheetId="2">#REF!</definedName>
    <definedName name="DistrictNum">#REF!</definedName>
    <definedName name="Districts" localSheetId="2">#REF!</definedName>
    <definedName name="Districts">#REF!</definedName>
    <definedName name="DistrictSelection">[22]Summary!$C$6</definedName>
    <definedName name="dOG" localSheetId="2">#REF!</definedName>
    <definedName name="dOG">#REF!</definedName>
    <definedName name="drlFilter">[1]Settings!$D$27</definedName>
    <definedName name="End" localSheetId="1">#REF!</definedName>
    <definedName name="End" localSheetId="2">#REF!</definedName>
    <definedName name="End">#REF!</definedName>
    <definedName name="EntrieShownLimit" localSheetId="2">#REF!</definedName>
    <definedName name="EntrieShownLimit">#REF!</definedName>
    <definedName name="ExcludeIC" localSheetId="1">'[20]Vashon BS'!#REF!</definedName>
    <definedName name="ExcludeIC" localSheetId="2">'[21]Vashon BS'!#REF!</definedName>
    <definedName name="ExcludeIC">'[21]Vashon BS'!#REF!</definedName>
    <definedName name="ExpensesPF1" localSheetId="2">#REF!</definedName>
    <definedName name="ExpensesPF1">#REF!</definedName>
    <definedName name="EXT" localSheetId="2">#REF!</definedName>
    <definedName name="EXT">#REF!</definedName>
    <definedName name="FBTable" localSheetId="1">#REF!</definedName>
    <definedName name="FBTable" localSheetId="2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FromMonth" localSheetId="2">#REF!</definedName>
    <definedName name="FromMonth">#REF!</definedName>
    <definedName name="FundsApprPend" localSheetId="2">[19]Data!#REF!</definedName>
    <definedName name="FundsApprPend">[19]Data!#REF!</definedName>
    <definedName name="FundsBudUnbud">[19]Data!#REF!</definedName>
    <definedName name="GLMappingStart" localSheetId="1">#REF!</definedName>
    <definedName name="GLMappingStart" localSheetId="2">#REF!</definedName>
    <definedName name="GLMappingStart">#REF!</definedName>
    <definedName name="GLMappingStart1" localSheetId="2">#REF!</definedName>
    <definedName name="GLMappingStart1">#REF!</definedName>
    <definedName name="GRETABLE">[23]Gresham!$E$12:$AI$261</definedName>
    <definedName name="Import_Range" localSheetId="2">[19]Data!#REF!</definedName>
    <definedName name="Import_Range">[19]Data!#REF!</definedName>
    <definedName name="IncomeStmnt" localSheetId="1">#REF!</definedName>
    <definedName name="IncomeStmnt" localSheetId="2">#REF!</definedName>
    <definedName name="IncomeStmnt">#REF!</definedName>
    <definedName name="INPUT" localSheetId="1">#REF!</definedName>
    <definedName name="INPUT" localSheetId="2">#REF!</definedName>
    <definedName name="INPUT">#REF!</definedName>
    <definedName name="INPUTc" localSheetId="2">#REF!</definedName>
    <definedName name="INPUTc">#REF!</definedName>
    <definedName name="Insurance" localSheetId="1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[19]Invoice_Drill!#REF!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1">#REF!</definedName>
    <definedName name="JEDetail" localSheetId="2">#REF!</definedName>
    <definedName name="JEDetail">#REF!</definedName>
    <definedName name="JEDetail1" localSheetId="2">#REF!</definedName>
    <definedName name="JEDetail1">#REF!</definedName>
    <definedName name="JEType" localSheetId="1">#REF!</definedName>
    <definedName name="JEType" localSheetId="2">#REF!</definedName>
    <definedName name="JEType">#REF!</definedName>
    <definedName name="JEType1">#REF!</definedName>
    <definedName name="Juris1CanCount">[13]Cust_Count1!$C$60</definedName>
    <definedName name="Juris1CanTons">[13]Cust_Count1!$C$30</definedName>
    <definedName name="Juris1ComYd">'[13]Gross Yardage Worksheet'!$L$16</definedName>
    <definedName name="Juris1CustCnt">[13]Cust_Count2!$E$39</definedName>
    <definedName name="Juris1MultiYd">'[13]Gross Yardage Worksheet'!$X$16</definedName>
    <definedName name="Juris1SeasonalYds">'[13]Gross Yardage Worksheet'!$R$18</definedName>
    <definedName name="Juris1XtraYds">[13]Cust_Count2!$E$28</definedName>
    <definedName name="Juris2CanCount">[13]Cust_Count1!$D$60</definedName>
    <definedName name="Juris2CanTons">[13]Cust_Count1!$D$30</definedName>
    <definedName name="Juris2ComYd">'[13]Gross Yardage Worksheet'!$L$33</definedName>
    <definedName name="Juris2CustCnt">[13]Cust_Count2!$F$39</definedName>
    <definedName name="Juris2MultiYd">'[13]Gross Yardage Worksheet'!$X$33</definedName>
    <definedName name="Juris2SeasonalYds">'[13]Gross Yardage Worksheet'!$R$35</definedName>
    <definedName name="Juris2XtraYds">[13]Cust_Count2!$F$28</definedName>
    <definedName name="Juris3CanCount">[13]Cust_Count1!$E$60</definedName>
    <definedName name="Juris3CanTons">[13]Cust_Count1!$E$30</definedName>
    <definedName name="Juris3ComYd">'[13]Gross Yardage Worksheet'!$L$51</definedName>
    <definedName name="Juris3CustCnt">[13]Cust_Count2!$G$39</definedName>
    <definedName name="Juris3MultiYd">'[13]Gross Yardage Worksheet'!$X$51</definedName>
    <definedName name="Juris3SeasonalYds">'[13]Gross Yardage Worksheet'!$R$53</definedName>
    <definedName name="Juris3XtraYds">[13]Cust_Count2!$G$28</definedName>
    <definedName name="Juris4CanCount">[13]Cust_Count1!$F$60</definedName>
    <definedName name="Juris4CanTons">[13]Cust_Count1!$F$30</definedName>
    <definedName name="Juris4ComYd">'[13]Gross Yardage Worksheet'!$L$68</definedName>
    <definedName name="Juris4CustCnt">[13]Cust_Count2!$H$39</definedName>
    <definedName name="Juris4MultiYd">'[13]Gross Yardage Worksheet'!$X$68</definedName>
    <definedName name="Juris4SeasonalYds">'[13]Gross Yardage Worksheet'!$R$70</definedName>
    <definedName name="Juris4XtraYds">[13]Cust_Count2!$H$28</definedName>
    <definedName name="Juris5CanCount">[13]Cust_Count1!$G$60</definedName>
    <definedName name="Juris5CanTons">[13]Cust_Count1!$G$30</definedName>
    <definedName name="Juris5ComYD">'[13]Gross Yardage Worksheet'!$L$85</definedName>
    <definedName name="Juris5CustCnt">[13]Cust_Count2!$I$39</definedName>
    <definedName name="Juris5MultiYd">'[13]Gross Yardage Worksheet'!$X$85</definedName>
    <definedName name="Juris5SeasonalYds">'[13]Gross Yardage Worksheet'!$R$87</definedName>
    <definedName name="Juris5XtraYds">[13]Cust_Count2!$I$28</definedName>
    <definedName name="Jurisdiction_1">'[13]Title Inputs'!$C$5</definedName>
    <definedName name="Jurisdiction_2">'[13]Title Inputs'!$C$6</definedName>
    <definedName name="Jurisdiction_3">'[13]Title Inputs'!$C$7</definedName>
    <definedName name="Jurisdiction_4">'[13]Title Inputs'!$C$8</definedName>
    <definedName name="Jurisdiction_5">'[13]Title Inputs'!$C$9</definedName>
    <definedName name="lblBillAreaStatus" localSheetId="1">#REF!</definedName>
    <definedName name="lblBillAreaStatus" localSheetId="2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llllllllllllllllllll" localSheetId="1">#REF!</definedName>
    <definedName name="lllllllllllllllllllll">#REF!</definedName>
    <definedName name="LOB">[24]DropDownRanges!$B$4:$B$37</definedName>
    <definedName name="LU_Line">#REF!</definedName>
    <definedName name="MainDataEnd" localSheetId="1">#REF!</definedName>
    <definedName name="MainDataEnd" localSheetId="2">#REF!</definedName>
    <definedName name="MainDataEnd">#REF!</definedName>
    <definedName name="MainDataStart" localSheetId="1">#REF!</definedName>
    <definedName name="MainDataStart" localSheetId="2">#REF!</definedName>
    <definedName name="MainDataStart">#REF!</definedName>
    <definedName name="MapKeyStart" localSheetId="1">#REF!</definedName>
    <definedName name="MapKeyStart" localSheetId="2">#REF!</definedName>
    <definedName name="MapKeyStart">#REF!</definedName>
    <definedName name="master_def" localSheetId="1">#REF!</definedName>
    <definedName name="master_def">#REF!</definedName>
    <definedName name="MATRIX">#REF!</definedName>
    <definedName name="MemoAttachment" localSheetId="1">#REF!</definedName>
    <definedName name="MemoAttachment">#REF!</definedName>
    <definedName name="MetaSet">[1]Orientation!$C$22</definedName>
    <definedName name="MFStaffPriceOut">'[16]Price Out-Reg EASTSIDE-Resi'!#REF!</definedName>
    <definedName name="MILTON" localSheetId="2">#REF!</definedName>
    <definedName name="MILTON">#REF!</definedName>
    <definedName name="Month">#REF!</definedName>
    <definedName name="MonthList">'[19]Lookup Tables'!$A$1:$A$13</definedName>
    <definedName name="NarrThreshold_Doll">[9]Settings!$I$27</definedName>
    <definedName name="NarrThreshold_Perc">[9]Settings!$I$26</definedName>
    <definedName name="NewLob">[24]DropDownRanges!$B$4:$B$37</definedName>
    <definedName name="NewOnlyOrg">#N/A</definedName>
    <definedName name="NewSource">[24]DropDownRanges!$D$4:$D$7</definedName>
    <definedName name="nn" localSheetId="2">#REF!</definedName>
    <definedName name="nn">#REF!</definedName>
    <definedName name="NOTES" localSheetId="1">#REF!</definedName>
    <definedName name="NOTES" localSheetId="2">#REF!</definedName>
    <definedName name="NOTES">#REF!</definedName>
    <definedName name="NR" localSheetId="1">#REF!</definedName>
    <definedName name="NR" localSheetId="2">#REF!</definedName>
    <definedName name="NR">#REF!</definedName>
    <definedName name="OfficerSalary">#N/A</definedName>
    <definedName name="OffsetAcctBil">[25]JEexport!$L$10</definedName>
    <definedName name="OffsetAcctPmt">[25]JEexport!$L$9</definedName>
    <definedName name="Org11_13">#N/A</definedName>
    <definedName name="Org7_10">#N/A</definedName>
    <definedName name="OthCanTons">[14]Cust_Count1!$O$28</definedName>
    <definedName name="OthComYd">'[14]Gross Yardage Worksheet'!$L$82</definedName>
    <definedName name="OthCustCnt">#REF!</definedName>
    <definedName name="OthMultiYd">'[14]Gross Yardage Worksheet'!$L$98</definedName>
    <definedName name="OthXtraYds">#REF!</definedName>
    <definedName name="p" localSheetId="1">#REF!</definedName>
    <definedName name="p" localSheetId="2">#REF!</definedName>
    <definedName name="p">#REF!</definedName>
    <definedName name="PAGE_1" localSheetId="1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osting">#REF!</definedName>
    <definedName name="primtbl">[1]Orientation!$C$23</definedName>
    <definedName name="_xlnm.Print_Area" localSheetId="1">'Company Ref. '!$A$1:$T$58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MIc" localSheetId="2">#REF!</definedName>
    <definedName name="Print_Area_MIc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Print1" localSheetId="1">#REF!</definedName>
    <definedName name="Print1" localSheetId="2">#REF!</definedName>
    <definedName name="Print1">#REF!</definedName>
    <definedName name="Print2" localSheetId="1">#REF!</definedName>
    <definedName name="Print2" localSheetId="2">#REF!</definedName>
    <definedName name="Print2">#REF!</definedName>
    <definedName name="Print5" localSheetId="1">#REF!</definedName>
    <definedName name="Print5" localSheetId="2">#REF!</definedName>
    <definedName name="Print5">#REF!</definedName>
    <definedName name="ProRev" localSheetId="1">'[10]Pacific Regulated - Price Out'!$M$49</definedName>
    <definedName name="ProRev">'[11]Pacific Regulated - Price Out'!$M$49</definedName>
    <definedName name="ProRev_com" localSheetId="1">'[10]Pacific Regulated - Price Out'!$M$213</definedName>
    <definedName name="ProRev_com">'[11]Pacific Regulated - Price Out'!$M$213</definedName>
    <definedName name="ProRev_mfr" localSheetId="1">'[10]Pacific Regulated - Price Out'!$M$221</definedName>
    <definedName name="ProRev_mfr">'[11]Pacific Regulated - Price Out'!$M$221</definedName>
    <definedName name="ProRev_ro" localSheetId="1">'[10]Pacific Regulated - Price Out'!$M$281</definedName>
    <definedName name="ProRev_ro">'[11]Pacific Regulated - Price Out'!$M$281</definedName>
    <definedName name="ProRev_rr" localSheetId="1">'[10]Pacific Regulated - Price Out'!$M$58</definedName>
    <definedName name="ProRev_rr">'[11]Pacific Regulated - Price Out'!$M$58</definedName>
    <definedName name="ProRev_yw" localSheetId="1">'[10]Pacific Regulated - Price Out'!$M$69</definedName>
    <definedName name="ProRev_yw">'[11]Pacific Regulated - Price Out'!$M$69</definedName>
    <definedName name="pServer" localSheetId="1">#REF!</definedName>
    <definedName name="pServer" localSheetId="2">#REF!</definedName>
    <definedName name="pServer">#REF!</definedName>
    <definedName name="pServiceCode" localSheetId="1">#REF!</definedName>
    <definedName name="pServiceCode" localSheetId="2">#REF!</definedName>
    <definedName name="pServiceCode">#REF!</definedName>
    <definedName name="pShowAllUnposted" localSheetId="1">#REF!</definedName>
    <definedName name="pShowAllUnposted" localSheetId="2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g_Cust_Billed_Percent">'[26]Consolidated IS 2009 2010'!$AK$20</definedName>
    <definedName name="Reg_Cust_Percent">'[26]Consolidated IS 2009 2010'!$AC$20</definedName>
    <definedName name="Reg_Drive_Percent">'[26]Consolidated IS 2009 2010'!$AC$40</definedName>
    <definedName name="Reg_Haul_Rev_Percent">'[26]Consolidated IS 2009 2010'!$Z$18</definedName>
    <definedName name="Reg_Lab_Percent">'[26]Consolidated IS 2009 2010'!$AC$39</definedName>
    <definedName name="Reg_Steel_Cont_Percent">'[26]Consolidated IS 2009 2010'!$AE$120</definedName>
    <definedName name="RegulatedIS">'[26]2009 IS'!$A$12:$Q$655</definedName>
    <definedName name="RelatedSalary">#N/A</definedName>
    <definedName name="report_type">[1]Orientation!$C$24</definedName>
    <definedName name="Reporting_Jurisdiction">'[13]Title Inputs'!$C$4</definedName>
    <definedName name="ReportNames" localSheetId="1">[17]ControlPanel!$X$2:$X$8</definedName>
    <definedName name="ReportNames">[27]ControlPanel!$S$2:$S$16</definedName>
    <definedName name="ReportVersion">[1]Settings!$D$5</definedName>
    <definedName name="ReslStaffPriceOut">'[16]Price Out-Reg EASTSIDE-Resi'!#REF!</definedName>
    <definedName name="RetainedEarnings" localSheetId="1">#REF!</definedName>
    <definedName name="RetainedEarnings" localSheetId="2">#REF!</definedName>
    <definedName name="RetainedEarnings">#REF!</definedName>
    <definedName name="RevCust" localSheetId="1">[28]RevenuesCust!#REF!</definedName>
    <definedName name="RevCust" localSheetId="2">[29]RevenuesCust!#REF!</definedName>
    <definedName name="RevCust">[29]RevenuesCust!#REF!</definedName>
    <definedName name="RevCustomer" localSheetId="2">#REF!</definedName>
    <definedName name="RevCustomer">#REF!</definedName>
    <definedName name="RevenuePF1" localSheetId="2">#REF!</definedName>
    <definedName name="RevenuePF1">#REF!</definedName>
    <definedName name="rngBodyText">[4]Delivery!$B$15</definedName>
    <definedName name="RngBottomRight">[4]Delivery!$B$23</definedName>
    <definedName name="rngColDelChars">[4]Delivery!$B$26</definedName>
    <definedName name="rngColumnDelete">[4]Delivery!$B$26</definedName>
    <definedName name="rngCreateLog">[1]Delivery!$B$12</definedName>
    <definedName name="rngDeleteColumns">[4]Delivery!$A$29:$A$38</definedName>
    <definedName name="rngDeleteRows">[4]Delivery!$B$29:$B$38</definedName>
    <definedName name="rngEmail">[4]Delivery!$B$9</definedName>
    <definedName name="rngFileDir">[4]Delivery!$B$6</definedName>
    <definedName name="rngFileFormat">[4]Delivery!$B$4</definedName>
    <definedName name="rngFileName">[4]Delivery!$B$5</definedName>
    <definedName name="rngFilePassword">[1]Delivery!$B$6</definedName>
    <definedName name="rngPassword">[4]Delivery!$B$21</definedName>
    <definedName name="rngPasswordProtect">[4]Delivery!$B$20</definedName>
    <definedName name="rngPrint">[4]Delivery!$B$11</definedName>
    <definedName name="rngRetainFormulas">[4]Delivery!$B$19</definedName>
    <definedName name="rngSaveFile">[4]Delivery!$B$10</definedName>
    <definedName name="rngSourceTab">[1]Delivery!$E$8</definedName>
    <definedName name="rngSubjectLine">[4]Delivery!$B$14</definedName>
    <definedName name="rngTabName">[4]Delivery!$B$18</definedName>
    <definedName name="rngTopLeft">[4]Delivery!$B$22</definedName>
    <definedName name="rowgroup">[1]Orientation!$C$17</definedName>
    <definedName name="rowsegment">[1]Orientation!$B$17</definedName>
    <definedName name="RptEmailAddress">[4]Delivery!$D$4:$D$1005</definedName>
    <definedName name="rtr">'[30]Variance Report'!#REF!</definedName>
    <definedName name="Sbst">#REF!</definedName>
    <definedName name="seffasfasdfsd" localSheetId="2">[7]Hidden!#REF!</definedName>
    <definedName name="seffasfasdfsd">[7]Hidden!#REF!</definedName>
    <definedName name="Sequential_Group">[1]Settings!$J$6</definedName>
    <definedName name="Sequential_Segment">[1]Settings!$I$6</definedName>
    <definedName name="Sequential_sort">[1]Settings!$I$10:$J$11</definedName>
    <definedName name="Setting_DeprFactor">[9]Settings!$F$5</definedName>
    <definedName name="Setting_LFDeplUnitAcct">[9]Settings!$F$4</definedName>
    <definedName name="Setting_LFUnitCost">[9]Settings!$F$3</definedName>
    <definedName name="Setting_LFUnitCostNY">[9]Settings!$F$7</definedName>
    <definedName name="Setting_LFUnitRow">[9]Settings!$C$3</definedName>
    <definedName name="SIC_Table">#REF!</definedName>
    <definedName name="slope">'[31]LG Nonpublic 2018 V5.0'!$X$58</definedName>
    <definedName name="sortcol" localSheetId="1">#REF!</definedName>
    <definedName name="sortcol" localSheetId="2">#REF!</definedName>
    <definedName name="sortcol">#REF!</definedName>
    <definedName name="Source">[24]DropDownRanges!$D$4:$D$7</definedName>
    <definedName name="SPWS_WBID">"115966228744984"</definedName>
    <definedName name="sSRCDate" localSheetId="1">'[32]Feb''12 FAR Data'!#REF!</definedName>
    <definedName name="sSRCDate" localSheetId="2">'[33]Feb''12 FAR Data'!#REF!</definedName>
    <definedName name="sSRCDate">'[33]Feb''12 FAR Data'!#REF!</definedName>
    <definedName name="SubSystem">#REF!</definedName>
    <definedName name="SubSystems" localSheetId="2">#REF!</definedName>
    <definedName name="SubSystems">#REF!</definedName>
    <definedName name="Supplemental_filter">[1]Settings!$C$31</definedName>
    <definedName name="SWDisposal">#N/A</definedName>
    <definedName name="Syst">#REF!</definedName>
    <definedName name="System">[34]BS_Close!$V$8</definedName>
    <definedName name="Systems" localSheetId="2">#REF!</definedName>
    <definedName name="Systems">#REF!</definedName>
    <definedName name="Table_SIC">#REF!</definedName>
    <definedName name="TargetMonths">[9]Settings!$I$18</definedName>
    <definedName name="TemplateEnd" localSheetId="1">#REF!</definedName>
    <definedName name="TemplateEnd" localSheetId="2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Month" localSheetId="2">#REF!</definedName>
    <definedName name="ToMonth">#REF!</definedName>
    <definedName name="Tons" localSheetId="2">#REF!</definedName>
    <definedName name="Tons">#REF!</definedName>
    <definedName name="Total_Comm">'[12]Tariff Rate Sheet'!$L$214</definedName>
    <definedName name="Total_DB">'[12]Tariff Rate Sheet'!$L$278</definedName>
    <definedName name="Total_Resi">'[12]Tariff Rate Sheet'!$L$107</definedName>
    <definedName name="TotalYards">'[14]Gross Yardage Worksheet'!$N$101</definedName>
    <definedName name="TOTCONT">'[23]Sorted Master'!$K$9</definedName>
    <definedName name="TOTCRECCONT">'[23]Sorted Master'!$Z$9</definedName>
    <definedName name="TOTCRECCUST">'[35]Master IS (C)'!#REF!</definedName>
    <definedName name="TOTCRECDH">'[35]Master IS (C)'!#REF!</definedName>
    <definedName name="TOTCRECREV">'[35]Master IS (C)'!#REF!</definedName>
    <definedName name="TOTCRECTDEP">'[35]Master IS (C)'!#REF!</definedName>
    <definedName name="TOTCRECTH">'[23]Sorted Master'!$Z$8</definedName>
    <definedName name="TOTCRECTV">'[35]Master IS (C)'!#REF!</definedName>
    <definedName name="TOTCUST">'[35]Master IS (C)'!#REF!</definedName>
    <definedName name="TOTDBCONT">'[35]Master IS (C)'!#REF!</definedName>
    <definedName name="TOTDBCUST">'[35]Master IS (C)'!#REF!</definedName>
    <definedName name="TOTDBDH">'[35]Master IS (C)'!#REF!</definedName>
    <definedName name="TOTDBREV">'[35]Master IS (C)'!#REF!</definedName>
    <definedName name="TOTDBTDEP">'[35]Master IS (C)'!#REF!</definedName>
    <definedName name="TOTDBTH">'[35]Master IS (C)'!#REF!</definedName>
    <definedName name="TOTDBTV">'[35]Master IS (C)'!#REF!</definedName>
    <definedName name="TOTDEBCONT">'[35]Master IS (C)'!#REF!</definedName>
    <definedName name="TOTDEBCUST">'[35]Master IS (C)'!#REF!</definedName>
    <definedName name="TOTDEBDH">'[35]Master IS (C)'!#REF!</definedName>
    <definedName name="TOTDEBREV">'[35]Master IS (C)'!#REF!</definedName>
    <definedName name="TOTDEBTH">'[23]Sorted Master'!$AD$8</definedName>
    <definedName name="TOTDH">'[35]Master IS (C)'!#REF!</definedName>
    <definedName name="TOTFELCONT">'[35]Master IS (C)'!#REF!</definedName>
    <definedName name="TOTFELCUST">'[35]Master IS (C)'!#REF!</definedName>
    <definedName name="TOTFELDH">'[35]Master IS (C)'!#REF!</definedName>
    <definedName name="TOTFELREV">'[35]Master IS (C)'!#REF!</definedName>
    <definedName name="TOTFELTDEP">'[35]Master IS (C)'!#REF!</definedName>
    <definedName name="TOTFELTH">'[35]Master IS (C)'!#REF!</definedName>
    <definedName name="TOTFELTV">'[35]Master IS (C)'!#REF!</definedName>
    <definedName name="TOTRESCONT">'[35]Master IS (C)'!#REF!</definedName>
    <definedName name="TOTRESCUST">'[35]Master IS (C)'!#REF!</definedName>
    <definedName name="TOTRESDH">'[35]Master IS (C)'!#REF!</definedName>
    <definedName name="TOTRESRCONT">'[35]Master IS (C)'!#REF!</definedName>
    <definedName name="TOTRESRCUST">'[35]Master IS (C)'!#REF!</definedName>
    <definedName name="TOTRESRDH">'[35]Master IS (C)'!#REF!</definedName>
    <definedName name="TOTRESREV">'[35]Master IS (C)'!#REF!</definedName>
    <definedName name="TOTRESRREV">'[35]Master IS (C)'!#REF!</definedName>
    <definedName name="TOTRESRTDEP">'[35]Master IS (C)'!#REF!</definedName>
    <definedName name="TOTRESRTH">'[35]Master IS (C)'!#REF!</definedName>
    <definedName name="TOTRESRTV">'[35]Master IS (C)'!#REF!</definedName>
    <definedName name="TOTRESTDEP">'[35]Master IS (C)'!#REF!</definedName>
    <definedName name="TOTRESTH">'[35]Master IS (C)'!#REF!</definedName>
    <definedName name="TOTRESTV">'[35]Master IS (C)'!#REF!</definedName>
    <definedName name="TOTREV">'[35]Master IS (C)'!#REF!</definedName>
    <definedName name="TOTTDEP">'[35]Master IS (C)'!#REF!</definedName>
    <definedName name="TOTTH">'[35]Master IS (C)'!#REF!</definedName>
    <definedName name="TOTTV">'[35]Master IS (C)'!#REF!</definedName>
    <definedName name="Transactions" localSheetId="1">#REF!</definedName>
    <definedName name="Transactions" localSheetId="2">#REF!</definedName>
    <definedName name="Transactions">#REF!</definedName>
    <definedName name="UnformattedIS">#REF!</definedName>
    <definedName name="UnregulatedIS">'[26]2010 IS'!$A$12:$Q$654</definedName>
    <definedName name="ValidFormats">[4]Delivery!$AA$4:$AA$10</definedName>
    <definedName name="VendorCode" localSheetId="2">#REF!</definedName>
    <definedName name="VendorCode">#REF!</definedName>
    <definedName name="Version" localSheetId="2">[19]Data!#REF!</definedName>
    <definedName name="Version">[19]Data!#REF!</definedName>
    <definedName name="WksInYr">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1">#REF!</definedName>
    <definedName name="WTable" localSheetId="2">#REF!</definedName>
    <definedName name="WTable">#REF!</definedName>
    <definedName name="WTableOld" localSheetId="1">#REF!</definedName>
    <definedName name="WTableOld" localSheetId="2">#REF!</definedName>
    <definedName name="WTableOld">#REF!</definedName>
    <definedName name="ww" localSheetId="1">#REF!</definedName>
    <definedName name="ww" localSheetId="2">#REF!</definedName>
    <definedName name="ww">#REF!</definedName>
    <definedName name="xperiod">[1]Orientation!$G$15</definedName>
    <definedName name="xtabin" localSheetId="1">[3]Hidden!#REF!</definedName>
    <definedName name="xtabin" localSheetId="2">[7]Hidden!#REF!</definedName>
    <definedName name="xtabin">[7]Hidden!#REF!</definedName>
    <definedName name="xx" localSheetId="1">#REF!</definedName>
    <definedName name="xx" localSheetId="2">#REF!</definedName>
    <definedName name="xx">#REF!</definedName>
    <definedName name="xxx" localSheetId="1">#REF!</definedName>
    <definedName name="xxx" localSheetId="2">#REF!</definedName>
    <definedName name="xxx">#REF!</definedName>
    <definedName name="xxxx" localSheetId="1">#REF!</definedName>
    <definedName name="xxxx" localSheetId="2">#REF!</definedName>
    <definedName name="xxxx">#REF!</definedName>
    <definedName name="y_inter1">'[31]LG Nonpublic 2018 V5.0'!$W$55</definedName>
    <definedName name="y_inter2">'[31]LG Nonpublic 2018 V5.0'!$W$56</definedName>
    <definedName name="y_inter3">'[31]LG Nonpublic 2018 V5.0'!$Y$55</definedName>
    <definedName name="y_inter4">'[31]LG Nonpublic 2018 V5.0'!$Y$56</definedName>
    <definedName name="Year">'[36]Aug Av. Fuel Price'!$E$15</definedName>
    <definedName name="Year_of_Review">'[13]Title Inputs'!$C$3</definedName>
    <definedName name="YearMonth" localSheetId="1">'[20]Vashon BS'!#REF!</definedName>
    <definedName name="YearMonth" localSheetId="2">'[21]Vashon BS'!#REF!</definedName>
    <definedName name="YearMonth">'[21]Vashon BS'!#REF!</definedName>
    <definedName name="YearMonthDate">[9]Settings!$I$10</definedName>
    <definedName name="YearMonthDate2">[9]Settings!$I$11</definedName>
    <definedName name="YearMonthDate3">[9]Settings!$I$12</definedName>
    <definedName name="YearMonthDate4">[9]Settings!$I$13</definedName>
    <definedName name="YearMonthDate5">[9]Settings!$I$14</definedName>
    <definedName name="YWMedWasteDisp">#N/A</definedName>
    <definedName name="yy" localSheetId="2">#REF!</definedName>
    <definedName name="y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7" l="1"/>
  <c r="B22" i="9"/>
  <c r="F50" i="9" l="1"/>
  <c r="B20" i="9" l="1"/>
  <c r="C16" i="9"/>
  <c r="T46" i="9" l="1"/>
  <c r="P46" i="9"/>
  <c r="O46" i="9"/>
  <c r="D18" i="1"/>
  <c r="D15" i="1"/>
  <c r="D9" i="1"/>
  <c r="D19" i="1" l="1"/>
  <c r="G32" i="1" l="1"/>
  <c r="G33" i="1"/>
  <c r="H32" i="1" l="1"/>
  <c r="G30" i="1" l="1"/>
  <c r="E28" i="1"/>
  <c r="G29" i="1"/>
  <c r="G31" i="1"/>
  <c r="G28" i="1"/>
  <c r="G34" i="1"/>
  <c r="F28" i="1" l="1"/>
  <c r="G17" i="1"/>
  <c r="G14" i="1"/>
  <c r="G13" i="1"/>
  <c r="G12" i="1"/>
  <c r="G11" i="1"/>
  <c r="H33" i="1" l="1"/>
  <c r="H28" i="1"/>
  <c r="G8" i="1" l="1"/>
  <c r="G7" i="1"/>
  <c r="G6" i="1"/>
  <c r="G5" i="1"/>
  <c r="G4" i="1"/>
  <c r="G3" i="1"/>
  <c r="G2" i="1"/>
  <c r="E12" i="1"/>
  <c r="F12" i="1" s="1"/>
  <c r="E11" i="1"/>
  <c r="K46" i="9"/>
  <c r="S45" i="9"/>
  <c r="R45" i="9"/>
  <c r="Q45" i="9"/>
  <c r="P45" i="9"/>
  <c r="O45" i="9"/>
  <c r="I45" i="9"/>
  <c r="I47" i="9" s="1"/>
  <c r="H45" i="9"/>
  <c r="H47" i="9" s="1"/>
  <c r="G45" i="9"/>
  <c r="G47" i="9" s="1"/>
  <c r="F45" i="9"/>
  <c r="F47" i="9" s="1"/>
  <c r="E45" i="9"/>
  <c r="E47" i="9" s="1"/>
  <c r="T44" i="9"/>
  <c r="K44" i="9"/>
  <c r="T43" i="9"/>
  <c r="K43" i="9"/>
  <c r="T42" i="9"/>
  <c r="K42" i="9"/>
  <c r="T41" i="9"/>
  <c r="K41" i="9"/>
  <c r="T40" i="9"/>
  <c r="K40" i="9"/>
  <c r="T39" i="9"/>
  <c r="K39" i="9"/>
  <c r="T38" i="9"/>
  <c r="K38" i="9"/>
  <c r="T37" i="9"/>
  <c r="K37" i="9"/>
  <c r="T36" i="9"/>
  <c r="K36" i="9"/>
  <c r="T35" i="9"/>
  <c r="K35" i="9"/>
  <c r="T34" i="9"/>
  <c r="K34" i="9"/>
  <c r="T33" i="9"/>
  <c r="K33" i="9"/>
  <c r="D21" i="1"/>
  <c r="D22" i="1" s="1"/>
  <c r="F18" i="9"/>
  <c r="F19" i="9" s="1"/>
  <c r="B21" i="9" s="1"/>
  <c r="B23" i="9" s="1"/>
  <c r="B17" i="9"/>
  <c r="C15" i="9"/>
  <c r="G9" i="9"/>
  <c r="D9" i="9"/>
  <c r="D8" i="9"/>
  <c r="E8" i="9" s="1"/>
  <c r="G7" i="9"/>
  <c r="D7" i="9"/>
  <c r="E2" i="1" s="1"/>
  <c r="D6" i="9"/>
  <c r="E6" i="9" s="1"/>
  <c r="C17" i="9" l="1"/>
  <c r="F6" i="9"/>
  <c r="F8" i="9"/>
  <c r="K45" i="9"/>
  <c r="K47" i="9" s="1"/>
  <c r="E13" i="1"/>
  <c r="E14" i="1"/>
  <c r="E9" i="9"/>
  <c r="E30" i="1"/>
  <c r="F30" i="1" s="1"/>
  <c r="H30" i="1" s="1"/>
  <c r="E17" i="1"/>
  <c r="G6" i="9"/>
  <c r="G8" i="9"/>
  <c r="E7" i="9"/>
  <c r="E4" i="1"/>
  <c r="E5" i="1"/>
  <c r="E3" i="1"/>
  <c r="E6" i="1"/>
  <c r="E7" i="1"/>
  <c r="F7" i="9"/>
  <c r="F9" i="9"/>
  <c r="T45" i="9"/>
  <c r="E8" i="1"/>
  <c r="O8" i="1" l="1"/>
  <c r="O7" i="1"/>
  <c r="O6" i="1"/>
  <c r="O5" i="1"/>
  <c r="O4" i="1"/>
  <c r="O2" i="1"/>
  <c r="O3" i="1"/>
  <c r="F14" i="1" l="1"/>
  <c r="O14" i="1" s="1"/>
  <c r="H14" i="1" l="1"/>
  <c r="O12" i="1" l="1"/>
  <c r="F13" i="1"/>
  <c r="O13" i="1" s="1"/>
  <c r="C61" i="7"/>
  <c r="E61" i="7" s="1"/>
  <c r="H60" i="7"/>
  <c r="H62" i="7" s="1"/>
  <c r="H64" i="7" s="1"/>
  <c r="D60" i="7"/>
  <c r="D59" i="7"/>
  <c r="C54" i="7"/>
  <c r="C53" i="7"/>
  <c r="C51" i="7"/>
  <c r="C50" i="7"/>
  <c r="C49" i="7"/>
  <c r="C47" i="7"/>
  <c r="C46" i="7"/>
  <c r="C45" i="7"/>
  <c r="C44" i="7"/>
  <c r="C42" i="7"/>
  <c r="C41" i="7"/>
  <c r="C40" i="7"/>
  <c r="C13" i="7"/>
  <c r="D13" i="7" s="1"/>
  <c r="C12" i="7"/>
  <c r="C11" i="7"/>
  <c r="I10" i="7"/>
  <c r="E10" i="7"/>
  <c r="C10" i="7"/>
  <c r="C9" i="7"/>
  <c r="G9" i="7" s="1"/>
  <c r="C8" i="7"/>
  <c r="F8" i="7" s="1"/>
  <c r="C7" i="7"/>
  <c r="I7" i="7" s="1"/>
  <c r="F12" i="7" l="1"/>
  <c r="D9" i="7"/>
  <c r="F9" i="7"/>
  <c r="H9" i="7"/>
  <c r="G13" i="7"/>
  <c r="I11" i="7"/>
  <c r="E32" i="1"/>
  <c r="E33" i="1"/>
  <c r="E29" i="1"/>
  <c r="F29" i="1" s="1"/>
  <c r="H29" i="1" s="1"/>
  <c r="E31" i="1"/>
  <c r="F31" i="1" s="1"/>
  <c r="H31" i="1" s="1"/>
  <c r="E34" i="1"/>
  <c r="F34" i="1" s="1"/>
  <c r="H34" i="1" s="1"/>
  <c r="D7" i="7"/>
  <c r="D11" i="7"/>
  <c r="F13" i="7"/>
  <c r="F7" i="7"/>
  <c r="F11" i="7"/>
  <c r="H13" i="7"/>
  <c r="H7" i="7"/>
  <c r="H10" i="7"/>
  <c r="H11" i="7"/>
  <c r="D61" i="7"/>
  <c r="H13" i="1"/>
  <c r="H12" i="1"/>
  <c r="G7" i="7"/>
  <c r="D8" i="7"/>
  <c r="H8" i="7"/>
  <c r="E9" i="7"/>
  <c r="I9" i="7"/>
  <c r="F10" i="7"/>
  <c r="G11" i="7"/>
  <c r="D12" i="7"/>
  <c r="H12" i="7"/>
  <c r="E13" i="7"/>
  <c r="I13" i="7"/>
  <c r="C64" i="7"/>
  <c r="C65" i="7" s="1"/>
  <c r="C67" i="7" s="1"/>
  <c r="I8" i="7"/>
  <c r="G10" i="7"/>
  <c r="E12" i="7"/>
  <c r="I12" i="7"/>
  <c r="G8" i="7"/>
  <c r="G12" i="7"/>
  <c r="E8" i="7"/>
  <c r="E7" i="7"/>
  <c r="D10" i="7"/>
  <c r="E11" i="7"/>
  <c r="F11" i="1" l="1"/>
  <c r="F8" i="1"/>
  <c r="H8" i="1" s="1"/>
  <c r="F7" i="1"/>
  <c r="H7" i="1" s="1"/>
  <c r="F4" i="1"/>
  <c r="H4" i="1" s="1"/>
  <c r="F5" i="1"/>
  <c r="H5" i="1" s="1"/>
  <c r="F6" i="1"/>
  <c r="H6" i="1" s="1"/>
  <c r="F3" i="1"/>
  <c r="H3" i="1" s="1"/>
  <c r="O11" i="1" l="1"/>
  <c r="O9" i="1"/>
  <c r="F15" i="1"/>
  <c r="F17" i="1" l="1"/>
  <c r="F18" i="1" l="1"/>
  <c r="O17" i="1"/>
  <c r="F2" i="1"/>
  <c r="H2" i="1" s="1"/>
  <c r="H11" i="1" l="1"/>
  <c r="H15" i="1" s="1"/>
  <c r="H17" i="1" l="1"/>
  <c r="H18" i="1" s="1"/>
  <c r="H9" i="1" l="1"/>
  <c r="H19" i="1" s="1"/>
  <c r="D23" i="1" s="1"/>
  <c r="D24" i="1" s="1"/>
  <c r="F9" i="1" l="1"/>
  <c r="F19" i="1" s="1"/>
  <c r="I32" i="1" l="1"/>
  <c r="J32" i="1" s="1"/>
  <c r="K32" i="1" s="1"/>
  <c r="L32" i="1" s="1"/>
  <c r="I34" i="1"/>
  <c r="J34" i="1" s="1"/>
  <c r="K34" i="1" s="1"/>
  <c r="L34" i="1" s="1"/>
  <c r="N34" i="1" s="1"/>
  <c r="I30" i="1"/>
  <c r="J30" i="1" s="1"/>
  <c r="K30" i="1" s="1"/>
  <c r="I33" i="1"/>
  <c r="J33" i="1" s="1"/>
  <c r="K33" i="1" s="1"/>
  <c r="L33" i="1" s="1"/>
  <c r="N33" i="1" s="1"/>
  <c r="I31" i="1"/>
  <c r="J31" i="1" s="1"/>
  <c r="K31" i="1" s="1"/>
  <c r="L31" i="1" s="1"/>
  <c r="N31" i="1" s="1"/>
  <c r="I28" i="1"/>
  <c r="J28" i="1" s="1"/>
  <c r="K28" i="1" s="1"/>
  <c r="L28" i="1" s="1"/>
  <c r="N28" i="1" s="1"/>
  <c r="I29" i="1"/>
  <c r="J29" i="1" s="1"/>
  <c r="K29" i="1" s="1"/>
  <c r="I14" i="1"/>
  <c r="J14" i="1" s="1"/>
  <c r="K14" i="1" s="1"/>
  <c r="I12" i="1"/>
  <c r="I13" i="1"/>
  <c r="I6" i="1"/>
  <c r="J6" i="1" s="1"/>
  <c r="K6" i="1" s="1"/>
  <c r="I7" i="1"/>
  <c r="J7" i="1" s="1"/>
  <c r="K7" i="1" s="1"/>
  <c r="L7" i="1" s="1"/>
  <c r="I4" i="1"/>
  <c r="J4" i="1" s="1"/>
  <c r="K4" i="1" s="1"/>
  <c r="I3" i="1"/>
  <c r="I8" i="1"/>
  <c r="J8" i="1" s="1"/>
  <c r="K8" i="1" s="1"/>
  <c r="L8" i="1" s="1"/>
  <c r="I5" i="1"/>
  <c r="J5" i="1" s="1"/>
  <c r="K5" i="1" s="1"/>
  <c r="I2" i="1"/>
  <c r="I17" i="1"/>
  <c r="J17" i="1" s="1"/>
  <c r="K17" i="1" s="1"/>
  <c r="I11" i="1"/>
  <c r="J11" i="1" s="1"/>
  <c r="K11" i="1" s="1"/>
  <c r="L11" i="1" s="1"/>
  <c r="L30" i="1" l="1"/>
  <c r="N30" i="1" s="1"/>
  <c r="L29" i="1"/>
  <c r="N29" i="1" s="1"/>
  <c r="L14" i="1"/>
  <c r="N14" i="1" s="1"/>
  <c r="P14" i="1" s="1"/>
  <c r="Q14" i="1" s="1"/>
  <c r="N11" i="1"/>
  <c r="N32" i="1" s="1"/>
  <c r="J2" i="1"/>
  <c r="K2" i="1" s="1"/>
  <c r="J3" i="1"/>
  <c r="K3" i="1" s="1"/>
  <c r="L3" i="1" s="1"/>
  <c r="N3" i="1" s="1"/>
  <c r="P3" i="1" s="1"/>
  <c r="K18" i="1"/>
  <c r="J12" i="1"/>
  <c r="K12" i="1" s="1"/>
  <c r="J13" i="1"/>
  <c r="K13" i="1" s="1"/>
  <c r="I18" i="1"/>
  <c r="I15" i="1"/>
  <c r="L17" i="1"/>
  <c r="N17" i="1" s="1"/>
  <c r="P17" i="1" s="1"/>
  <c r="L4" i="1"/>
  <c r="N4" i="1" s="1"/>
  <c r="P4" i="1" s="1"/>
  <c r="I9" i="1"/>
  <c r="L5" i="1"/>
  <c r="N5" i="1" s="1"/>
  <c r="P5" i="1" s="1"/>
  <c r="N7" i="1"/>
  <c r="P7" i="1" s="1"/>
  <c r="L6" i="1"/>
  <c r="N6" i="1" s="1"/>
  <c r="P6" i="1" s="1"/>
  <c r="N8" i="1"/>
  <c r="P8" i="1" s="1"/>
  <c r="P11" i="1" l="1"/>
  <c r="Q11" i="1" s="1"/>
  <c r="L12" i="1"/>
  <c r="N12" i="1" s="1"/>
  <c r="P12" i="1" s="1"/>
  <c r="Q12" i="1" s="1"/>
  <c r="L13" i="1"/>
  <c r="N13" i="1" s="1"/>
  <c r="P13" i="1" s="1"/>
  <c r="O18" i="1"/>
  <c r="Q7" i="1"/>
  <c r="Q8" i="1"/>
  <c r="Q5" i="1"/>
  <c r="Q4" i="1"/>
  <c r="Q17" i="1"/>
  <c r="Q3" i="1"/>
  <c r="Q6" i="1"/>
  <c r="I19" i="1"/>
  <c r="J9" i="1"/>
  <c r="J15" i="1"/>
  <c r="Q13" i="1" l="1"/>
  <c r="Q18" i="1"/>
  <c r="P18" i="1"/>
  <c r="K15" i="1"/>
  <c r="L2" i="1"/>
  <c r="N2" i="1" s="1"/>
  <c r="P2" i="1" s="1"/>
  <c r="K9" i="1"/>
  <c r="K19" i="1" l="1"/>
  <c r="Q2" i="1"/>
  <c r="Q9" i="1" l="1"/>
  <c r="P9" i="1"/>
  <c r="P15" i="1" l="1"/>
  <c r="P19" i="1" s="1"/>
  <c r="O15" i="1"/>
  <c r="O19" i="1" s="1"/>
  <c r="Q15" i="1" l="1"/>
  <c r="Q19" i="1" s="1"/>
  <c r="B25" i="9" s="1"/>
  <c r="B26" i="9" s="1"/>
  <c r="C72" i="7" l="1"/>
  <c r="B28" i="9"/>
  <c r="B29" i="9" s="1"/>
  <c r="C29" i="9" s="1"/>
</calcChain>
</file>

<file path=xl/sharedStrings.xml><?xml version="1.0" encoding="utf-8"?>
<sst xmlns="http://schemas.openxmlformats.org/spreadsheetml/2006/main" count="299" uniqueCount="203">
  <si>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</si>
  <si>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</si>
  <si>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</si>
  <si>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</si>
  <si>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</si>
  <si>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</si>
  <si>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</si>
  <si>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</si>
  <si>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</si>
  <si>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</si>
  <si>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</si>
  <si>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</si>
  <si>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</si>
  <si>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</si>
  <si>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</si>
  <si>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</si>
  <si>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</si>
  <si>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</si>
  <si>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</si>
  <si>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</si>
  <si>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</si>
  <si>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</si>
  <si>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</si>
  <si>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</si>
  <si>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</si>
  <si>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</si>
  <si>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</si>
  <si>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</si>
  <si>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</si>
  <si>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</si>
  <si>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</si>
  <si>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</si>
  <si>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</si>
  <si>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</si>
  <si>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</si>
  <si>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</si>
  <si>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</si>
  <si>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</si>
  <si>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</si>
  <si>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</si>
  <si>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</si>
  <si>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*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</si>
  <si>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</si>
  <si>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</si>
  <si>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</si>
  <si>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</si>
  <si>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</si>
  <si>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</si>
  <si>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</si>
  <si>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</si>
  <si>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</si>
  <si>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</si>
  <si>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</si>
  <si>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2 yd packer/compactor</t>
  </si>
  <si>
    <t>3 yd packer/compactor</t>
  </si>
  <si>
    <t>4 yd packer/compactor</t>
  </si>
  <si>
    <t>6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</si>
  <si>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</si>
  <si>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</si>
  <si>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</si>
  <si>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</si>
  <si>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</si>
  <si>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</si>
  <si>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</si>
  <si>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</si>
  <si>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</si>
  <si>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</si>
  <si>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</si>
  <si>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</si>
  <si>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</si>
  <si>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</si>
  <si>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Company Proposed Rates</t>
  </si>
  <si>
    <t>Res'l &amp; Com'l</t>
  </si>
  <si>
    <t>Collected Revenue Excess/(Deficiency)</t>
  </si>
  <si>
    <t>Monthly Pickups</t>
  </si>
  <si>
    <t>Meeks</t>
  </si>
  <si>
    <t>Ratio</t>
  </si>
  <si>
    <t>Revenue Inc from Co Proposed Rates</t>
  </si>
  <si>
    <t>Total Tonnage</t>
  </si>
  <si>
    <t>Total Annual Pounds</t>
  </si>
  <si>
    <t>Total Calculated Pounds</t>
  </si>
  <si>
    <t>Adjustment Factor</t>
  </si>
  <si>
    <t>TOTAL</t>
  </si>
  <si>
    <t>Company Over /(Under) Collecting</t>
  </si>
  <si>
    <t>Frequency</t>
  </si>
  <si>
    <t>Annual</t>
  </si>
  <si>
    <t>Scheduled Service- Residential</t>
  </si>
  <si>
    <t>Totals</t>
  </si>
  <si>
    <t>Immaterial</t>
  </si>
  <si>
    <t>INPUT CELLS</t>
  </si>
  <si>
    <t>Extra Units</t>
  </si>
  <si>
    <t>40 gallon Can</t>
  </si>
  <si>
    <t>Supercan 60</t>
  </si>
  <si>
    <t>Supercan 90</t>
  </si>
  <si>
    <t>Compaction Ratio:   2:25</t>
  </si>
  <si>
    <t>Compaction Ratio:   3:1</t>
  </si>
  <si>
    <t>Compaction Ratio:   4:1</t>
  </si>
  <si>
    <t>Compaction Ratio:   5:1</t>
  </si>
  <si>
    <t xml:space="preserve">* not on meeks - for compactors </t>
  </si>
  <si>
    <t xml:space="preserve">   calculated weight times compaction ratio</t>
  </si>
  <si>
    <t>Pierce County</t>
  </si>
  <si>
    <t>Transfer Station</t>
  </si>
  <si>
    <t>Disposal Fee Revenue Increase</t>
  </si>
  <si>
    <t>Multi-family</t>
  </si>
  <si>
    <t>monthly pickups</t>
  </si>
  <si>
    <t>frequency</t>
  </si>
  <si>
    <t>annual pick ups</t>
  </si>
  <si>
    <t>meeks</t>
  </si>
  <si>
    <t>Adjusted annual Pounds</t>
  </si>
  <si>
    <t>Gross up</t>
  </si>
  <si>
    <t>Tariff Increase</t>
  </si>
  <si>
    <t>Bainbridge Disposal</t>
  </si>
  <si>
    <t>Kitsap County</t>
  </si>
  <si>
    <t xml:space="preserve">Twice Weekly Pickup </t>
  </si>
  <si>
    <t>Yds. per ton</t>
  </si>
  <si>
    <t>Olympic View Transfer Station</t>
  </si>
  <si>
    <t>Current Rate</t>
  </si>
  <si>
    <t>New Rate</t>
  </si>
  <si>
    <t>Bad debt</t>
  </si>
  <si>
    <t>note: Include bad debt if it was included in Lurito model</t>
  </si>
  <si>
    <t>Revenue from Company Rates</t>
  </si>
  <si>
    <t>Rounding Factor</t>
  </si>
  <si>
    <t>Revenue from Revised Rates</t>
  </si>
  <si>
    <t>TS</t>
  </si>
  <si>
    <t>Reg</t>
  </si>
  <si>
    <t>Pass BI</t>
  </si>
  <si>
    <t>Pass PL</t>
  </si>
  <si>
    <t>Contractor DB</t>
  </si>
  <si>
    <t>Poulsbo TS</t>
  </si>
  <si>
    <t>Poulsbo Comm</t>
  </si>
  <si>
    <t>Port Gamble</t>
  </si>
  <si>
    <t>Jan</t>
  </si>
  <si>
    <t>$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</si>
  <si>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</si>
  <si>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</si>
  <si>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</si>
  <si>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</si>
  <si>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</si>
  <si>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</si>
  <si>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</si>
  <si>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</si>
  <si>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</si>
  <si>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</si>
  <si>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</si>
  <si>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Tons collected</t>
  </si>
  <si>
    <t>Increase from 2015</t>
  </si>
  <si>
    <t>Price per ton</t>
  </si>
  <si>
    <t>Regulated</t>
  </si>
  <si>
    <t>Drop Box Bainbridge</t>
  </si>
  <si>
    <t>Drop Box Poulsbo</t>
  </si>
  <si>
    <t>Contractor</t>
  </si>
  <si>
    <t>Drop Box</t>
  </si>
  <si>
    <t xml:space="preserve"> Current Tariff</t>
  </si>
  <si>
    <t>Current Tariff</t>
  </si>
  <si>
    <t>Staff Proposed Tariff Rate</t>
  </si>
  <si>
    <t>1 minican week</t>
  </si>
  <si>
    <t>1 can week</t>
  </si>
  <si>
    <t>2 cans week</t>
  </si>
  <si>
    <t>3 cans week</t>
  </si>
  <si>
    <t>4 cans week</t>
  </si>
  <si>
    <t>5 cans week</t>
  </si>
  <si>
    <t>6 cans week</t>
  </si>
  <si>
    <t>20-30 Gal big belly  solar</t>
  </si>
  <si>
    <t>64 Gallon cart</t>
  </si>
  <si>
    <t>1 cont week - 2yd</t>
  </si>
  <si>
    <t>1 cont week - 2 yd temp</t>
  </si>
  <si>
    <t>1 cont week - 2 yd multi</t>
  </si>
  <si>
    <t>1 cont week - 2 yd cust owned</t>
  </si>
  <si>
    <t>1 cont EOW - 2yd</t>
  </si>
  <si>
    <t>Extras Residential and Commercial</t>
  </si>
  <si>
    <t>on call cont dumps</t>
  </si>
  <si>
    <t>Residential Extra cans</t>
  </si>
  <si>
    <t>Proposed Tariff Rate</t>
  </si>
  <si>
    <t>tariff pg #</t>
  </si>
  <si>
    <t>26, 36</t>
  </si>
  <si>
    <t>23,26</t>
  </si>
  <si>
    <t>tariff page#</t>
  </si>
  <si>
    <t>Tariff pg#</t>
  </si>
  <si>
    <t>No Customers</t>
  </si>
  <si>
    <t>1 can per month (on call)</t>
  </si>
  <si>
    <t>32 Gallon Cart per pick up</t>
  </si>
  <si>
    <t>Disposal Fee</t>
  </si>
  <si>
    <t>pass</t>
  </si>
  <si>
    <t>Disposal Fee Increases</t>
  </si>
  <si>
    <t>Based on previous rate case (including disposal fee filing)</t>
  </si>
  <si>
    <t>Customer count/price out</t>
  </si>
  <si>
    <t>disposal tons</t>
  </si>
  <si>
    <t>Allocation of regulated and non-regulated</t>
  </si>
  <si>
    <t>Based on Meeks weights, or allowed company alternative (used in last rate case)</t>
  </si>
  <si>
    <t>container size or service offering not on Meeks list</t>
  </si>
  <si>
    <t>Tariff Changes</t>
  </si>
  <si>
    <t>Tariff complies with tariff requirements</t>
  </si>
  <si>
    <t>only weight based rates are changed</t>
  </si>
  <si>
    <t>Other language changes  or new rates</t>
  </si>
  <si>
    <t>Order required granting exemption from work paper filing requirements WAC 480-07-520 (4)</t>
  </si>
  <si>
    <t>Commission's own motion or Company request</t>
  </si>
  <si>
    <t>order templates</t>
  </si>
  <si>
    <t>Order language:</t>
  </si>
  <si>
    <t>no significant changes since the last rate case i.e. customer counts, tonnage, collection methods</t>
  </si>
  <si>
    <t>fees are set by the county and are expenses of the company…</t>
  </si>
  <si>
    <t>company's financial information supports the increase</t>
  </si>
  <si>
    <t>Staff's conclusion is rate increase is fair, just, and reasonable</t>
  </si>
  <si>
    <t>Use applicable disposal fee description for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</si>
</sst>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4" borderId="8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4" fillId="0" borderId="0"/>
    <xf numFmtId="43" fontId="16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</cellStyleXfs>
  <cellXfs count="172">
    <xf numFmtId="0" fontId="0" fillId="0" borderId="0" xfId="0"/>
    <xf numFmtId="0" fontId="3" fillId="2" borderId="1" xfId="0" applyFont="1" applyFill="1" applyBorder="1"/>
    <xf numFmtId="43" fontId="0" fillId="0" borderId="0" xfId="0" applyNumberFormat="1"/>
    <xf numFmtId="4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3" fontId="9" fillId="0" borderId="0" xfId="3" applyNumberFormat="1" applyFont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/>
    <xf numFmtId="44" fontId="8" fillId="0" borderId="0" xfId="0" applyNumberFormat="1" applyFont="1"/>
    <xf numFmtId="0" fontId="0" fillId="6" borderId="9" xfId="0" applyFill="1" applyBorder="1"/>
    <xf numFmtId="0" fontId="0" fillId="5" borderId="9" xfId="0" applyFill="1" applyBorder="1"/>
    <xf numFmtId="1" fontId="8" fillId="0" borderId="0" xfId="1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2" fontId="7" fillId="3" borderId="10" xfId="0" applyNumberFormat="1" applyFont="1" applyFill="1" applyBorder="1"/>
    <xf numFmtId="3" fontId="10" fillId="3" borderId="10" xfId="3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/>
    </xf>
    <xf numFmtId="44" fontId="7" fillId="3" borderId="10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4" xfId="0" applyBorder="1"/>
    <xf numFmtId="0" fontId="3" fillId="0" borderId="3" xfId="0" applyFont="1" applyBorder="1"/>
    <xf numFmtId="0" fontId="3" fillId="0" borderId="0" xfId="0" applyFont="1"/>
    <xf numFmtId="168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5" fillId="0" borderId="0" xfId="0" applyFont="1"/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3" fontId="15" fillId="0" borderId="0" xfId="0" applyNumberFormat="1" applyFont="1"/>
    <xf numFmtId="10" fontId="2" fillId="0" borderId="0" xfId="4" applyNumberFormat="1" applyFont="1"/>
    <xf numFmtId="0" fontId="13" fillId="7" borderId="0" xfId="13" applyFont="1" applyFill="1"/>
    <xf numFmtId="3" fontId="11" fillId="7" borderId="0" xfId="0" applyNumberFormat="1" applyFont="1" applyFill="1" applyAlignment="1">
      <alignment horizontal="right"/>
    </xf>
    <xf numFmtId="2" fontId="11" fillId="7" borderId="0" xfId="0" applyNumberFormat="1" applyFont="1" applyFill="1"/>
    <xf numFmtId="3" fontId="11" fillId="7" borderId="0" xfId="3" applyNumberFormat="1" applyFont="1" applyFill="1" applyAlignment="1">
      <alignment horizontal="right"/>
    </xf>
    <xf numFmtId="1" fontId="11" fillId="7" borderId="0" xfId="0" applyNumberFormat="1" applyFont="1" applyFill="1" applyAlignment="1">
      <alignment horizontal="right"/>
    </xf>
    <xf numFmtId="164" fontId="11" fillId="7" borderId="0" xfId="0" applyNumberFormat="1" applyFont="1" applyFill="1"/>
    <xf numFmtId="0" fontId="11" fillId="7" borderId="0" xfId="0" applyFont="1" applyFill="1"/>
    <xf numFmtId="44" fontId="11" fillId="7" borderId="0" xfId="0" applyNumberFormat="1" applyFont="1" applyFill="1"/>
    <xf numFmtId="3" fontId="11" fillId="7" borderId="0" xfId="0" applyNumberFormat="1" applyFont="1" applyFill="1"/>
    <xf numFmtId="44" fontId="12" fillId="7" borderId="0" xfId="0" applyNumberFormat="1" applyFont="1" applyFill="1"/>
    <xf numFmtId="0" fontId="0" fillId="7" borderId="0" xfId="0" applyFill="1"/>
    <xf numFmtId="44" fontId="0" fillId="7" borderId="0" xfId="0" applyNumberFormat="1" applyFill="1"/>
    <xf numFmtId="0" fontId="3" fillId="8" borderId="0" xfId="0" applyFont="1" applyFill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41" fontId="0" fillId="0" borderId="0" xfId="1" applyNumberFormat="1" applyFont="1"/>
    <xf numFmtId="0" fontId="0" fillId="2" borderId="1" xfId="0" applyFill="1" applyBorder="1" applyAlignment="1">
      <alignment horizontal="center"/>
    </xf>
    <xf numFmtId="44" fontId="0" fillId="9" borderId="0" xfId="2" applyFont="1" applyFill="1" applyBorder="1"/>
    <xf numFmtId="165" fontId="0" fillId="0" borderId="0" xfId="2" applyNumberFormat="1" applyFont="1" applyFill="1"/>
    <xf numFmtId="166" fontId="0" fillId="0" borderId="0" xfId="1" applyNumberFormat="1" applyFont="1"/>
    <xf numFmtId="44" fontId="0" fillId="9" borderId="1" xfId="2" applyFont="1" applyFill="1" applyBorder="1"/>
    <xf numFmtId="165" fontId="0" fillId="0" borderId="1" xfId="2" applyNumberFormat="1" applyFont="1" applyFill="1" applyBorder="1"/>
    <xf numFmtId="166" fontId="0" fillId="0" borderId="0" xfId="1" applyNumberFormat="1" applyFont="1" applyBorder="1"/>
    <xf numFmtId="44" fontId="0" fillId="0" borderId="0" xfId="2" applyFont="1" applyFill="1"/>
    <xf numFmtId="167" fontId="0" fillId="0" borderId="0" xfId="2" applyNumberFormat="1" applyFont="1" applyFill="1"/>
    <xf numFmtId="166" fontId="0" fillId="0" borderId="1" xfId="1" applyNumberFormat="1" applyFont="1" applyBorder="1"/>
    <xf numFmtId="167" fontId="0" fillId="0" borderId="0" xfId="0" applyNumberFormat="1"/>
    <xf numFmtId="166" fontId="0" fillId="0" borderId="0" xfId="0" applyNumberFormat="1"/>
    <xf numFmtId="0" fontId="0" fillId="2" borderId="1" xfId="0" applyFill="1" applyBorder="1"/>
    <xf numFmtId="169" fontId="0" fillId="0" borderId="0" xfId="0" applyNumberFormat="1"/>
    <xf numFmtId="164" fontId="0" fillId="0" borderId="1" xfId="1" applyNumberFormat="1" applyFont="1" applyFill="1" applyBorder="1"/>
    <xf numFmtId="44" fontId="0" fillId="0" borderId="0" xfId="2" applyFont="1" applyFill="1" applyBorder="1"/>
    <xf numFmtId="42" fontId="3" fillId="0" borderId="0" xfId="0" applyNumberFormat="1" applyFont="1"/>
    <xf numFmtId="0" fontId="3" fillId="0" borderId="11" xfId="0" applyFont="1" applyBorder="1"/>
    <xf numFmtId="0" fontId="0" fillId="2" borderId="12" xfId="0" applyFill="1" applyBorder="1" applyAlignment="1">
      <alignment horizontal="center"/>
    </xf>
    <xf numFmtId="42" fontId="0" fillId="0" borderId="5" xfId="2" applyNumberFormat="1" applyFont="1" applyFill="1" applyBorder="1"/>
    <xf numFmtId="0" fontId="17" fillId="0" borderId="0" xfId="0" applyFont="1"/>
    <xf numFmtId="0" fontId="0" fillId="0" borderId="13" xfId="0" applyBorder="1"/>
    <xf numFmtId="0" fontId="0" fillId="0" borderId="7" xfId="0" applyBorder="1"/>
    <xf numFmtId="42" fontId="0" fillId="0" borderId="0" xfId="0" applyNumberFormat="1" applyAlignment="1">
      <alignment horizontal="right"/>
    </xf>
    <xf numFmtId="0" fontId="13" fillId="7" borderId="0" xfId="0" applyFont="1" applyFill="1" applyAlignment="1">
      <alignment horizontal="left" vertical="center"/>
    </xf>
    <xf numFmtId="164" fontId="13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43" fontId="3" fillId="7" borderId="0" xfId="0" applyNumberFormat="1" applyFont="1" applyFill="1"/>
    <xf numFmtId="1" fontId="3" fillId="7" borderId="0" xfId="0" applyNumberFormat="1" applyFont="1" applyFill="1" applyAlignment="1">
      <alignment horizontal="right"/>
    </xf>
    <xf numFmtId="44" fontId="3" fillId="7" borderId="0" xfId="0" applyNumberFormat="1" applyFont="1" applyFill="1"/>
    <xf numFmtId="43" fontId="13" fillId="7" borderId="0" xfId="0" applyNumberFormat="1" applyFont="1" applyFill="1"/>
    <xf numFmtId="1" fontId="13" fillId="7" borderId="0" xfId="0" applyNumberFormat="1" applyFont="1" applyFill="1" applyAlignment="1">
      <alignment horizontal="right"/>
    </xf>
    <xf numFmtId="3" fontId="13" fillId="7" borderId="0" xfId="0" applyNumberFormat="1" applyFont="1" applyFill="1"/>
    <xf numFmtId="44" fontId="13" fillId="7" borderId="0" xfId="0" applyNumberFormat="1" applyFont="1" applyFill="1"/>
    <xf numFmtId="3" fontId="3" fillId="7" borderId="0" xfId="0" applyNumberFormat="1" applyFont="1" applyFill="1" applyAlignment="1">
      <alignment horizontal="center" vertical="center" wrapText="1"/>
    </xf>
    <xf numFmtId="3" fontId="3" fillId="7" borderId="0" xfId="0" applyNumberFormat="1" applyFont="1" applyFill="1" applyAlignment="1">
      <alignment horizontal="center" wrapText="1"/>
    </xf>
    <xf numFmtId="44" fontId="3" fillId="7" borderId="0" xfId="0" applyNumberFormat="1" applyFont="1" applyFill="1" applyAlignment="1">
      <alignment horizontal="center" wrapText="1"/>
    </xf>
    <xf numFmtId="0" fontId="18" fillId="0" borderId="0" xfId="0" applyFont="1"/>
    <xf numFmtId="0" fontId="5" fillId="0" borderId="1" xfId="0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1" xfId="0" applyFont="1" applyBorder="1"/>
    <xf numFmtId="0" fontId="5" fillId="0" borderId="1" xfId="0" applyFont="1" applyBorder="1"/>
    <xf numFmtId="44" fontId="5" fillId="0" borderId="0" xfId="2" applyFont="1" applyFill="1"/>
    <xf numFmtId="165" fontId="5" fillId="0" borderId="0" xfId="2" applyNumberFormat="1" applyFont="1"/>
    <xf numFmtId="169" fontId="5" fillId="0" borderId="0" xfId="0" applyNumberFormat="1" applyFont="1"/>
    <xf numFmtId="44" fontId="5" fillId="0" borderId="1" xfId="2" applyFont="1" applyFill="1" applyBorder="1"/>
    <xf numFmtId="165" fontId="5" fillId="0" borderId="1" xfId="2" applyNumberFormat="1" applyFont="1" applyBorder="1"/>
    <xf numFmtId="44" fontId="5" fillId="0" borderId="0" xfId="0" applyNumberFormat="1" applyFont="1"/>
    <xf numFmtId="0" fontId="18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43" fontId="5" fillId="0" borderId="0" xfId="1" applyFont="1"/>
    <xf numFmtId="43" fontId="5" fillId="0" borderId="0" xfId="1" applyFont="1" applyFill="1"/>
    <xf numFmtId="43" fontId="5" fillId="0" borderId="1" xfId="1" applyFont="1" applyFill="1" applyBorder="1"/>
    <xf numFmtId="43" fontId="5" fillId="0" borderId="0" xfId="0" applyNumberFormat="1" applyFont="1"/>
    <xf numFmtId="43" fontId="5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0" fontId="4" fillId="0" borderId="0" xfId="3" applyAlignment="1">
      <alignment horizontal="left"/>
    </xf>
    <xf numFmtId="0" fontId="0" fillId="0" borderId="0" xfId="0" applyAlignment="1">
      <alignment vertical="center"/>
    </xf>
    <xf numFmtId="0" fontId="3" fillId="7" borderId="0" xfId="0" applyFont="1" applyFill="1"/>
    <xf numFmtId="0" fontId="18" fillId="7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wrapText="1" indent="2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44" fontId="5" fillId="0" borderId="0" xfId="2" applyFont="1" applyFill="1" applyBorder="1"/>
    <xf numFmtId="43" fontId="5" fillId="0" borderId="1" xfId="0" applyNumberFormat="1" applyFont="1" applyBorder="1"/>
    <xf numFmtId="44" fontId="18" fillId="0" borderId="0" xfId="0" applyNumberFormat="1" applyFont="1"/>
    <xf numFmtId="0" fontId="5" fillId="0" borderId="0" xfId="0" applyFont="1" applyAlignment="1">
      <alignment horizontal="left"/>
    </xf>
    <xf numFmtId="44" fontId="18" fillId="0" borderId="1" xfId="0" applyNumberFormat="1" applyFont="1" applyBorder="1"/>
    <xf numFmtId="10" fontId="5" fillId="0" borderId="0" xfId="4" applyNumberFormat="1" applyFont="1" applyFill="1"/>
    <xf numFmtId="43" fontId="5" fillId="0" borderId="9" xfId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7" fillId="3" borderId="1" xfId="0" applyNumberFormat="1" applyFont="1" applyFill="1" applyBorder="1" applyAlignment="1">
      <alignment horizontal="center" wrapText="1"/>
    </xf>
    <xf numFmtId="0" fontId="19" fillId="0" borderId="0" xfId="0" applyFont="1"/>
    <xf numFmtId="43" fontId="5" fillId="0" borderId="0" xfId="1" applyFont="1" applyFill="1" applyAlignment="1"/>
    <xf numFmtId="43" fontId="19" fillId="0" borderId="0" xfId="0" applyNumberFormat="1" applyFont="1"/>
    <xf numFmtId="170" fontId="8" fillId="0" borderId="0" xfId="0" applyNumberFormat="1" applyFont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3" fontId="9" fillId="0" borderId="0" xfId="3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3" applyFont="1" applyFill="1" applyAlignment="1">
      <alignment horizontal="left"/>
    </xf>
    <xf numFmtId="43" fontId="5" fillId="0" borderId="0" xfId="0" applyNumberFormat="1" applyFont="1" applyFill="1"/>
    <xf numFmtId="1" fontId="9" fillId="0" borderId="0" xfId="1" applyNumberFormat="1" applyFont="1" applyFill="1" applyBorder="1" applyAlignment="1">
      <alignment horizontal="right"/>
    </xf>
    <xf numFmtId="164" fontId="9" fillId="0" borderId="0" xfId="0" applyNumberFormat="1" applyFont="1" applyFill="1"/>
    <xf numFmtId="3" fontId="9" fillId="0" borderId="0" xfId="0" applyNumberFormat="1" applyFont="1" applyFill="1"/>
    <xf numFmtId="44" fontId="9" fillId="0" borderId="0" xfId="0" applyNumberFormat="1" applyFont="1" applyFill="1"/>
    <xf numFmtId="0" fontId="5" fillId="0" borderId="2" xfId="0" applyFont="1" applyFill="1" applyBorder="1" applyAlignment="1">
      <alignment horizontal="center" vertical="center" textRotation="90"/>
    </xf>
    <xf numFmtId="164" fontId="5" fillId="0" borderId="0" xfId="8" applyNumberFormat="1" applyFont="1" applyFill="1"/>
    <xf numFmtId="2" fontId="9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 textRotation="90"/>
    </xf>
    <xf numFmtId="1" fontId="9" fillId="0" borderId="0" xfId="3" applyNumberFormat="1" applyFont="1" applyFill="1" applyAlignment="1">
      <alignment horizontal="right"/>
    </xf>
    <xf numFmtId="0" fontId="4" fillId="0" borderId="2" xfId="3" applyFont="1" applyFill="1" applyBorder="1" applyAlignment="1">
      <alignment horizontal="left"/>
    </xf>
    <xf numFmtId="164" fontId="5" fillId="0" borderId="0" xfId="1" applyNumberFormat="1" applyFont="1" applyFill="1" applyBorder="1"/>
    <xf numFmtId="2" fontId="9" fillId="0" borderId="0" xfId="1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44" fontId="5" fillId="0" borderId="0" xfId="0" applyNumberFormat="1" applyFont="1" applyFill="1"/>
    <xf numFmtId="0" fontId="20" fillId="0" borderId="0" xfId="0" applyFont="1"/>
  </cellXfs>
  <cellStyles count="18">
    <cellStyle name="Comma" xfId="1" builtinId="3"/>
    <cellStyle name="Comma 10" xfId="8" xr:uid="{64F91195-FE25-42CD-9556-FE4C457609A1}"/>
    <cellStyle name="Comma 12 2 3" xfId="15" xr:uid="{C9F6F13C-9D63-4CF2-9C19-03F8D8C09F54}"/>
    <cellStyle name="Comma 2" xfId="11" xr:uid="{72BEC5CC-2F9F-4FA0-9933-E394AF35743F}"/>
    <cellStyle name="Currency" xfId="2" builtinId="4"/>
    <cellStyle name="Currency 2" xfId="9" xr:uid="{27C0E0DB-A0D7-425B-A395-714017D9360D}"/>
    <cellStyle name="Currency 2 2" xfId="12" xr:uid="{7B9C465F-1B2B-4B04-8F30-86E58C04000F}"/>
    <cellStyle name="Normal" xfId="0" builtinId="0"/>
    <cellStyle name="Normal 10" xfId="16" xr:uid="{DD4E065D-9052-4C28-9DDA-EAF1F2A6BC21}"/>
    <cellStyle name="Normal 12 3" xfId="14" xr:uid="{B2174057-4B68-44FD-B9F6-B412BB06306E}"/>
    <cellStyle name="Normal 2" xfId="10" xr:uid="{9E842DE6-498F-4A94-BF1D-1339C46B2FCC}"/>
    <cellStyle name="Normal 21" xfId="7" xr:uid="{AD9132D8-2D37-4CC5-96A7-811134E3EC43}"/>
    <cellStyle name="Normal 90" xfId="6" xr:uid="{9E04665A-7950-477D-8EEC-904233E61ABB}"/>
    <cellStyle name="Normal_Murrey's Jan-Dec 2012" xfId="13" xr:uid="{7099720B-ED36-4C4B-BF07-FCE02F521F24}"/>
    <cellStyle name="Normal_Price out" xfId="3" xr:uid="{862E1CDB-81C3-4FC7-A2C7-8E19820808C6}"/>
    <cellStyle name="Note 2" xfId="5" xr:uid="{8DCABC03-F376-4793-B27F-C76BCECB111B}"/>
    <cellStyle name="Percent" xfId="4" builtinId="5"/>
    <cellStyle name="Percent 2" xfId="17" xr:uid="{E75DD9B2-BB2C-4A31-84A9-53A8C943B8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6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UTC-LeMay\General%20Rate%20Filing\Gray's%20Harbor%20Filed%206-15-21\Audit\FINAL\.Gray's%20Harbor%20GRC%20Pro%20forma%2003.31.2021%20(C)%20Non-Redacted%20F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149%20Mason%20County\2021\General%20Rate%20Filing\.Mason%20Pro%20forma11.30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6 IS (C)"/>
      <sheetName val="2187 IS (C)"/>
      <sheetName val="Master IS (C)"/>
      <sheetName val="LOB (C)"/>
      <sheetName val="Restating Adj (C)"/>
      <sheetName val="Pro forma Adj (C)"/>
      <sheetName val="Allocators (C)"/>
      <sheetName val="2186 Depreciation Summary (C)"/>
      <sheetName val="Grays Harbor Reg Price Out"/>
      <sheetName val="Payroll Summary (C)"/>
      <sheetName val="Rate Schedule"/>
      <sheetName val="2186 BS 3.2021 (C)"/>
      <sheetName val="2187 BS 3.2021 (C)"/>
      <sheetName val="2186_BS 4.2020 (C)"/>
      <sheetName val="2187_BS 4.2020 (C)"/>
      <sheetName val="LG BRG Public"/>
      <sheetName val="LG BRG Public - MSW"/>
      <sheetName val="LG BRG Public - Recycle"/>
      <sheetName val="Interject_LastPulledValues"/>
      <sheetName val="DVP-DivCon Allocs  (C)"/>
      <sheetName val="Region OH (C)"/>
      <sheetName val="Corp-OH (C)"/>
      <sheetName val="Corp IS-BS -2020"/>
      <sheetName val="COVID EXPENSES JE Query"/>
      <sheetName val="70255 JE Query"/>
      <sheetName val="Insurance Claims JE Query"/>
      <sheetName val="70195 - Dues &amp; Subs JE Query"/>
      <sheetName val="Sale of Assets JE Query"/>
      <sheetName val="401k Accts JE Query"/>
      <sheetName val="2186 43001 JE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J20">
            <v>297548.43680074485</v>
          </cell>
        </row>
      </sheetData>
      <sheetData sheetId="17">
        <row r="20">
          <cell r="J20">
            <v>-31578.017917077872</v>
          </cell>
        </row>
      </sheetData>
      <sheetData sheetId="18"/>
      <sheetData sheetId="19"/>
      <sheetData sheetId="20"/>
      <sheetData sheetId="21"/>
      <sheetData sheetId="22"/>
      <sheetData sheetId="23">
        <row r="561">
          <cell r="H561">
            <v>35325.345000123409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5DDD-420C-455D-B739-ADA1BE28D498}">
  <dimension ref="A2:C27"/>
  <sheetViews>
    <sheetView tabSelected="1" zoomScaleNormal="100" workbookViewId="0"/>
  </sheetViews>
  <sheetFormatPr defaultRowHeight="14.4" x14ac:dyDescent="0.3"/>
  <sheetData>
    <row r="2" spans="1:3" x14ac:dyDescent="0.3">
      <c r="A2" s="171" t="s">
        <v>183</v>
      </c>
    </row>
    <row r="4" spans="1:3" x14ac:dyDescent="0.3">
      <c r="B4" t="s">
        <v>184</v>
      </c>
    </row>
    <row r="5" spans="1:3" x14ac:dyDescent="0.3">
      <c r="C5" t="s">
        <v>185</v>
      </c>
    </row>
    <row r="6" spans="1:3" x14ac:dyDescent="0.3">
      <c r="C6" t="s">
        <v>186</v>
      </c>
    </row>
    <row r="7" spans="1:3" x14ac:dyDescent="0.3">
      <c r="C7" t="s">
        <v>187</v>
      </c>
    </row>
    <row r="9" spans="1:3" x14ac:dyDescent="0.3">
      <c r="B9" t="s">
        <v>188</v>
      </c>
    </row>
    <row r="10" spans="1:3" x14ac:dyDescent="0.3">
      <c r="C10" t="s">
        <v>189</v>
      </c>
    </row>
    <row r="12" spans="1:3" x14ac:dyDescent="0.3">
      <c r="B12" t="s">
        <v>190</v>
      </c>
    </row>
    <row r="13" spans="1:3" x14ac:dyDescent="0.3">
      <c r="C13" t="s">
        <v>191</v>
      </c>
    </row>
    <row r="14" spans="1:3" x14ac:dyDescent="0.3">
      <c r="C14" t="s">
        <v>192</v>
      </c>
    </row>
    <row r="15" spans="1:3" x14ac:dyDescent="0.3">
      <c r="C15" t="s">
        <v>193</v>
      </c>
    </row>
    <row r="17" spans="2:3" x14ac:dyDescent="0.3">
      <c r="B17" t="s">
        <v>194</v>
      </c>
    </row>
    <row r="18" spans="2:3" x14ac:dyDescent="0.3">
      <c r="C18" t="s">
        <v>195</v>
      </c>
    </row>
    <row r="19" spans="2:3" x14ac:dyDescent="0.3">
      <c r="C19" t="s">
        <v>196</v>
      </c>
    </row>
    <row r="21" spans="2:3" x14ac:dyDescent="0.3">
      <c r="B21" t="s">
        <v>197</v>
      </c>
    </row>
    <row r="22" spans="2:3" x14ac:dyDescent="0.3">
      <c r="C22" t="s">
        <v>198</v>
      </c>
    </row>
    <row r="23" spans="2:3" x14ac:dyDescent="0.3">
      <c r="C23" t="s">
        <v>199</v>
      </c>
    </row>
    <row r="24" spans="2:3" x14ac:dyDescent="0.3">
      <c r="C24" t="s">
        <v>200</v>
      </c>
    </row>
    <row r="25" spans="2:3" x14ac:dyDescent="0.3">
      <c r="C25" t="s">
        <v>201</v>
      </c>
    </row>
    <row r="27" spans="2:3" x14ac:dyDescent="0.3">
      <c r="B27" t="s">
        <v>202</v>
      </c>
    </row>
  </sheetData>
  <pageMargins left="0.7" right="0.7" top="0.75" bottom="0.75" header="0.3" footer="0.3"/>
  <pageSetup scale="9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CC7C-35E8-457B-BF53-59DD4A274AD2}">
  <sheetPr>
    <pageSetUpPr fitToPage="1"/>
  </sheetPr>
  <dimension ref="A1:U56"/>
  <sheetViews>
    <sheetView zoomScale="85" zoomScaleNormal="85" workbookViewId="0"/>
  </sheetViews>
  <sheetFormatPr defaultColWidth="9.109375" defaultRowHeight="14.4" x14ac:dyDescent="0.3"/>
  <cols>
    <col min="1" max="1" width="41.88671875" style="36" bestFit="1" customWidth="1"/>
    <col min="2" max="2" width="17.6640625" style="36" bestFit="1" customWidth="1"/>
    <col min="3" max="3" width="10.5546875" style="36" bestFit="1" customWidth="1"/>
    <col min="4" max="4" width="14.5546875" style="36" bestFit="1" customWidth="1"/>
    <col min="5" max="5" width="16.109375" style="36" customWidth="1"/>
    <col min="6" max="6" width="20.109375" style="36" bestFit="1" customWidth="1"/>
    <col min="7" max="7" width="12.5546875" style="36" bestFit="1" customWidth="1"/>
    <col min="8" max="8" width="11.88671875" style="36" bestFit="1" customWidth="1"/>
    <col min="9" max="9" width="13.5546875" style="36" bestFit="1" customWidth="1"/>
    <col min="10" max="10" width="3.109375" style="36" customWidth="1"/>
    <col min="11" max="11" width="13.44140625" style="36" bestFit="1" customWidth="1"/>
    <col min="12" max="13" width="3.6640625" style="36" customWidth="1"/>
    <col min="14" max="14" width="19.33203125" style="36" customWidth="1"/>
    <col min="15" max="16" width="11.109375" style="36" bestFit="1" customWidth="1"/>
    <col min="17" max="17" width="13.44140625" style="36" bestFit="1" customWidth="1"/>
    <col min="18" max="18" width="17.6640625" style="36" bestFit="1" customWidth="1"/>
    <col min="19" max="19" width="14.109375" style="36" bestFit="1" customWidth="1"/>
    <col min="20" max="20" width="11.33203125" style="36" bestFit="1" customWidth="1"/>
    <col min="21" max="21" width="13.33203125" style="36" bestFit="1" customWidth="1"/>
    <col min="22" max="16384" width="9.109375" style="36"/>
  </cols>
  <sheetData>
    <row r="1" spans="1:7" x14ac:dyDescent="0.3">
      <c r="A1" s="98" t="s">
        <v>111</v>
      </c>
    </row>
    <row r="2" spans="1:7" x14ac:dyDescent="0.3">
      <c r="A2" s="98" t="s">
        <v>181</v>
      </c>
    </row>
    <row r="3" spans="1:7" x14ac:dyDescent="0.3">
      <c r="A3" s="98" t="s">
        <v>112</v>
      </c>
    </row>
    <row r="4" spans="1:7" x14ac:dyDescent="0.3">
      <c r="A4" s="98"/>
      <c r="D4" s="145" t="s">
        <v>13</v>
      </c>
      <c r="E4" s="145"/>
      <c r="F4" s="145"/>
      <c r="G4" s="145"/>
    </row>
    <row r="5" spans="1:7" x14ac:dyDescent="0.3">
      <c r="D5" s="99" t="s">
        <v>15</v>
      </c>
      <c r="E5" s="99" t="s">
        <v>16</v>
      </c>
      <c r="F5" s="99" t="s">
        <v>17</v>
      </c>
      <c r="G5" s="99" t="s">
        <v>18</v>
      </c>
    </row>
    <row r="6" spans="1:7" x14ac:dyDescent="0.3">
      <c r="A6" s="36" t="s">
        <v>113</v>
      </c>
      <c r="D6" s="100">
        <f>52*2/12</f>
        <v>8.6666666666666661</v>
      </c>
      <c r="E6" s="100">
        <f>D6*2</f>
        <v>17.333333333333332</v>
      </c>
      <c r="F6" s="100">
        <f>D6*3</f>
        <v>26</v>
      </c>
      <c r="G6" s="100">
        <f>D6*4</f>
        <v>34.666666666666664</v>
      </c>
    </row>
    <row r="7" spans="1:7" x14ac:dyDescent="0.3">
      <c r="A7" s="36" t="s">
        <v>26</v>
      </c>
      <c r="D7" s="100">
        <f>52/12</f>
        <v>4.333333333333333</v>
      </c>
      <c r="E7" s="100">
        <f t="shared" ref="E7:E9" si="0">D7*2</f>
        <v>8.6666666666666661</v>
      </c>
      <c r="F7" s="100">
        <f t="shared" ref="F7:F9" si="1">D7*3</f>
        <v>13</v>
      </c>
      <c r="G7" s="100">
        <f t="shared" ref="G7:G9" si="2">D7*4</f>
        <v>17.333333333333332</v>
      </c>
    </row>
    <row r="8" spans="1:7" x14ac:dyDescent="0.3">
      <c r="A8" s="36" t="s">
        <v>27</v>
      </c>
      <c r="D8" s="100">
        <f>26/12</f>
        <v>2.1666666666666665</v>
      </c>
      <c r="E8" s="100">
        <f t="shared" si="0"/>
        <v>4.333333333333333</v>
      </c>
      <c r="F8" s="100">
        <f t="shared" si="1"/>
        <v>6.5</v>
      </c>
      <c r="G8" s="100">
        <f t="shared" si="2"/>
        <v>8.6666666666666661</v>
      </c>
    </row>
    <row r="9" spans="1:7" x14ac:dyDescent="0.3">
      <c r="A9" s="36" t="s">
        <v>28</v>
      </c>
      <c r="D9" s="100">
        <f>12/12</f>
        <v>1</v>
      </c>
      <c r="E9" s="100">
        <f t="shared" si="0"/>
        <v>2</v>
      </c>
      <c r="F9" s="100">
        <f t="shared" si="1"/>
        <v>3</v>
      </c>
      <c r="G9" s="100">
        <f t="shared" si="2"/>
        <v>4</v>
      </c>
    </row>
    <row r="11" spans="1:7" x14ac:dyDescent="0.3">
      <c r="A11" s="36" t="s">
        <v>35</v>
      </c>
      <c r="B11" s="36">
        <v>2000</v>
      </c>
    </row>
    <row r="12" spans="1:7" x14ac:dyDescent="0.3">
      <c r="A12" s="36" t="s">
        <v>114</v>
      </c>
      <c r="B12" s="101" t="s">
        <v>38</v>
      </c>
    </row>
    <row r="14" spans="1:7" x14ac:dyDescent="0.3">
      <c r="A14" s="102" t="s">
        <v>115</v>
      </c>
      <c r="B14" s="99" t="s">
        <v>58</v>
      </c>
      <c r="C14" s="103" t="s">
        <v>59</v>
      </c>
      <c r="E14" s="102" t="s">
        <v>60</v>
      </c>
      <c r="F14" s="103"/>
    </row>
    <row r="15" spans="1:7" x14ac:dyDescent="0.3">
      <c r="A15" s="36" t="s">
        <v>116</v>
      </c>
      <c r="B15" s="104">
        <v>104</v>
      </c>
      <c r="C15" s="105">
        <f>B15/2000</f>
        <v>5.1999999999999998E-2</v>
      </c>
      <c r="E15" s="36" t="s">
        <v>62</v>
      </c>
      <c r="F15" s="106">
        <v>1.7500000000000002E-2</v>
      </c>
    </row>
    <row r="16" spans="1:7" x14ac:dyDescent="0.3">
      <c r="A16" s="36" t="s">
        <v>117</v>
      </c>
      <c r="B16" s="107">
        <v>118</v>
      </c>
      <c r="C16" s="108">
        <f>B16/2000</f>
        <v>5.8999999999999997E-2</v>
      </c>
      <c r="E16" s="36" t="s">
        <v>64</v>
      </c>
      <c r="F16" s="36">
        <v>5.1000000000000004E-3</v>
      </c>
    </row>
    <row r="17" spans="1:21" x14ac:dyDescent="0.3">
      <c r="A17" s="36" t="s">
        <v>6</v>
      </c>
      <c r="B17" s="104">
        <f>B16-B15</f>
        <v>14</v>
      </c>
      <c r="C17" s="105">
        <f>C16-C15</f>
        <v>6.9999999999999993E-3</v>
      </c>
      <c r="E17" s="36" t="s">
        <v>118</v>
      </c>
      <c r="F17" s="36">
        <v>1E-3</v>
      </c>
    </row>
    <row r="18" spans="1:21" x14ac:dyDescent="0.3">
      <c r="E18" s="36" t="s">
        <v>66</v>
      </c>
      <c r="F18" s="106">
        <f>SUM(F15:F16)+F17</f>
        <v>2.3600000000000003E-2</v>
      </c>
    </row>
    <row r="19" spans="1:21" x14ac:dyDescent="0.3">
      <c r="E19" s="36" t="s">
        <v>68</v>
      </c>
      <c r="F19" s="106">
        <f>1-F18</f>
        <v>0.97640000000000005</v>
      </c>
    </row>
    <row r="20" spans="1:21" x14ac:dyDescent="0.3">
      <c r="A20" s="36" t="s">
        <v>67</v>
      </c>
      <c r="B20" s="109">
        <f>B17</f>
        <v>14</v>
      </c>
      <c r="C20" s="109"/>
      <c r="E20" s="36" t="s">
        <v>119</v>
      </c>
    </row>
    <row r="21" spans="1:21" x14ac:dyDescent="0.3">
      <c r="A21" s="36" t="s">
        <v>69</v>
      </c>
      <c r="B21" s="109">
        <f>B20/F19</f>
        <v>14.338385907414994</v>
      </c>
    </row>
    <row r="22" spans="1:21" x14ac:dyDescent="0.3">
      <c r="A22" s="36" t="s">
        <v>70</v>
      </c>
      <c r="B22" s="132">
        <f>+F46</f>
        <v>7156.9</v>
      </c>
    </row>
    <row r="23" spans="1:21" x14ac:dyDescent="0.3">
      <c r="A23" s="98" t="s">
        <v>102</v>
      </c>
      <c r="B23" s="133">
        <f>B21*B22</f>
        <v>102618.39410077836</v>
      </c>
    </row>
    <row r="25" spans="1:21" x14ac:dyDescent="0.3">
      <c r="A25" s="36" t="s">
        <v>120</v>
      </c>
      <c r="B25" s="107">
        <f>'Staff Price Out'!Q19</f>
        <v>102818.34133466793</v>
      </c>
      <c r="C25" s="141"/>
    </row>
    <row r="26" spans="1:21" x14ac:dyDescent="0.3">
      <c r="A26" s="134" t="s">
        <v>73</v>
      </c>
      <c r="B26" s="109">
        <f>B25-B23</f>
        <v>199.94723388957209</v>
      </c>
    </row>
    <row r="27" spans="1:21" x14ac:dyDescent="0.3">
      <c r="E27" s="110" t="s">
        <v>121</v>
      </c>
      <c r="F27" s="103"/>
    </row>
    <row r="28" spans="1:21" x14ac:dyDescent="0.3">
      <c r="A28" s="98" t="s">
        <v>122</v>
      </c>
      <c r="B28" s="135">
        <f>'Staff Price Out'!Q19</f>
        <v>102818.34133466793</v>
      </c>
      <c r="E28" s="36">
        <v>0.01</v>
      </c>
    </row>
    <row r="29" spans="1:21" x14ac:dyDescent="0.3">
      <c r="A29" s="134" t="s">
        <v>73</v>
      </c>
      <c r="B29" s="109">
        <f>B28-B23</f>
        <v>199.94723388957209</v>
      </c>
      <c r="C29" s="136">
        <f>B29/B23</f>
        <v>1.948454130876479E-3</v>
      </c>
    </row>
    <row r="30" spans="1:21" x14ac:dyDescent="0.3">
      <c r="O30" s="98"/>
    </row>
    <row r="31" spans="1:21" x14ac:dyDescent="0.3">
      <c r="E31" s="145">
        <v>2015</v>
      </c>
      <c r="F31" s="145"/>
      <c r="G31" s="145"/>
      <c r="H31" s="145"/>
      <c r="I31" s="145"/>
      <c r="J31" s="145"/>
      <c r="K31" s="145"/>
      <c r="L31" s="101"/>
      <c r="M31" s="101"/>
      <c r="O31" s="145">
        <v>2021</v>
      </c>
      <c r="P31" s="145"/>
      <c r="Q31" s="145"/>
      <c r="R31" s="145"/>
      <c r="S31" s="145"/>
      <c r="T31" s="145"/>
    </row>
    <row r="32" spans="1:21" x14ac:dyDescent="0.3">
      <c r="E32" s="101" t="s">
        <v>123</v>
      </c>
      <c r="F32" s="101" t="s">
        <v>124</v>
      </c>
      <c r="G32" s="101" t="s">
        <v>125</v>
      </c>
      <c r="H32" s="101" t="s">
        <v>126</v>
      </c>
      <c r="I32" s="101" t="s">
        <v>127</v>
      </c>
      <c r="J32" s="101"/>
      <c r="K32" s="101" t="s">
        <v>66</v>
      </c>
      <c r="L32" s="101"/>
      <c r="M32" s="101"/>
      <c r="O32" s="101" t="s">
        <v>124</v>
      </c>
      <c r="P32" s="101" t="s">
        <v>123</v>
      </c>
      <c r="Q32" s="101" t="s">
        <v>128</v>
      </c>
      <c r="R32" s="101" t="s">
        <v>129</v>
      </c>
      <c r="S32" s="101" t="s">
        <v>130</v>
      </c>
      <c r="T32" s="101" t="s">
        <v>66</v>
      </c>
      <c r="U32" s="101"/>
    </row>
    <row r="33" spans="1:21" x14ac:dyDescent="0.3">
      <c r="A33" s="36" t="s">
        <v>131</v>
      </c>
      <c r="D33" s="111" t="s">
        <v>132</v>
      </c>
      <c r="E33" s="112">
        <v>16596.080000000002</v>
      </c>
      <c r="F33" s="113">
        <v>40643.599999999999</v>
      </c>
      <c r="G33" s="113">
        <v>6364.52</v>
      </c>
      <c r="H33" s="113">
        <v>6961.84</v>
      </c>
      <c r="I33" s="113">
        <v>2955.08</v>
      </c>
      <c r="J33" s="113"/>
      <c r="K33" s="112">
        <f t="shared" ref="K33:K44" si="3">SUM(E33:J33)</f>
        <v>73521.119999999995</v>
      </c>
      <c r="L33" s="112"/>
      <c r="M33" s="112"/>
      <c r="N33" s="111"/>
      <c r="O33" s="113">
        <v>842</v>
      </c>
      <c r="P33" s="113">
        <v>363</v>
      </c>
      <c r="Q33" s="113">
        <v>0</v>
      </c>
      <c r="R33" s="113">
        <v>30</v>
      </c>
      <c r="S33" s="113">
        <v>3</v>
      </c>
      <c r="T33" s="113">
        <f>+O33+P33+Q33+R33+S33</f>
        <v>1238</v>
      </c>
      <c r="U33" s="113"/>
    </row>
    <row r="34" spans="1:21" x14ac:dyDescent="0.3">
      <c r="A34" s="36" t="s">
        <v>133</v>
      </c>
      <c r="D34" s="111" t="s">
        <v>132</v>
      </c>
      <c r="E34" s="112">
        <v>17074.12</v>
      </c>
      <c r="F34" s="113">
        <v>34442.68</v>
      </c>
      <c r="G34" s="113">
        <v>6253.28</v>
      </c>
      <c r="H34" s="113">
        <v>4932.1499999999996</v>
      </c>
      <c r="I34" s="113">
        <v>3525.12</v>
      </c>
      <c r="J34" s="113"/>
      <c r="K34" s="112">
        <f t="shared" si="3"/>
        <v>66227.350000000006</v>
      </c>
      <c r="L34" s="112"/>
      <c r="M34" s="112"/>
      <c r="N34" s="111"/>
      <c r="O34" s="113">
        <v>747</v>
      </c>
      <c r="P34" s="113">
        <v>305</v>
      </c>
      <c r="Q34" s="113">
        <v>0</v>
      </c>
      <c r="R34" s="113">
        <v>39</v>
      </c>
      <c r="S34" s="113">
        <v>7</v>
      </c>
      <c r="T34" s="113">
        <f t="shared" ref="T34:T44" si="4">+O34+P34+Q34+R34+S34</f>
        <v>1098</v>
      </c>
      <c r="U34" s="113"/>
    </row>
    <row r="35" spans="1:21" x14ac:dyDescent="0.3">
      <c r="A35" s="36" t="s">
        <v>134</v>
      </c>
      <c r="D35" s="111" t="s">
        <v>132</v>
      </c>
      <c r="E35" s="112">
        <v>19858.22</v>
      </c>
      <c r="F35" s="113">
        <v>41672.44</v>
      </c>
      <c r="G35" s="113">
        <v>8369.44</v>
      </c>
      <c r="H35" s="113">
        <v>4815.76</v>
      </c>
      <c r="I35" s="113">
        <v>2827.44</v>
      </c>
      <c r="J35" s="113"/>
      <c r="K35" s="112">
        <f t="shared" si="3"/>
        <v>77543.3</v>
      </c>
      <c r="L35" s="112"/>
      <c r="M35" s="112"/>
      <c r="N35" s="111"/>
      <c r="O35" s="113">
        <v>882</v>
      </c>
      <c r="P35" s="113">
        <v>494</v>
      </c>
      <c r="Q35" s="113">
        <v>0</v>
      </c>
      <c r="R35" s="113">
        <v>78</v>
      </c>
      <c r="S35" s="113">
        <v>23</v>
      </c>
      <c r="T35" s="113">
        <f t="shared" si="4"/>
        <v>1477</v>
      </c>
      <c r="U35" s="113"/>
    </row>
    <row r="36" spans="1:21" x14ac:dyDescent="0.3">
      <c r="A36" s="36" t="s">
        <v>135</v>
      </c>
      <c r="D36" s="111" t="s">
        <v>132</v>
      </c>
      <c r="E36" s="112">
        <v>19367.080000000002</v>
      </c>
      <c r="F36" s="113">
        <v>39791.56</v>
      </c>
      <c r="G36" s="113">
        <v>12167.92</v>
      </c>
      <c r="H36" s="113">
        <v>5656.92</v>
      </c>
      <c r="I36" s="113">
        <v>1682.32</v>
      </c>
      <c r="J36" s="113"/>
      <c r="K36" s="112">
        <f t="shared" si="3"/>
        <v>78665.8</v>
      </c>
      <c r="L36" s="112"/>
      <c r="M36" s="112"/>
      <c r="N36" s="111"/>
      <c r="O36" s="113">
        <v>819</v>
      </c>
      <c r="P36" s="113">
        <v>436</v>
      </c>
      <c r="Q36" s="113">
        <v>0</v>
      </c>
      <c r="R36" s="113">
        <v>98</v>
      </c>
      <c r="S36" s="113">
        <v>76</v>
      </c>
      <c r="T36" s="113">
        <f t="shared" si="4"/>
        <v>1429</v>
      </c>
      <c r="U36" s="113"/>
    </row>
    <row r="37" spans="1:21" x14ac:dyDescent="0.3">
      <c r="A37" s="36" t="s">
        <v>136</v>
      </c>
      <c r="D37" s="111" t="s">
        <v>132</v>
      </c>
      <c r="E37" s="112">
        <v>21241.84</v>
      </c>
      <c r="F37" s="113">
        <v>40453.879999999997</v>
      </c>
      <c r="G37" s="113">
        <v>8789.43</v>
      </c>
      <c r="H37" s="113">
        <v>4324.12</v>
      </c>
      <c r="I37" s="113">
        <v>2263.04</v>
      </c>
      <c r="J37" s="113"/>
      <c r="K37" s="112">
        <f t="shared" si="3"/>
        <v>77072.309999999983</v>
      </c>
      <c r="L37" s="112"/>
      <c r="M37" s="112"/>
      <c r="N37" s="111"/>
      <c r="O37" s="113">
        <v>748</v>
      </c>
      <c r="P37" s="113">
        <v>503</v>
      </c>
      <c r="Q37" s="113">
        <v>0</v>
      </c>
      <c r="R37" s="113">
        <v>98</v>
      </c>
      <c r="S37" s="113">
        <v>3</v>
      </c>
      <c r="T37" s="113">
        <f t="shared" si="4"/>
        <v>1352</v>
      </c>
      <c r="U37" s="113"/>
    </row>
    <row r="38" spans="1:21" x14ac:dyDescent="0.3">
      <c r="A38" s="36" t="s">
        <v>137</v>
      </c>
      <c r="D38" s="111" t="s">
        <v>132</v>
      </c>
      <c r="E38" s="112">
        <v>24840.400000000001</v>
      </c>
      <c r="F38" s="113">
        <v>38587.96</v>
      </c>
      <c r="G38" s="113">
        <v>10702.86</v>
      </c>
      <c r="H38" s="113">
        <v>4989.16</v>
      </c>
      <c r="I38" s="113">
        <v>2900.2</v>
      </c>
      <c r="J38" s="113"/>
      <c r="K38" s="112">
        <f t="shared" si="3"/>
        <v>82020.58</v>
      </c>
      <c r="L38" s="112"/>
      <c r="M38" s="112"/>
      <c r="N38" s="111"/>
      <c r="O38" s="113">
        <v>830</v>
      </c>
      <c r="P38" s="113">
        <v>419</v>
      </c>
      <c r="Q38" s="113">
        <v>0</v>
      </c>
      <c r="R38" s="113">
        <v>75</v>
      </c>
      <c r="S38" s="113">
        <v>14</v>
      </c>
      <c r="T38" s="113">
        <f t="shared" si="4"/>
        <v>1338</v>
      </c>
      <c r="U38" s="113"/>
    </row>
    <row r="39" spans="1:21" x14ac:dyDescent="0.3">
      <c r="A39" s="36" t="s">
        <v>138</v>
      </c>
      <c r="D39" s="111" t="s">
        <v>132</v>
      </c>
      <c r="E39" s="112">
        <v>24567.040000000001</v>
      </c>
      <c r="F39" s="113">
        <v>41062.480000000003</v>
      </c>
      <c r="G39" s="113">
        <v>16251.63</v>
      </c>
      <c r="H39" s="113">
        <v>5360.44</v>
      </c>
      <c r="I39" s="113">
        <v>2744.48</v>
      </c>
      <c r="J39" s="113"/>
      <c r="K39" s="112">
        <f t="shared" si="3"/>
        <v>89986.07</v>
      </c>
      <c r="L39" s="112"/>
      <c r="M39" s="112"/>
      <c r="N39" s="111"/>
      <c r="O39" s="113">
        <v>873</v>
      </c>
      <c r="P39" s="113">
        <v>483</v>
      </c>
      <c r="Q39" s="113">
        <v>0</v>
      </c>
      <c r="R39" s="113">
        <v>86</v>
      </c>
      <c r="S39" s="113">
        <v>3</v>
      </c>
      <c r="T39" s="113">
        <f t="shared" si="4"/>
        <v>1445</v>
      </c>
      <c r="U39" s="113"/>
    </row>
    <row r="40" spans="1:21" x14ac:dyDescent="0.3">
      <c r="A40" s="36" t="s">
        <v>139</v>
      </c>
      <c r="D40" s="111" t="s">
        <v>132</v>
      </c>
      <c r="E40" s="112">
        <v>21223.66</v>
      </c>
      <c r="F40" s="113">
        <v>41915.199999999997</v>
      </c>
      <c r="G40" s="113">
        <v>14806.4</v>
      </c>
      <c r="H40" s="113">
        <v>4863.3599999999997</v>
      </c>
      <c r="I40" s="113">
        <v>1629.28</v>
      </c>
      <c r="J40" s="113"/>
      <c r="K40" s="112">
        <f t="shared" si="3"/>
        <v>84437.9</v>
      </c>
      <c r="L40" s="112"/>
      <c r="M40" s="112"/>
      <c r="N40" s="111"/>
      <c r="O40" s="113">
        <v>846</v>
      </c>
      <c r="P40" s="113">
        <v>403</v>
      </c>
      <c r="Q40" s="113">
        <v>0</v>
      </c>
      <c r="R40" s="113">
        <v>94</v>
      </c>
      <c r="S40" s="113">
        <v>2</v>
      </c>
      <c r="T40" s="113">
        <f t="shared" si="4"/>
        <v>1345</v>
      </c>
      <c r="U40" s="113"/>
    </row>
    <row r="41" spans="1:21" x14ac:dyDescent="0.3">
      <c r="A41" s="36" t="s">
        <v>140</v>
      </c>
      <c r="D41" s="111" t="s">
        <v>132</v>
      </c>
      <c r="E41" s="112">
        <v>19591.48</v>
      </c>
      <c r="F41" s="113">
        <v>42640.08</v>
      </c>
      <c r="G41" s="113">
        <v>3346.28</v>
      </c>
      <c r="H41" s="113">
        <v>4338.3999999999996</v>
      </c>
      <c r="I41" s="113">
        <v>1381.08</v>
      </c>
      <c r="J41" s="113"/>
      <c r="K41" s="112">
        <f t="shared" si="3"/>
        <v>71297.319999999992</v>
      </c>
      <c r="L41" s="112"/>
      <c r="M41" s="112"/>
      <c r="N41" s="111"/>
      <c r="O41" s="113">
        <v>914</v>
      </c>
      <c r="P41" s="113">
        <v>387</v>
      </c>
      <c r="Q41" s="113">
        <v>0</v>
      </c>
      <c r="R41" s="113">
        <v>68</v>
      </c>
      <c r="S41" s="113">
        <v>0</v>
      </c>
      <c r="T41" s="113">
        <f t="shared" si="4"/>
        <v>1369</v>
      </c>
      <c r="U41" s="113"/>
    </row>
    <row r="42" spans="1:21" x14ac:dyDescent="0.3">
      <c r="A42" s="36" t="s">
        <v>141</v>
      </c>
      <c r="D42" s="111" t="s">
        <v>132</v>
      </c>
      <c r="E42" s="112">
        <v>14528.88</v>
      </c>
      <c r="F42" s="113">
        <v>42577.52</v>
      </c>
      <c r="G42" s="113">
        <v>5631.06</v>
      </c>
      <c r="H42" s="113">
        <v>5031.32</v>
      </c>
      <c r="I42" s="113">
        <v>1090.72</v>
      </c>
      <c r="J42" s="113"/>
      <c r="K42" s="112">
        <f t="shared" si="3"/>
        <v>68859.5</v>
      </c>
      <c r="L42" s="112"/>
      <c r="M42" s="112"/>
      <c r="N42" s="111"/>
      <c r="O42" s="113">
        <v>769</v>
      </c>
      <c r="P42" s="113">
        <v>428</v>
      </c>
      <c r="Q42" s="113">
        <v>0</v>
      </c>
      <c r="R42" s="113">
        <v>76</v>
      </c>
      <c r="S42" s="113">
        <v>4</v>
      </c>
      <c r="T42" s="113">
        <f t="shared" si="4"/>
        <v>1277</v>
      </c>
      <c r="U42" s="113"/>
    </row>
    <row r="43" spans="1:21" x14ac:dyDescent="0.3">
      <c r="A43" s="36" t="s">
        <v>142</v>
      </c>
      <c r="D43" s="111" t="s">
        <v>132</v>
      </c>
      <c r="E43" s="112">
        <v>15349.64</v>
      </c>
      <c r="F43" s="113">
        <v>37771.96</v>
      </c>
      <c r="G43" s="113">
        <v>5969.72</v>
      </c>
      <c r="H43" s="113">
        <v>4413.2</v>
      </c>
      <c r="I43" s="113">
        <v>2095.7600000000002</v>
      </c>
      <c r="J43" s="113"/>
      <c r="K43" s="112">
        <f t="shared" si="3"/>
        <v>65600.28</v>
      </c>
      <c r="L43" s="112"/>
      <c r="M43" s="112"/>
      <c r="N43" s="111"/>
      <c r="O43" s="113">
        <v>866</v>
      </c>
      <c r="P43" s="113">
        <v>379</v>
      </c>
      <c r="Q43" s="113">
        <v>0</v>
      </c>
      <c r="R43" s="113">
        <v>58</v>
      </c>
      <c r="S43" s="113">
        <v>0</v>
      </c>
      <c r="T43" s="113">
        <f t="shared" si="4"/>
        <v>1303</v>
      </c>
      <c r="U43" s="113"/>
    </row>
    <row r="44" spans="1:21" x14ac:dyDescent="0.3">
      <c r="A44" s="36" t="s">
        <v>143</v>
      </c>
      <c r="D44" s="111" t="s">
        <v>132</v>
      </c>
      <c r="E44" s="112">
        <v>15478.16</v>
      </c>
      <c r="F44" s="113">
        <v>42950.16</v>
      </c>
      <c r="G44" s="113">
        <v>6768.84</v>
      </c>
      <c r="H44" s="113">
        <v>6620.48</v>
      </c>
      <c r="I44" s="113">
        <v>2173.2800000000002</v>
      </c>
      <c r="J44" s="113"/>
      <c r="K44" s="112">
        <f t="shared" si="3"/>
        <v>73990.92</v>
      </c>
      <c r="L44" s="112"/>
      <c r="M44" s="112"/>
      <c r="N44" s="111"/>
      <c r="O44" s="114">
        <v>687</v>
      </c>
      <c r="P44" s="114">
        <v>259</v>
      </c>
      <c r="Q44" s="114">
        <v>0</v>
      </c>
      <c r="R44" s="114">
        <v>102</v>
      </c>
      <c r="S44" s="114">
        <v>0</v>
      </c>
      <c r="T44" s="114">
        <f t="shared" si="4"/>
        <v>1048</v>
      </c>
      <c r="U44" s="113"/>
    </row>
    <row r="45" spans="1:21" x14ac:dyDescent="0.3">
      <c r="D45" s="111" t="s">
        <v>132</v>
      </c>
      <c r="E45" s="115">
        <f>SUM(E33:E44)</f>
        <v>229716.6</v>
      </c>
      <c r="F45" s="115">
        <f t="shared" ref="F45:K45" si="5">SUM(F33:F44)</f>
        <v>484509.52</v>
      </c>
      <c r="G45" s="115">
        <f t="shared" si="5"/>
        <v>105421.37999999999</v>
      </c>
      <c r="H45" s="115">
        <f t="shared" si="5"/>
        <v>62307.149999999994</v>
      </c>
      <c r="I45" s="115">
        <f t="shared" si="5"/>
        <v>27267.800000000003</v>
      </c>
      <c r="K45" s="115">
        <f t="shared" si="5"/>
        <v>909222.45000000007</v>
      </c>
      <c r="L45" s="115"/>
      <c r="M45" s="115"/>
      <c r="N45" s="111"/>
      <c r="O45" s="113">
        <f>SUM(O33:O44)</f>
        <v>9823</v>
      </c>
      <c r="P45" s="113">
        <f t="shared" ref="P45:T45" si="6">SUM(P33:P44)</f>
        <v>4859</v>
      </c>
      <c r="Q45" s="113">
        <f t="shared" si="6"/>
        <v>0</v>
      </c>
      <c r="R45" s="113">
        <f t="shared" si="6"/>
        <v>902</v>
      </c>
      <c r="S45" s="113">
        <f t="shared" si="6"/>
        <v>135</v>
      </c>
      <c r="T45" s="113">
        <f t="shared" si="6"/>
        <v>15719</v>
      </c>
      <c r="U45" s="113"/>
    </row>
    <row r="46" spans="1:21" x14ac:dyDescent="0.3">
      <c r="D46" s="111" t="s">
        <v>144</v>
      </c>
      <c r="E46" s="113">
        <v>3546.72</v>
      </c>
      <c r="F46" s="137">
        <v>7156.9</v>
      </c>
      <c r="G46" s="113">
        <v>1738.57</v>
      </c>
      <c r="H46" s="113">
        <v>953.15</v>
      </c>
      <c r="I46" s="113">
        <v>410.94</v>
      </c>
      <c r="K46" s="113">
        <f>SUM(E46:I46)</f>
        <v>13806.279999999999</v>
      </c>
      <c r="L46" s="113"/>
      <c r="M46" s="113"/>
      <c r="N46" s="116" t="s">
        <v>145</v>
      </c>
      <c r="O46" s="113">
        <f>+O45-F46</f>
        <v>2666.1000000000004</v>
      </c>
      <c r="P46" s="113">
        <f>+P45-E46</f>
        <v>1312.2800000000002</v>
      </c>
      <c r="Q46" s="113"/>
      <c r="R46" s="113"/>
      <c r="S46" s="113"/>
      <c r="T46" s="113">
        <f>+T45-K46</f>
        <v>1912.7200000000012</v>
      </c>
    </row>
    <row r="47" spans="1:21" ht="15" customHeight="1" x14ac:dyDescent="0.3">
      <c r="D47" s="111" t="s">
        <v>146</v>
      </c>
      <c r="E47" s="115">
        <f>+E45/E46</f>
        <v>64.768744079036409</v>
      </c>
      <c r="F47" s="115">
        <f>+F45/F46</f>
        <v>67.698238063966244</v>
      </c>
      <c r="G47" s="115">
        <f>+G45/G46</f>
        <v>60.636833719666157</v>
      </c>
      <c r="H47" s="115">
        <f>+H45/H46</f>
        <v>65.369721449929173</v>
      </c>
      <c r="I47" s="115">
        <f>+I45/I46</f>
        <v>66.354698982819883</v>
      </c>
      <c r="K47" s="115">
        <f>+K45/K46</f>
        <v>65.855715659830182</v>
      </c>
      <c r="L47" s="115"/>
      <c r="M47" s="115"/>
      <c r="N47" s="113"/>
      <c r="O47" s="142" t="s">
        <v>182</v>
      </c>
      <c r="P47" s="142"/>
      <c r="Q47" s="142"/>
      <c r="R47" s="142"/>
      <c r="S47" s="117"/>
      <c r="T47" s="117"/>
    </row>
    <row r="48" spans="1:21" x14ac:dyDescent="0.3">
      <c r="O48" s="142"/>
      <c r="P48" s="142"/>
      <c r="Q48" s="142"/>
      <c r="R48" s="142"/>
      <c r="S48" s="117"/>
      <c r="T48" s="117"/>
    </row>
    <row r="49" spans="3:21" x14ac:dyDescent="0.3">
      <c r="O49" s="142"/>
      <c r="P49" s="142"/>
      <c r="Q49" s="142"/>
      <c r="R49" s="142"/>
      <c r="S49" s="117"/>
      <c r="T49" s="117"/>
      <c r="U49" s="115"/>
    </row>
    <row r="50" spans="3:21" x14ac:dyDescent="0.3">
      <c r="C50" s="36" t="s">
        <v>147</v>
      </c>
      <c r="F50" s="115">
        <f>SUM(F46:I46)</f>
        <v>10259.56</v>
      </c>
      <c r="O50" s="143"/>
    </row>
    <row r="52" spans="3:21" x14ac:dyDescent="0.3">
      <c r="E52" s="36" t="s">
        <v>124</v>
      </c>
      <c r="F52" s="36" t="s">
        <v>147</v>
      </c>
    </row>
    <row r="53" spans="3:21" x14ac:dyDescent="0.3">
      <c r="E53" s="36" t="s">
        <v>123</v>
      </c>
      <c r="F53" s="36" t="s">
        <v>101</v>
      </c>
    </row>
    <row r="54" spans="3:21" x14ac:dyDescent="0.3">
      <c r="E54" s="36" t="s">
        <v>125</v>
      </c>
      <c r="F54" s="36" t="s">
        <v>148</v>
      </c>
    </row>
    <row r="55" spans="3:21" x14ac:dyDescent="0.3">
      <c r="E55" s="36" t="s">
        <v>126</v>
      </c>
      <c r="F55" s="36" t="s">
        <v>149</v>
      </c>
    </row>
    <row r="56" spans="3:21" x14ac:dyDescent="0.3">
      <c r="E56" s="36" t="s">
        <v>150</v>
      </c>
      <c r="F56" s="36" t="s">
        <v>151</v>
      </c>
    </row>
  </sheetData>
  <mergeCells count="3">
    <mergeCell ref="D4:G4"/>
    <mergeCell ref="E31:K31"/>
    <mergeCell ref="O31:T31"/>
  </mergeCells>
  <pageMargins left="0.25" right="0.25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8CE5-1AF9-4B24-B830-FEE8047C7052}">
  <sheetPr>
    <pageSetUpPr fitToPage="1"/>
  </sheetPr>
  <dimension ref="A1:J75"/>
  <sheetViews>
    <sheetView showGridLines="0" zoomScale="85" zoomScaleNormal="85" zoomScaleSheetLayoutView="90" workbookViewId="0"/>
  </sheetViews>
  <sheetFormatPr defaultRowHeight="14.4" x14ac:dyDescent="0.3"/>
  <cols>
    <col min="1" max="1" width="31.33203125" customWidth="1"/>
    <col min="2" max="2" width="7" customWidth="1"/>
    <col min="3" max="3" width="19" bestFit="1" customWidth="1"/>
    <col min="4" max="4" width="16" bestFit="1" customWidth="1"/>
    <col min="5" max="5" width="10.5546875" bestFit="1" customWidth="1"/>
    <col min="6" max="6" width="9.88671875" customWidth="1"/>
    <col min="7" max="7" width="11.44140625" bestFit="1" customWidth="1"/>
    <col min="8" max="8" width="13.33203125" customWidth="1"/>
    <col min="9" max="9" width="10.44140625" customWidth="1"/>
    <col min="10" max="10" width="15.88671875" bestFit="1" customWidth="1"/>
    <col min="11" max="11" width="14.5546875" customWidth="1"/>
  </cols>
  <sheetData>
    <row r="1" spans="1:10" x14ac:dyDescent="0.3">
      <c r="A1" s="31"/>
    </row>
    <row r="2" spans="1:10" x14ac:dyDescent="0.3">
      <c r="A2" s="31"/>
      <c r="J2" s="53" t="s">
        <v>89</v>
      </c>
    </row>
    <row r="5" spans="1:10" x14ac:dyDescent="0.3">
      <c r="A5" s="146" t="s">
        <v>13</v>
      </c>
      <c r="B5" s="146"/>
      <c r="C5" s="146"/>
      <c r="D5" s="146"/>
      <c r="E5" s="146"/>
      <c r="F5" s="146"/>
      <c r="G5" s="146"/>
      <c r="H5" s="146"/>
      <c r="I5" s="146"/>
    </row>
    <row r="6" spans="1:10" x14ac:dyDescent="0.3">
      <c r="A6" t="s">
        <v>14</v>
      </c>
      <c r="C6" s="38" t="s">
        <v>15</v>
      </c>
      <c r="D6" s="38" t="s">
        <v>16</v>
      </c>
      <c r="E6" s="38" t="s">
        <v>17</v>
      </c>
      <c r="F6" s="38" t="s">
        <v>18</v>
      </c>
      <c r="G6" s="38" t="s">
        <v>19</v>
      </c>
      <c r="H6" s="38" t="s">
        <v>20</v>
      </c>
      <c r="I6" s="38" t="s">
        <v>21</v>
      </c>
    </row>
    <row r="7" spans="1:10" x14ac:dyDescent="0.3">
      <c r="A7" t="s">
        <v>22</v>
      </c>
      <c r="C7" s="54">
        <f>52*5/12</f>
        <v>21.666666666666668</v>
      </c>
      <c r="D7" s="37">
        <f>$C$7*2</f>
        <v>43.333333333333336</v>
      </c>
      <c r="E7" s="37">
        <f>$C$7*3</f>
        <v>65</v>
      </c>
      <c r="F7" s="37">
        <f>$C$7*4</f>
        <v>86.666666666666671</v>
      </c>
      <c r="G7" s="37">
        <f>$C$7*5</f>
        <v>108.33333333333334</v>
      </c>
      <c r="H7" s="37">
        <f>$C$7*6</f>
        <v>130</v>
      </c>
      <c r="I7" s="37">
        <f>$C$7*7</f>
        <v>151.66666666666669</v>
      </c>
    </row>
    <row r="8" spans="1:10" x14ac:dyDescent="0.3">
      <c r="A8" t="s">
        <v>23</v>
      </c>
      <c r="C8" s="54">
        <f>52*4/12</f>
        <v>17.333333333333332</v>
      </c>
      <c r="D8" s="37">
        <f>$C$8*2</f>
        <v>34.666666666666664</v>
      </c>
      <c r="E8" s="37">
        <f>$C$8*3</f>
        <v>52</v>
      </c>
      <c r="F8" s="37">
        <f>$C$8*4</f>
        <v>69.333333333333329</v>
      </c>
      <c r="G8" s="37">
        <f>$C$8*5</f>
        <v>86.666666666666657</v>
      </c>
      <c r="H8" s="37">
        <f>$C$8*6</f>
        <v>104</v>
      </c>
      <c r="I8" s="37">
        <f>$C$8*7</f>
        <v>121.33333333333333</v>
      </c>
    </row>
    <row r="9" spans="1:10" x14ac:dyDescent="0.3">
      <c r="A9" t="s">
        <v>24</v>
      </c>
      <c r="C9" s="54">
        <f>52*3/12</f>
        <v>13</v>
      </c>
      <c r="D9" s="37">
        <f>$C$9*2</f>
        <v>26</v>
      </c>
      <c r="E9" s="37">
        <f>$C$9*3</f>
        <v>39</v>
      </c>
      <c r="F9" s="37">
        <f>$C$9*4</f>
        <v>52</v>
      </c>
      <c r="G9" s="37">
        <f>$C$9*5</f>
        <v>65</v>
      </c>
      <c r="H9" s="37">
        <f>$C$9*6</f>
        <v>78</v>
      </c>
      <c r="I9" s="37">
        <f>$C$9*7</f>
        <v>91</v>
      </c>
    </row>
    <row r="10" spans="1:10" x14ac:dyDescent="0.3">
      <c r="A10" t="s">
        <v>25</v>
      </c>
      <c r="C10" s="54">
        <f>52*2/12</f>
        <v>8.6666666666666661</v>
      </c>
      <c r="D10" s="2">
        <f>$C$10*2</f>
        <v>17.333333333333332</v>
      </c>
      <c r="E10" s="2">
        <f>$C$10*3</f>
        <v>26</v>
      </c>
      <c r="F10" s="2">
        <f>$C$10*4</f>
        <v>34.666666666666664</v>
      </c>
      <c r="G10" s="2">
        <f>$C$10*5</f>
        <v>43.333333333333329</v>
      </c>
      <c r="H10" s="2">
        <f>$C$10*6</f>
        <v>52</v>
      </c>
      <c r="I10" s="2">
        <f>$C$10*7</f>
        <v>60.666666666666664</v>
      </c>
    </row>
    <row r="11" spans="1:10" x14ac:dyDescent="0.3">
      <c r="A11" t="s">
        <v>26</v>
      </c>
      <c r="C11" s="54">
        <f>52/12</f>
        <v>4.333333333333333</v>
      </c>
      <c r="D11" s="2">
        <f>$C$11*2</f>
        <v>8.6666666666666661</v>
      </c>
      <c r="E11" s="2">
        <f>$C$11*3</f>
        <v>13</v>
      </c>
      <c r="F11" s="2">
        <f>$C$11*4</f>
        <v>17.333333333333332</v>
      </c>
      <c r="G11" s="2">
        <f>$C$11*5</f>
        <v>21.666666666666664</v>
      </c>
      <c r="H11" s="2">
        <f>$C$11*6</f>
        <v>26</v>
      </c>
      <c r="I11" s="2">
        <f>$C$11*7</f>
        <v>30.333333333333332</v>
      </c>
    </row>
    <row r="12" spans="1:10" x14ac:dyDescent="0.3">
      <c r="A12" t="s">
        <v>27</v>
      </c>
      <c r="C12" s="54">
        <f>26/12</f>
        <v>2.1666666666666665</v>
      </c>
      <c r="D12" s="2">
        <f>$C$12*2</f>
        <v>4.333333333333333</v>
      </c>
      <c r="E12" s="2">
        <f>$C$12*3</f>
        <v>6.5</v>
      </c>
      <c r="F12" s="2">
        <f>$C$12*4</f>
        <v>8.6666666666666661</v>
      </c>
      <c r="G12" s="2">
        <f>$C$12*5</f>
        <v>10.833333333333332</v>
      </c>
      <c r="H12" s="2">
        <f>$C$12*6</f>
        <v>13</v>
      </c>
      <c r="I12" s="2">
        <f>$C$12*7</f>
        <v>15.166666666666666</v>
      </c>
    </row>
    <row r="13" spans="1:10" x14ac:dyDescent="0.3">
      <c r="A13" t="s">
        <v>28</v>
      </c>
      <c r="C13" s="54">
        <f>12/12</f>
        <v>1</v>
      </c>
      <c r="D13" s="2">
        <f>$C$13*2</f>
        <v>2</v>
      </c>
      <c r="E13" s="2">
        <f>$C$13*3</f>
        <v>3</v>
      </c>
      <c r="F13" s="2">
        <f>$C$13*4</f>
        <v>4</v>
      </c>
      <c r="G13" s="2">
        <f>$C$13*5</f>
        <v>5</v>
      </c>
      <c r="H13" s="2">
        <f>$C$13*6</f>
        <v>6</v>
      </c>
      <c r="I13" s="2">
        <f>$C$13*7</f>
        <v>7</v>
      </c>
    </row>
    <row r="14" spans="1:10" x14ac:dyDescent="0.3">
      <c r="A14" t="s">
        <v>90</v>
      </c>
      <c r="C14" s="54">
        <v>1</v>
      </c>
      <c r="D14" s="2"/>
      <c r="E14" s="2"/>
      <c r="F14" s="2"/>
      <c r="G14" s="2"/>
      <c r="H14" s="2"/>
      <c r="I14" s="2"/>
    </row>
    <row r="15" spans="1:10" x14ac:dyDescent="0.3">
      <c r="A15" s="146" t="s">
        <v>3</v>
      </c>
      <c r="B15" s="146"/>
      <c r="C15" s="146"/>
      <c r="D15" s="2"/>
      <c r="E15" s="2"/>
      <c r="F15" s="2"/>
      <c r="G15" s="2"/>
      <c r="H15" s="2"/>
      <c r="I15" s="2"/>
    </row>
    <row r="16" spans="1:10" x14ac:dyDescent="0.3">
      <c r="A16" s="31" t="s">
        <v>29</v>
      </c>
      <c r="B16" s="31"/>
      <c r="C16" s="55" t="s">
        <v>30</v>
      </c>
      <c r="D16" s="2"/>
      <c r="E16" s="2"/>
      <c r="F16" s="2"/>
      <c r="G16" s="2"/>
      <c r="H16" s="2"/>
      <c r="I16" s="2"/>
    </row>
    <row r="17" spans="1:9" x14ac:dyDescent="0.3">
      <c r="A17" s="34" t="s">
        <v>31</v>
      </c>
      <c r="B17" s="34"/>
      <c r="C17" s="56">
        <v>20</v>
      </c>
      <c r="D17" s="2"/>
      <c r="E17" s="2"/>
      <c r="F17" s="2"/>
      <c r="G17" s="2"/>
      <c r="H17" s="2"/>
      <c r="I17" s="2"/>
    </row>
    <row r="18" spans="1:9" x14ac:dyDescent="0.3">
      <c r="A18" s="34" t="s">
        <v>32</v>
      </c>
      <c r="B18" s="34"/>
      <c r="C18" s="56">
        <v>34</v>
      </c>
      <c r="D18" s="2"/>
      <c r="E18" s="2"/>
      <c r="F18" s="2"/>
      <c r="G18" s="2"/>
      <c r="H18" s="2"/>
      <c r="I18" s="2"/>
    </row>
    <row r="19" spans="1:9" x14ac:dyDescent="0.3">
      <c r="A19" s="34" t="s">
        <v>33</v>
      </c>
      <c r="B19" s="34"/>
      <c r="C19" s="56">
        <v>51</v>
      </c>
      <c r="D19" s="2"/>
      <c r="E19" s="2"/>
      <c r="F19" s="2"/>
      <c r="G19" s="2"/>
      <c r="H19" s="2"/>
      <c r="I19" s="2"/>
    </row>
    <row r="20" spans="1:9" x14ac:dyDescent="0.3">
      <c r="A20" s="34" t="s">
        <v>34</v>
      </c>
      <c r="B20" s="34"/>
      <c r="C20" s="56">
        <v>77</v>
      </c>
      <c r="D20" s="2"/>
      <c r="E20" s="2"/>
      <c r="F20" s="2"/>
      <c r="G20" t="s">
        <v>35</v>
      </c>
      <c r="H20" s="56">
        <v>2000</v>
      </c>
      <c r="I20" s="2"/>
    </row>
    <row r="21" spans="1:9" x14ac:dyDescent="0.3">
      <c r="A21" s="34" t="s">
        <v>36</v>
      </c>
      <c r="B21" s="34"/>
      <c r="C21" s="56">
        <v>97</v>
      </c>
      <c r="D21" s="2"/>
      <c r="E21" s="2"/>
      <c r="F21" s="2"/>
      <c r="G21" t="s">
        <v>37</v>
      </c>
      <c r="H21" s="138" t="s">
        <v>38</v>
      </c>
      <c r="I21" s="2"/>
    </row>
    <row r="22" spans="1:9" x14ac:dyDescent="0.3">
      <c r="A22" s="34" t="s">
        <v>39</v>
      </c>
      <c r="B22" s="34"/>
      <c r="C22" s="56">
        <v>117</v>
      </c>
      <c r="D22" s="2"/>
      <c r="E22" s="2"/>
      <c r="F22" s="2"/>
      <c r="I22" s="2"/>
    </row>
    <row r="23" spans="1:9" x14ac:dyDescent="0.3">
      <c r="A23" s="34" t="s">
        <v>40</v>
      </c>
      <c r="B23" s="34"/>
      <c r="C23" s="56">
        <v>137</v>
      </c>
      <c r="D23" s="2"/>
      <c r="E23" s="2"/>
      <c r="F23" s="2"/>
      <c r="G23" s="36" t="s">
        <v>85</v>
      </c>
      <c r="H23" s="111">
        <v>12</v>
      </c>
      <c r="I23" s="2"/>
    </row>
    <row r="24" spans="1:9" x14ac:dyDescent="0.3">
      <c r="A24" s="34" t="s">
        <v>91</v>
      </c>
      <c r="B24" s="34"/>
      <c r="C24" s="56">
        <v>40</v>
      </c>
      <c r="D24" s="2" t="s">
        <v>41</v>
      </c>
      <c r="E24" s="2"/>
      <c r="F24" s="2"/>
      <c r="G24" s="35"/>
      <c r="H24" s="139"/>
      <c r="I24" s="2"/>
    </row>
    <row r="25" spans="1:9" x14ac:dyDescent="0.3">
      <c r="A25" s="34" t="s">
        <v>92</v>
      </c>
      <c r="B25" s="34"/>
      <c r="C25" s="56">
        <v>47</v>
      </c>
      <c r="D25" s="2"/>
      <c r="E25" s="2"/>
      <c r="F25" s="2"/>
      <c r="G25" s="2"/>
      <c r="H25" s="2"/>
      <c r="I25" s="2"/>
    </row>
    <row r="26" spans="1:9" x14ac:dyDescent="0.3">
      <c r="A26" s="34" t="s">
        <v>93</v>
      </c>
      <c r="B26" s="34"/>
      <c r="C26" s="56">
        <v>68</v>
      </c>
      <c r="D26" s="2"/>
      <c r="E26" s="2"/>
      <c r="F26" s="2"/>
      <c r="G26" s="2"/>
      <c r="H26" s="2"/>
      <c r="I26" s="2"/>
    </row>
    <row r="27" spans="1:9" x14ac:dyDescent="0.3">
      <c r="A27" s="34" t="s">
        <v>42</v>
      </c>
      <c r="B27" s="34"/>
      <c r="C27" s="56">
        <v>34</v>
      </c>
      <c r="D27" s="2"/>
      <c r="E27" s="2"/>
      <c r="F27" s="2"/>
      <c r="G27" s="2"/>
      <c r="H27" s="2"/>
      <c r="I27" s="2"/>
    </row>
    <row r="28" spans="1:9" x14ac:dyDescent="0.3">
      <c r="A28" s="34" t="s">
        <v>43</v>
      </c>
      <c r="B28" s="34"/>
      <c r="C28" s="56">
        <v>34</v>
      </c>
      <c r="D28" s="2"/>
      <c r="E28" s="2"/>
      <c r="F28" s="2"/>
      <c r="G28" s="2"/>
      <c r="H28" s="2"/>
      <c r="I28" s="2"/>
    </row>
    <row r="29" spans="1:9" x14ac:dyDescent="0.3">
      <c r="A29" s="31" t="s">
        <v>44</v>
      </c>
      <c r="B29" s="31"/>
      <c r="C29" s="56"/>
      <c r="D29" s="2"/>
      <c r="E29" s="2"/>
      <c r="F29" s="2"/>
      <c r="G29" s="2"/>
      <c r="H29" s="2"/>
      <c r="I29" s="2"/>
    </row>
    <row r="30" spans="1:9" x14ac:dyDescent="0.3">
      <c r="A30" s="34" t="s">
        <v>45</v>
      </c>
      <c r="B30" s="34"/>
      <c r="C30" s="56">
        <v>29</v>
      </c>
      <c r="D30" s="2"/>
      <c r="E30" s="2"/>
      <c r="F30" s="2"/>
      <c r="G30" s="2"/>
      <c r="H30" s="2"/>
      <c r="I30" s="2"/>
    </row>
    <row r="31" spans="1:9" x14ac:dyDescent="0.3">
      <c r="A31" s="34" t="s">
        <v>57</v>
      </c>
      <c r="B31" s="34"/>
      <c r="C31" s="56">
        <v>125</v>
      </c>
      <c r="D31" s="2"/>
      <c r="E31" s="2"/>
      <c r="F31" s="2"/>
      <c r="G31" s="2"/>
      <c r="H31" s="2"/>
      <c r="I31" s="2"/>
    </row>
    <row r="32" spans="1:9" x14ac:dyDescent="0.3">
      <c r="A32" s="34" t="s">
        <v>46</v>
      </c>
      <c r="B32" s="34"/>
      <c r="C32" s="56">
        <v>175</v>
      </c>
      <c r="D32" s="2"/>
      <c r="E32" s="2"/>
      <c r="F32" s="2"/>
      <c r="G32" s="2"/>
      <c r="H32" s="2"/>
      <c r="I32" s="2"/>
    </row>
    <row r="33" spans="1:9" x14ac:dyDescent="0.3">
      <c r="A33" s="34" t="s">
        <v>47</v>
      </c>
      <c r="B33" s="34"/>
      <c r="C33" s="57">
        <v>250</v>
      </c>
      <c r="D33" s="2"/>
      <c r="E33" s="2"/>
      <c r="F33" s="2"/>
      <c r="G33" s="2"/>
      <c r="H33" s="2"/>
      <c r="I33" s="2"/>
    </row>
    <row r="34" spans="1:9" x14ac:dyDescent="0.3">
      <c r="A34" s="34" t="s">
        <v>48</v>
      </c>
      <c r="B34" s="34"/>
      <c r="C34" s="57">
        <v>324</v>
      </c>
      <c r="D34" s="2"/>
      <c r="E34" s="2"/>
      <c r="F34" s="2"/>
      <c r="G34" s="2"/>
      <c r="H34" s="2"/>
      <c r="I34" s="2"/>
    </row>
    <row r="35" spans="1:9" x14ac:dyDescent="0.3">
      <c r="A35" s="34" t="s">
        <v>49</v>
      </c>
      <c r="B35" s="34"/>
      <c r="C35" s="57">
        <v>473</v>
      </c>
      <c r="D35" s="2"/>
      <c r="E35" s="2"/>
      <c r="F35" s="2"/>
      <c r="G35" s="2"/>
      <c r="H35" s="2"/>
      <c r="I35" s="2"/>
    </row>
    <row r="36" spans="1:9" x14ac:dyDescent="0.3">
      <c r="A36" s="34" t="s">
        <v>50</v>
      </c>
      <c r="B36" s="34"/>
      <c r="C36" s="57">
        <v>613</v>
      </c>
      <c r="D36" s="2"/>
      <c r="E36" s="2"/>
      <c r="F36" s="2"/>
      <c r="G36" s="2"/>
      <c r="H36" s="2"/>
      <c r="I36" s="2"/>
    </row>
    <row r="37" spans="1:9" x14ac:dyDescent="0.3">
      <c r="A37" s="34" t="s">
        <v>51</v>
      </c>
      <c r="B37" s="34"/>
      <c r="C37" s="57">
        <v>840</v>
      </c>
      <c r="D37" s="2"/>
      <c r="E37" s="2"/>
      <c r="F37" s="2"/>
      <c r="G37" s="2"/>
      <c r="H37" s="2"/>
      <c r="I37" s="2"/>
    </row>
    <row r="38" spans="1:9" x14ac:dyDescent="0.3">
      <c r="A38" s="34" t="s">
        <v>52</v>
      </c>
      <c r="B38" s="34"/>
      <c r="C38" s="57">
        <v>980</v>
      </c>
      <c r="D38" s="58"/>
      <c r="E38" s="2"/>
      <c r="F38" s="2"/>
      <c r="G38" s="2"/>
      <c r="H38" s="2"/>
      <c r="I38" s="2"/>
    </row>
    <row r="39" spans="1:9" x14ac:dyDescent="0.3">
      <c r="A39" s="59" t="s">
        <v>94</v>
      </c>
      <c r="B39" s="59">
        <v>2.25</v>
      </c>
      <c r="C39" s="56"/>
      <c r="D39" s="58"/>
      <c r="E39" s="2"/>
      <c r="F39" s="2"/>
      <c r="G39" s="2"/>
      <c r="H39" s="2"/>
      <c r="I39" s="2"/>
    </row>
    <row r="40" spans="1:9" x14ac:dyDescent="0.3">
      <c r="A40" s="34" t="s">
        <v>53</v>
      </c>
      <c r="B40" s="34"/>
      <c r="C40" s="56">
        <f>C34*$B$39</f>
        <v>729</v>
      </c>
      <c r="D40" s="2" t="s">
        <v>41</v>
      </c>
      <c r="E40" s="2"/>
      <c r="F40" s="2"/>
      <c r="G40" s="2"/>
      <c r="H40" s="2"/>
      <c r="I40" s="2"/>
    </row>
    <row r="41" spans="1:9" x14ac:dyDescent="0.3">
      <c r="A41" s="34" t="s">
        <v>55</v>
      </c>
      <c r="B41" s="34"/>
      <c r="C41" s="56">
        <f>C36*$B$39</f>
        <v>1379.25</v>
      </c>
      <c r="D41" s="2" t="s">
        <v>41</v>
      </c>
      <c r="E41" s="2"/>
      <c r="F41" s="2"/>
      <c r="G41" s="2"/>
      <c r="H41" s="2"/>
      <c r="I41" s="2"/>
    </row>
    <row r="42" spans="1:9" x14ac:dyDescent="0.3">
      <c r="A42" s="34" t="s">
        <v>56</v>
      </c>
      <c r="B42" s="34"/>
      <c r="C42" s="56">
        <f>C37*$B$39</f>
        <v>1890</v>
      </c>
      <c r="D42" s="2" t="s">
        <v>41</v>
      </c>
      <c r="E42" s="2"/>
      <c r="F42" s="2"/>
      <c r="G42" s="2"/>
      <c r="H42" s="2"/>
      <c r="I42" s="2"/>
    </row>
    <row r="43" spans="1:9" x14ac:dyDescent="0.3">
      <c r="A43" s="59" t="s">
        <v>95</v>
      </c>
      <c r="B43" s="59">
        <v>3</v>
      </c>
      <c r="C43" s="56"/>
      <c r="D43" s="2"/>
      <c r="E43" s="2"/>
      <c r="F43" s="2"/>
      <c r="G43" s="2"/>
      <c r="H43" s="2"/>
      <c r="I43" s="2"/>
    </row>
    <row r="44" spans="1:9" x14ac:dyDescent="0.3">
      <c r="A44" s="34" t="s">
        <v>53</v>
      </c>
      <c r="B44" s="34"/>
      <c r="C44" s="60">
        <f>C34*$B$43</f>
        <v>972</v>
      </c>
      <c r="D44" s="2" t="s">
        <v>41</v>
      </c>
      <c r="E44" s="2"/>
      <c r="F44" s="2"/>
      <c r="G44" s="2"/>
      <c r="H44" s="2"/>
      <c r="I44" s="2"/>
    </row>
    <row r="45" spans="1:9" x14ac:dyDescent="0.3">
      <c r="A45" s="34" t="s">
        <v>54</v>
      </c>
      <c r="B45" s="34"/>
      <c r="C45" s="60">
        <f t="shared" ref="C45:C47" si="0">C35*$B$43</f>
        <v>1419</v>
      </c>
      <c r="D45" s="2" t="s">
        <v>41</v>
      </c>
      <c r="E45" s="2"/>
      <c r="F45" s="2"/>
      <c r="G45" s="2"/>
      <c r="H45" s="2"/>
      <c r="I45" s="2"/>
    </row>
    <row r="46" spans="1:9" x14ac:dyDescent="0.3">
      <c r="A46" s="34" t="s">
        <v>55</v>
      </c>
      <c r="B46" s="34"/>
      <c r="C46" s="60">
        <f t="shared" si="0"/>
        <v>1839</v>
      </c>
      <c r="D46" s="2" t="s">
        <v>41</v>
      </c>
      <c r="E46" s="2"/>
      <c r="F46" s="2"/>
      <c r="G46" s="2"/>
      <c r="H46" s="2"/>
      <c r="I46" s="2"/>
    </row>
    <row r="47" spans="1:9" x14ac:dyDescent="0.3">
      <c r="A47" s="34" t="s">
        <v>56</v>
      </c>
      <c r="B47" s="34"/>
      <c r="C47" s="60">
        <f t="shared" si="0"/>
        <v>2520</v>
      </c>
      <c r="D47" s="2" t="s">
        <v>41</v>
      </c>
      <c r="E47" s="2"/>
      <c r="F47" s="2"/>
      <c r="G47" s="2"/>
      <c r="H47" s="2"/>
      <c r="I47" s="2"/>
    </row>
    <row r="48" spans="1:9" x14ac:dyDescent="0.3">
      <c r="A48" s="59" t="s">
        <v>96</v>
      </c>
      <c r="B48" s="59">
        <v>4</v>
      </c>
      <c r="C48" s="56"/>
      <c r="D48" s="2"/>
      <c r="E48" s="2"/>
      <c r="F48" s="2"/>
      <c r="G48" s="2"/>
      <c r="H48" s="2"/>
      <c r="I48" s="2"/>
    </row>
    <row r="49" spans="1:10" x14ac:dyDescent="0.3">
      <c r="A49" s="34" t="s">
        <v>54</v>
      </c>
      <c r="B49" s="34"/>
      <c r="C49" s="60">
        <f t="shared" ref="C49:C51" si="1">C35*$B$48</f>
        <v>1892</v>
      </c>
      <c r="D49" s="2" t="s">
        <v>41</v>
      </c>
      <c r="E49" s="2"/>
      <c r="F49" s="2"/>
      <c r="G49" s="2"/>
      <c r="H49" s="2"/>
      <c r="I49" s="2"/>
    </row>
    <row r="50" spans="1:10" x14ac:dyDescent="0.3">
      <c r="A50" s="34" t="s">
        <v>55</v>
      </c>
      <c r="B50" s="34"/>
      <c r="C50" s="60">
        <f t="shared" si="1"/>
        <v>2452</v>
      </c>
      <c r="D50" s="2" t="s">
        <v>41</v>
      </c>
      <c r="E50" s="2"/>
      <c r="F50" s="2"/>
      <c r="G50" s="2"/>
      <c r="H50" s="2"/>
      <c r="I50" s="2"/>
    </row>
    <row r="51" spans="1:10" x14ac:dyDescent="0.3">
      <c r="A51" s="34" t="s">
        <v>56</v>
      </c>
      <c r="B51" s="34"/>
      <c r="C51" s="60">
        <f t="shared" si="1"/>
        <v>3360</v>
      </c>
      <c r="D51" s="2" t="s">
        <v>41</v>
      </c>
      <c r="E51" s="2"/>
      <c r="F51" s="2"/>
      <c r="G51" s="2"/>
      <c r="H51" s="2"/>
      <c r="I51" s="2"/>
    </row>
    <row r="52" spans="1:10" x14ac:dyDescent="0.3">
      <c r="A52" s="59" t="s">
        <v>97</v>
      </c>
      <c r="B52" s="59">
        <v>5</v>
      </c>
      <c r="C52" s="56"/>
      <c r="D52" s="2"/>
      <c r="E52" s="2"/>
      <c r="F52" s="2"/>
      <c r="G52" s="2"/>
      <c r="H52" s="2"/>
      <c r="I52" s="2"/>
    </row>
    <row r="53" spans="1:10" x14ac:dyDescent="0.3">
      <c r="A53" s="34" t="s">
        <v>55</v>
      </c>
      <c r="B53" s="34"/>
      <c r="C53" s="60">
        <f>C36*$B$52</f>
        <v>3065</v>
      </c>
      <c r="D53" s="2" t="s">
        <v>41</v>
      </c>
      <c r="E53" s="2"/>
      <c r="F53" s="2"/>
      <c r="G53" s="2"/>
      <c r="H53" s="2"/>
      <c r="I53" s="2"/>
    </row>
    <row r="54" spans="1:10" x14ac:dyDescent="0.3">
      <c r="A54" s="34" t="s">
        <v>56</v>
      </c>
      <c r="B54" s="34"/>
      <c r="C54" s="60">
        <f>C37*$B$52</f>
        <v>4200</v>
      </c>
      <c r="D54" s="2" t="s">
        <v>41</v>
      </c>
      <c r="E54" s="2"/>
      <c r="F54" s="2"/>
      <c r="G54" s="2"/>
      <c r="H54" s="2"/>
      <c r="I54" s="2"/>
    </row>
    <row r="55" spans="1:10" x14ac:dyDescent="0.3">
      <c r="C55" s="147" t="s">
        <v>98</v>
      </c>
      <c r="D55" s="147"/>
    </row>
    <row r="56" spans="1:10" x14ac:dyDescent="0.3">
      <c r="C56" t="s">
        <v>99</v>
      </c>
    </row>
    <row r="58" spans="1:10" x14ac:dyDescent="0.3">
      <c r="A58" s="1" t="s">
        <v>100</v>
      </c>
      <c r="B58" s="1"/>
      <c r="C58" s="61" t="s">
        <v>58</v>
      </c>
      <c r="D58" s="61" t="s">
        <v>59</v>
      </c>
      <c r="G58" s="148" t="s">
        <v>60</v>
      </c>
      <c r="H58" s="148"/>
    </row>
    <row r="59" spans="1:10" x14ac:dyDescent="0.3">
      <c r="A59" s="27" t="s">
        <v>61</v>
      </c>
      <c r="B59" s="27"/>
      <c r="C59" s="62">
        <v>104</v>
      </c>
      <c r="D59" s="63">
        <f>C59/2000</f>
        <v>5.1999999999999998E-2</v>
      </c>
      <c r="G59" t="s">
        <v>62</v>
      </c>
      <c r="H59" s="64">
        <v>1.7500000000000002E-2</v>
      </c>
    </row>
    <row r="60" spans="1:10" x14ac:dyDescent="0.3">
      <c r="A60" s="27" t="s">
        <v>63</v>
      </c>
      <c r="B60" s="27"/>
      <c r="C60" s="65">
        <v>118</v>
      </c>
      <c r="D60" s="66">
        <f>C60/2000</f>
        <v>5.8999999999999997E-2</v>
      </c>
      <c r="G60" t="s">
        <v>64</v>
      </c>
      <c r="H60" s="67">
        <f>0.0051</f>
        <v>5.1000000000000004E-3</v>
      </c>
    </row>
    <row r="61" spans="1:10" x14ac:dyDescent="0.3">
      <c r="A61" s="34" t="s">
        <v>6</v>
      </c>
      <c r="B61" s="34"/>
      <c r="C61" s="68">
        <f>C60-C59</f>
        <v>14</v>
      </c>
      <c r="D61" s="69">
        <f>D60-D59</f>
        <v>6.9999999999999993E-3</v>
      </c>
      <c r="E61" s="33">
        <f>C61/C59</f>
        <v>0.13461538461538461</v>
      </c>
      <c r="G61" t="s">
        <v>65</v>
      </c>
      <c r="H61" s="70">
        <v>1E-3</v>
      </c>
    </row>
    <row r="62" spans="1:10" x14ac:dyDescent="0.3">
      <c r="D62" s="71"/>
      <c r="G62" t="s">
        <v>66</v>
      </c>
      <c r="H62" s="32">
        <f>SUM(H59:H61)</f>
        <v>2.3600000000000003E-2</v>
      </c>
      <c r="J62" s="72"/>
    </row>
    <row r="63" spans="1:10" x14ac:dyDescent="0.3">
      <c r="C63" s="73" t="s">
        <v>101</v>
      </c>
    </row>
    <row r="64" spans="1:10" x14ac:dyDescent="0.3">
      <c r="A64" t="s">
        <v>67</v>
      </c>
      <c r="C64" s="3">
        <f>C61</f>
        <v>14</v>
      </c>
      <c r="D64" s="71"/>
      <c r="G64" t="s">
        <v>68</v>
      </c>
      <c r="H64" s="74">
        <f>1-H62</f>
        <v>0.97640000000000005</v>
      </c>
    </row>
    <row r="65" spans="1:5" x14ac:dyDescent="0.3">
      <c r="A65" t="s">
        <v>69</v>
      </c>
      <c r="C65" s="3">
        <f>C64/$H$64</f>
        <v>14.338385907414994</v>
      </c>
      <c r="D65" s="71"/>
    </row>
    <row r="66" spans="1:5" x14ac:dyDescent="0.3">
      <c r="A66" t="s">
        <v>70</v>
      </c>
      <c r="C66" s="75">
        <v>7156.9</v>
      </c>
      <c r="D66" s="3"/>
      <c r="E66" s="76"/>
    </row>
    <row r="67" spans="1:5" x14ac:dyDescent="0.3">
      <c r="A67" s="31" t="s">
        <v>102</v>
      </c>
      <c r="B67" s="31"/>
      <c r="C67" s="77">
        <f>C65*C66</f>
        <v>102618.39410077836</v>
      </c>
      <c r="E67" s="76"/>
    </row>
    <row r="70" spans="1:5" ht="15" thickBot="1" x14ac:dyDescent="0.35"/>
    <row r="71" spans="1:5" x14ac:dyDescent="0.3">
      <c r="A71" s="30" t="s">
        <v>71</v>
      </c>
      <c r="B71" s="78"/>
      <c r="C71" s="79" t="s">
        <v>72</v>
      </c>
      <c r="E71" s="3"/>
    </row>
    <row r="72" spans="1:5" x14ac:dyDescent="0.3">
      <c r="A72" s="29" t="s">
        <v>77</v>
      </c>
      <c r="C72" s="80">
        <f>'Staff Price Out'!Q19</f>
        <v>102818.34133466793</v>
      </c>
    </row>
    <row r="73" spans="1:5" x14ac:dyDescent="0.3">
      <c r="A73" s="29" t="s">
        <v>73</v>
      </c>
      <c r="C73" s="80">
        <f>C72-C67</f>
        <v>199.94723388957209</v>
      </c>
      <c r="D73" s="81" t="s">
        <v>88</v>
      </c>
    </row>
    <row r="74" spans="1:5" ht="15" thickBot="1" x14ac:dyDescent="0.35">
      <c r="A74" s="28"/>
      <c r="B74" s="82"/>
      <c r="C74" s="83"/>
    </row>
    <row r="75" spans="1:5" x14ac:dyDescent="0.3">
      <c r="B75" s="31"/>
      <c r="C75" s="84"/>
    </row>
  </sheetData>
  <mergeCells count="4">
    <mergeCell ref="A5:I5"/>
    <mergeCell ref="A15:C15"/>
    <mergeCell ref="C55:D55"/>
    <mergeCell ref="G58:H58"/>
  </mergeCells>
  <conditionalFormatting sqref="C73">
    <cfRule type="cellIs" dxfId="1" priority="1" operator="lessThan">
      <formula>-10</formula>
    </cfRule>
    <cfRule type="cellIs" dxfId="0" priority="2" operator="greaterThan">
      <formula>10</formula>
    </cfRule>
  </conditionalFormatting>
  <pageMargins left="0.7" right="0.7" top="0.75" bottom="0.75" header="0.3" footer="0.3"/>
  <pageSetup scale="62" orientation="portrait" r:id="rId1"/>
  <headerFooter>
    <oddFooter>&amp;L&amp;F - 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45A1-7416-4DCD-917F-9E37A02AD52C}">
  <sheetPr>
    <pageSetUpPr fitToPage="1"/>
  </sheetPr>
  <dimension ref="A1:R34"/>
  <sheetViews>
    <sheetView topLeftCell="B1" zoomScaleNormal="100" workbookViewId="0">
      <pane xSplit="2" topLeftCell="I1" activePane="topRight" state="frozen"/>
      <selection activeCell="B1" sqref="B1"/>
      <selection pane="topRight" activeCell="B1" sqref="B1"/>
    </sheetView>
  </sheetViews>
  <sheetFormatPr defaultRowHeight="14.4" x14ac:dyDescent="0.3"/>
  <cols>
    <col min="1" max="1" width="0" hidden="1" customWidth="1"/>
    <col min="2" max="2" width="11.109375" customWidth="1"/>
    <col min="3" max="3" width="35.5546875" customWidth="1"/>
    <col min="4" max="4" width="16.44140625" customWidth="1"/>
    <col min="5" max="5" width="16.88671875" customWidth="1"/>
    <col min="6" max="6" width="16.109375" style="4" customWidth="1"/>
    <col min="7" max="7" width="14.109375" customWidth="1"/>
    <col min="8" max="8" width="14.44140625" customWidth="1"/>
    <col min="9" max="9" width="13.5546875" customWidth="1"/>
    <col min="10" max="10" width="15.109375" bestFit="1" customWidth="1"/>
    <col min="11" max="11" width="16" bestFit="1" customWidth="1"/>
    <col min="12" max="13" width="10.6640625" customWidth="1"/>
    <col min="14" max="14" width="11" bestFit="1" customWidth="1"/>
    <col min="15" max="15" width="17.88671875" customWidth="1"/>
    <col min="16" max="16" width="21.44140625" bestFit="1" customWidth="1"/>
    <col min="17" max="17" width="16.44140625" customWidth="1"/>
    <col min="18" max="18" width="13.44140625" bestFit="1" customWidth="1"/>
  </cols>
  <sheetData>
    <row r="1" spans="1:18" ht="44.25" customHeight="1" x14ac:dyDescent="0.3">
      <c r="A1" s="1"/>
      <c r="B1" s="125" t="s">
        <v>173</v>
      </c>
      <c r="C1" s="126" t="s">
        <v>86</v>
      </c>
      <c r="D1" s="10" t="s">
        <v>0</v>
      </c>
      <c r="E1" s="10" t="s">
        <v>1</v>
      </c>
      <c r="F1" s="127" t="s">
        <v>2</v>
      </c>
      <c r="G1" s="128" t="s">
        <v>3</v>
      </c>
      <c r="H1" s="10" t="s">
        <v>4</v>
      </c>
      <c r="I1" s="129" t="s">
        <v>5</v>
      </c>
      <c r="J1" s="130" t="s">
        <v>6</v>
      </c>
      <c r="K1" s="10" t="s">
        <v>7</v>
      </c>
      <c r="L1" s="10" t="s">
        <v>8</v>
      </c>
      <c r="M1" s="10" t="s">
        <v>152</v>
      </c>
      <c r="N1" s="10" t="s">
        <v>154</v>
      </c>
      <c r="O1" s="10" t="s">
        <v>9</v>
      </c>
      <c r="P1" s="10" t="s">
        <v>10</v>
      </c>
      <c r="Q1" s="10" t="s">
        <v>11</v>
      </c>
      <c r="R1" s="26"/>
    </row>
    <row r="2" spans="1:18" s="150" customFormat="1" x14ac:dyDescent="0.3">
      <c r="A2" s="158" t="s">
        <v>12</v>
      </c>
      <c r="B2" s="151">
        <v>22</v>
      </c>
      <c r="C2" s="152" t="s">
        <v>155</v>
      </c>
      <c r="D2" s="159">
        <v>920</v>
      </c>
      <c r="E2" s="160">
        <f>'Company Ref. '!D7</f>
        <v>4.333333333333333</v>
      </c>
      <c r="F2" s="149">
        <f>D2*E2*12</f>
        <v>47840</v>
      </c>
      <c r="G2" s="154">
        <f>References!C17</f>
        <v>20</v>
      </c>
      <c r="H2" s="155">
        <f>G2*F2</f>
        <v>956800</v>
      </c>
      <c r="I2" s="156">
        <f t="shared" ref="I2:I8" si="0">H2*D$24</f>
        <v>646855.46519657248</v>
      </c>
      <c r="J2" s="157">
        <f>I2*References!D$61</f>
        <v>4527.9882563760066</v>
      </c>
      <c r="K2" s="157">
        <f>J2/References!H$64</f>
        <v>4637.4316431544512</v>
      </c>
      <c r="L2" s="157">
        <f>K2/F2*E2</f>
        <v>0.42005721405384516</v>
      </c>
      <c r="M2" s="131">
        <v>6.44</v>
      </c>
      <c r="N2" s="131">
        <f>M2+L2</f>
        <v>6.8600572140538452</v>
      </c>
      <c r="O2" s="157">
        <f t="shared" ref="O2:O8" si="1">M2*D2*12</f>
        <v>71097.600000000006</v>
      </c>
      <c r="P2" s="157">
        <f>N2*D2*12</f>
        <v>75735.031643154449</v>
      </c>
      <c r="Q2" s="157">
        <f>P2-O2</f>
        <v>4637.431643154443</v>
      </c>
    </row>
    <row r="3" spans="1:18" s="150" customFormat="1" x14ac:dyDescent="0.3">
      <c r="A3" s="161"/>
      <c r="B3" s="151">
        <v>22</v>
      </c>
      <c r="C3" s="152" t="s">
        <v>156</v>
      </c>
      <c r="D3" s="159">
        <v>5264</v>
      </c>
      <c r="E3" s="160">
        <f>'Company Ref. '!$D$7</f>
        <v>4.333333333333333</v>
      </c>
      <c r="F3" s="149">
        <f t="shared" ref="F3:F8" si="2">D3*E3*12</f>
        <v>273728</v>
      </c>
      <c r="G3" s="154">
        <f>References!C18</f>
        <v>34</v>
      </c>
      <c r="H3" s="155">
        <f t="shared" ref="H3:H8" si="3">G3*F3</f>
        <v>9306752</v>
      </c>
      <c r="I3" s="156">
        <f t="shared" si="0"/>
        <v>6291934.9858163996</v>
      </c>
      <c r="J3" s="157">
        <f>I3*References!D$61</f>
        <v>44043.544900714791</v>
      </c>
      <c r="K3" s="157">
        <f>J3/References!H$64</f>
        <v>45108.095965500601</v>
      </c>
      <c r="L3" s="157">
        <f t="shared" ref="L3:L8" si="4">K3/F3*E3</f>
        <v>0.71409726389153683</v>
      </c>
      <c r="M3" s="131">
        <v>14.78</v>
      </c>
      <c r="N3" s="131">
        <f t="shared" ref="N3:N8" si="5">M3+L3</f>
        <v>15.494097263891536</v>
      </c>
      <c r="O3" s="157">
        <f t="shared" si="1"/>
        <v>933623.04</v>
      </c>
      <c r="P3" s="157">
        <f t="shared" ref="P3:P8" si="6">N3*D3*12</f>
        <v>978731.13596550061</v>
      </c>
      <c r="Q3" s="157">
        <f t="shared" ref="Q3:Q8" si="7">P3-O3</f>
        <v>45108.095965500572</v>
      </c>
    </row>
    <row r="4" spans="1:18" s="150" customFormat="1" x14ac:dyDescent="0.3">
      <c r="A4" s="161"/>
      <c r="B4" s="151">
        <v>22</v>
      </c>
      <c r="C4" s="152" t="s">
        <v>157</v>
      </c>
      <c r="D4" s="159">
        <v>130</v>
      </c>
      <c r="E4" s="160">
        <f>'Company Ref. '!$D$7</f>
        <v>4.333333333333333</v>
      </c>
      <c r="F4" s="149">
        <f t="shared" si="2"/>
        <v>6759.9999999999991</v>
      </c>
      <c r="G4" s="154">
        <f>References!C19</f>
        <v>51</v>
      </c>
      <c r="H4" s="155">
        <f t="shared" si="3"/>
        <v>344759.99999999994</v>
      </c>
      <c r="I4" s="156">
        <f t="shared" si="0"/>
        <v>233078.89860072147</v>
      </c>
      <c r="J4" s="157">
        <f>I4*References!D$61</f>
        <v>1631.5522902050502</v>
      </c>
      <c r="K4" s="157">
        <f>J4/References!H$64</f>
        <v>1670.9875975061964</v>
      </c>
      <c r="L4" s="157">
        <f t="shared" si="4"/>
        <v>1.0711458958373055</v>
      </c>
      <c r="M4" s="131">
        <v>20.28</v>
      </c>
      <c r="N4" s="131">
        <f t="shared" si="5"/>
        <v>21.351145895837305</v>
      </c>
      <c r="O4" s="157">
        <f t="shared" si="1"/>
        <v>31636.800000000003</v>
      </c>
      <c r="P4" s="157">
        <f t="shared" si="6"/>
        <v>33307.787597506198</v>
      </c>
      <c r="Q4" s="157">
        <f t="shared" si="7"/>
        <v>1670.987597506195</v>
      </c>
    </row>
    <row r="5" spans="1:18" s="150" customFormat="1" x14ac:dyDescent="0.3">
      <c r="A5" s="161"/>
      <c r="B5" s="151">
        <v>22</v>
      </c>
      <c r="C5" s="152" t="s">
        <v>158</v>
      </c>
      <c r="D5" s="159">
        <v>61</v>
      </c>
      <c r="E5" s="160">
        <f>'Company Ref. '!$D$7</f>
        <v>4.333333333333333</v>
      </c>
      <c r="F5" s="149">
        <f t="shared" si="2"/>
        <v>3172</v>
      </c>
      <c r="G5" s="154">
        <f>References!C20</f>
        <v>77</v>
      </c>
      <c r="H5" s="155">
        <f t="shared" si="3"/>
        <v>244244</v>
      </c>
      <c r="I5" s="156">
        <f t="shared" si="0"/>
        <v>165123.91956675547</v>
      </c>
      <c r="J5" s="157">
        <f>I5*References!D$61</f>
        <v>1155.8674369672881</v>
      </c>
      <c r="K5" s="157">
        <f>J5/References!H$64</f>
        <v>1183.8052406465465</v>
      </c>
      <c r="L5" s="157">
        <f t="shared" si="4"/>
        <v>1.6172202741073038</v>
      </c>
      <c r="M5" s="131">
        <v>26.05</v>
      </c>
      <c r="N5" s="131">
        <f t="shared" si="5"/>
        <v>27.667220274107304</v>
      </c>
      <c r="O5" s="157">
        <f t="shared" si="1"/>
        <v>19068.599999999999</v>
      </c>
      <c r="P5" s="157">
        <f t="shared" si="6"/>
        <v>20252.405240646549</v>
      </c>
      <c r="Q5" s="157">
        <f t="shared" si="7"/>
        <v>1183.8052406465504</v>
      </c>
    </row>
    <row r="6" spans="1:18" s="150" customFormat="1" x14ac:dyDescent="0.3">
      <c r="A6" s="161"/>
      <c r="B6" s="151">
        <v>22</v>
      </c>
      <c r="C6" s="152" t="s">
        <v>159</v>
      </c>
      <c r="D6" s="159">
        <v>13</v>
      </c>
      <c r="E6" s="160">
        <f>'Company Ref. '!$D$7</f>
        <v>4.333333333333333</v>
      </c>
      <c r="F6" s="149">
        <f t="shared" si="2"/>
        <v>676</v>
      </c>
      <c r="G6" s="154">
        <f>References!C21</f>
        <v>97</v>
      </c>
      <c r="H6" s="155">
        <f t="shared" si="3"/>
        <v>65572</v>
      </c>
      <c r="I6" s="156">
        <f t="shared" si="0"/>
        <v>44330.692478960758</v>
      </c>
      <c r="J6" s="157">
        <f>I6*References!D$61</f>
        <v>310.31484735272528</v>
      </c>
      <c r="K6" s="157">
        <f>J6/References!H$64</f>
        <v>317.81528815313936</v>
      </c>
      <c r="L6" s="157">
        <f t="shared" si="4"/>
        <v>2.0372774881611497</v>
      </c>
      <c r="M6" s="131">
        <v>31.68</v>
      </c>
      <c r="N6" s="131">
        <f t="shared" si="5"/>
        <v>33.717277488161152</v>
      </c>
      <c r="O6" s="157">
        <f t="shared" si="1"/>
        <v>4942.08</v>
      </c>
      <c r="P6" s="157">
        <f t="shared" si="6"/>
        <v>5259.8952881531395</v>
      </c>
      <c r="Q6" s="157">
        <f t="shared" si="7"/>
        <v>317.81528815313959</v>
      </c>
    </row>
    <row r="7" spans="1:18" s="150" customFormat="1" x14ac:dyDescent="0.3">
      <c r="A7" s="161"/>
      <c r="B7" s="151">
        <v>22</v>
      </c>
      <c r="C7" s="152" t="s">
        <v>160</v>
      </c>
      <c r="D7" s="159">
        <v>1</v>
      </c>
      <c r="E7" s="160">
        <f>'Company Ref. '!$D$7</f>
        <v>4.333333333333333</v>
      </c>
      <c r="F7" s="149">
        <f t="shared" si="2"/>
        <v>52</v>
      </c>
      <c r="G7" s="154">
        <f>References!C22</f>
        <v>117</v>
      </c>
      <c r="H7" s="155">
        <f t="shared" si="3"/>
        <v>6084</v>
      </c>
      <c r="I7" s="156">
        <f t="shared" si="0"/>
        <v>4113.1570341303795</v>
      </c>
      <c r="J7" s="157">
        <f>I7*References!D$61</f>
        <v>28.792099238912655</v>
      </c>
      <c r="K7" s="157">
        <f>J7/References!H$64</f>
        <v>29.488016426579939</v>
      </c>
      <c r="L7" s="157">
        <f>K7/F7*E7</f>
        <v>2.4573347022149949</v>
      </c>
      <c r="M7" s="131">
        <v>37.22</v>
      </c>
      <c r="N7" s="131">
        <f t="shared" si="5"/>
        <v>39.677334702214992</v>
      </c>
      <c r="O7" s="157">
        <f t="shared" si="1"/>
        <v>446.64</v>
      </c>
      <c r="P7" s="157">
        <f t="shared" si="6"/>
        <v>476.1280164265799</v>
      </c>
      <c r="Q7" s="157">
        <f t="shared" si="7"/>
        <v>29.488016426579918</v>
      </c>
    </row>
    <row r="8" spans="1:18" s="150" customFormat="1" x14ac:dyDescent="0.3">
      <c r="A8" s="161"/>
      <c r="B8" s="151">
        <v>23</v>
      </c>
      <c r="C8" s="152" t="s">
        <v>179</v>
      </c>
      <c r="D8" s="159">
        <v>203</v>
      </c>
      <c r="E8" s="160">
        <f>'Company Ref. '!D9</f>
        <v>1</v>
      </c>
      <c r="F8" s="149">
        <f t="shared" si="2"/>
        <v>2436</v>
      </c>
      <c r="G8" s="154">
        <f>References!C18</f>
        <v>34</v>
      </c>
      <c r="H8" s="155">
        <f t="shared" si="3"/>
        <v>82824</v>
      </c>
      <c r="I8" s="156">
        <f t="shared" si="0"/>
        <v>55994.102267392263</v>
      </c>
      <c r="J8" s="157">
        <f>I8*References!D$61</f>
        <v>391.95871587174582</v>
      </c>
      <c r="K8" s="157">
        <f>J8/References!H$64</f>
        <v>401.43252342456555</v>
      </c>
      <c r="L8" s="157">
        <f t="shared" si="4"/>
        <v>0.16479167628266236</v>
      </c>
      <c r="M8" s="131">
        <v>9.89</v>
      </c>
      <c r="N8" s="131">
        <f t="shared" si="5"/>
        <v>10.054791676282663</v>
      </c>
      <c r="O8" s="157">
        <f t="shared" si="1"/>
        <v>24092.04</v>
      </c>
      <c r="P8" s="157">
        <f t="shared" si="6"/>
        <v>24493.472523424567</v>
      </c>
      <c r="Q8" s="157">
        <f t="shared" si="7"/>
        <v>401.43252342456617</v>
      </c>
    </row>
    <row r="9" spans="1:18" x14ac:dyDescent="0.3">
      <c r="B9" s="51"/>
      <c r="C9" s="47" t="s">
        <v>82</v>
      </c>
      <c r="D9" s="42">
        <f>SUM(D2:D8)</f>
        <v>6592</v>
      </c>
      <c r="E9" s="43"/>
      <c r="F9" s="44">
        <f>SUM(F2:F8)</f>
        <v>334664</v>
      </c>
      <c r="G9" s="45"/>
      <c r="H9" s="46">
        <f>SUM(H2:H8)</f>
        <v>11007036</v>
      </c>
      <c r="I9" s="49">
        <f>SUM(I2:I8)</f>
        <v>7441431.2209609319</v>
      </c>
      <c r="J9" s="48">
        <f>SUM(J2:J8)</f>
        <v>52090.018546726518</v>
      </c>
      <c r="K9" s="48">
        <f>SUM(K2:K8)</f>
        <v>53349.056274812072</v>
      </c>
      <c r="L9" s="47"/>
      <c r="M9" s="47"/>
      <c r="N9" s="48"/>
      <c r="O9" s="50">
        <f>SUM(O2:O8)</f>
        <v>1084906.8</v>
      </c>
      <c r="P9" s="48">
        <f>SUM(P2:P8)</f>
        <v>1138255.8562748122</v>
      </c>
      <c r="Q9" s="48">
        <f>SUM(Q2:Q8)</f>
        <v>53349.056274812043</v>
      </c>
    </row>
    <row r="10" spans="1:18" ht="41.4" x14ac:dyDescent="0.3">
      <c r="B10" s="123" t="s">
        <v>177</v>
      </c>
      <c r="C10" s="122" t="s">
        <v>103</v>
      </c>
      <c r="D10" s="18" t="s">
        <v>0</v>
      </c>
      <c r="E10" s="19" t="s">
        <v>1</v>
      </c>
      <c r="F10" s="20" t="s">
        <v>2</v>
      </c>
      <c r="G10" s="21" t="s">
        <v>75</v>
      </c>
      <c r="H10" s="22" t="s">
        <v>4</v>
      </c>
      <c r="I10" s="23" t="s">
        <v>5</v>
      </c>
      <c r="J10" s="24" t="s">
        <v>6</v>
      </c>
      <c r="K10" s="24" t="s">
        <v>7</v>
      </c>
      <c r="L10" s="23" t="s">
        <v>8</v>
      </c>
      <c r="M10" s="23" t="s">
        <v>153</v>
      </c>
      <c r="N10" s="25" t="s">
        <v>154</v>
      </c>
      <c r="O10" s="23" t="s">
        <v>9</v>
      </c>
      <c r="P10" s="23" t="s">
        <v>10</v>
      </c>
      <c r="Q10" s="23" t="s">
        <v>83</v>
      </c>
    </row>
    <row r="11" spans="1:18" s="150" customFormat="1" ht="13.5" customHeight="1" x14ac:dyDescent="0.3">
      <c r="B11" s="166" t="s">
        <v>174</v>
      </c>
      <c r="C11" s="163" t="s">
        <v>156</v>
      </c>
      <c r="D11" s="164">
        <v>302</v>
      </c>
      <c r="E11" s="165">
        <f>'Company Ref. '!D7</f>
        <v>4.333333333333333</v>
      </c>
      <c r="F11" s="149">
        <f t="shared" ref="F11:F14" si="8">D11*E11*12</f>
        <v>15703.999999999998</v>
      </c>
      <c r="G11" s="162">
        <f>References!C30</f>
        <v>29</v>
      </c>
      <c r="H11" s="155">
        <f t="shared" ref="H11:H14" si="9">G11*F11</f>
        <v>455415.99999999994</v>
      </c>
      <c r="I11" s="156">
        <f>H11*D$24</f>
        <v>307889.13935823808</v>
      </c>
      <c r="J11" s="157">
        <f>I11*References!D$61</f>
        <v>2155.2239755076662</v>
      </c>
      <c r="K11" s="157">
        <f>J11/References!H$64</f>
        <v>2207.3166484101457</v>
      </c>
      <c r="L11" s="157">
        <f>K11/F11*References!C$11</f>
        <v>0.60908296037807552</v>
      </c>
      <c r="M11" s="131">
        <v>10.02</v>
      </c>
      <c r="N11" s="131">
        <f>M11+L11</f>
        <v>10.629082960378074</v>
      </c>
      <c r="O11" s="157">
        <f>(F11/References!C11)*M11</f>
        <v>36312.479999999996</v>
      </c>
      <c r="P11" s="157">
        <f>(F11/References!C11)*N11</f>
        <v>38519.796648410142</v>
      </c>
      <c r="Q11" s="157">
        <f>P11-O11</f>
        <v>2207.3166484101457</v>
      </c>
    </row>
    <row r="12" spans="1:18" s="150" customFormat="1" x14ac:dyDescent="0.3">
      <c r="B12" s="151">
        <v>36</v>
      </c>
      <c r="C12" s="152" t="s">
        <v>162</v>
      </c>
      <c r="D12" s="164">
        <v>7</v>
      </c>
      <c r="E12" s="165">
        <f>'Company Ref. '!D7</f>
        <v>4.333333333333333</v>
      </c>
      <c r="F12" s="149">
        <f>D12*E12*12</f>
        <v>364</v>
      </c>
      <c r="G12" s="162">
        <f>References!C18</f>
        <v>34</v>
      </c>
      <c r="H12" s="155">
        <f t="shared" si="9"/>
        <v>12376</v>
      </c>
      <c r="I12" s="156">
        <f>H12*D$24</f>
        <v>8366.9348215643622</v>
      </c>
      <c r="J12" s="157">
        <f>I12*References!D$61</f>
        <v>58.568543750950532</v>
      </c>
      <c r="K12" s="157">
        <f>J12/References!H$64</f>
        <v>59.984170166889115</v>
      </c>
      <c r="L12" s="157">
        <f>K12/F12*References!C$11</f>
        <v>0.71409726389153694</v>
      </c>
      <c r="M12" s="131">
        <v>2.87</v>
      </c>
      <c r="N12" s="131">
        <f t="shared" ref="N12:N14" si="10">M12+L12</f>
        <v>3.5840972638915369</v>
      </c>
      <c r="O12" s="157">
        <f>M12*F12</f>
        <v>1044.68</v>
      </c>
      <c r="P12" s="157">
        <f>N12*F12</f>
        <v>1304.6114040565194</v>
      </c>
      <c r="Q12" s="157">
        <f t="shared" ref="Q12:Q14" si="11">P12-O12</f>
        <v>259.93140405651934</v>
      </c>
    </row>
    <row r="13" spans="1:18" s="150" customFormat="1" ht="13.5" customHeight="1" x14ac:dyDescent="0.3">
      <c r="B13" s="151">
        <v>35</v>
      </c>
      <c r="C13" s="152" t="s">
        <v>164</v>
      </c>
      <c r="D13" s="164">
        <v>535</v>
      </c>
      <c r="E13" s="165">
        <f>'Company Ref. '!D7</f>
        <v>4.333333333333333</v>
      </c>
      <c r="F13" s="149">
        <f t="shared" si="8"/>
        <v>27819.999999999996</v>
      </c>
      <c r="G13" s="162">
        <f>References!C34</f>
        <v>324</v>
      </c>
      <c r="H13" s="155">
        <f t="shared" si="9"/>
        <v>9013679.9999999981</v>
      </c>
      <c r="I13" s="156">
        <f>H13*D$24</f>
        <v>6093800.3444116227</v>
      </c>
      <c r="J13" s="157">
        <f>I13*References!D$61</f>
        <v>42656.602410881358</v>
      </c>
      <c r="K13" s="157">
        <f>J13/References!H$64</f>
        <v>43687.630490456118</v>
      </c>
      <c r="L13" s="157">
        <f>K13/F13</f>
        <v>1.5703677386936061</v>
      </c>
      <c r="M13" s="131">
        <v>23.77</v>
      </c>
      <c r="N13" s="131">
        <f t="shared" si="10"/>
        <v>25.340367738693605</v>
      </c>
      <c r="O13" s="157">
        <f>M13*F13</f>
        <v>661281.39999999991</v>
      </c>
      <c r="P13" s="157">
        <f>N13*F13</f>
        <v>704969.03049045603</v>
      </c>
      <c r="Q13" s="157">
        <f t="shared" si="11"/>
        <v>43687.630490456126</v>
      </c>
    </row>
    <row r="14" spans="1:18" s="150" customFormat="1" x14ac:dyDescent="0.3">
      <c r="B14" s="151">
        <v>35</v>
      </c>
      <c r="C14" s="152" t="s">
        <v>168</v>
      </c>
      <c r="D14" s="164">
        <v>31</v>
      </c>
      <c r="E14" s="165">
        <f>'Company Ref. '!D8</f>
        <v>2.1666666666666665</v>
      </c>
      <c r="F14" s="149">
        <f t="shared" si="8"/>
        <v>805.99999999999989</v>
      </c>
      <c r="G14" s="162">
        <f>References!C34</f>
        <v>324</v>
      </c>
      <c r="H14" s="155">
        <f t="shared" si="9"/>
        <v>261143.99999999997</v>
      </c>
      <c r="I14" s="156">
        <f>H14*D$24</f>
        <v>176549.35577267318</v>
      </c>
      <c r="J14" s="157">
        <f>I14*References!D$61</f>
        <v>1235.8454904087121</v>
      </c>
      <c r="K14" s="157">
        <f>J14/References!H$64</f>
        <v>1265.7163973870463</v>
      </c>
      <c r="L14" s="157">
        <f>K14/F14</f>
        <v>1.5703677386936061</v>
      </c>
      <c r="M14" s="131">
        <v>23.77</v>
      </c>
      <c r="N14" s="131">
        <f t="shared" si="10"/>
        <v>25.340367738693605</v>
      </c>
      <c r="O14" s="157">
        <f>M14*F14</f>
        <v>19158.619999999995</v>
      </c>
      <c r="P14" s="157">
        <f>N14*F14</f>
        <v>20424.336397387044</v>
      </c>
      <c r="Q14" s="157">
        <f t="shared" si="11"/>
        <v>1265.7163973870483</v>
      </c>
    </row>
    <row r="15" spans="1:18" x14ac:dyDescent="0.3">
      <c r="B15" s="51"/>
      <c r="C15" s="41" t="s">
        <v>87</v>
      </c>
      <c r="D15" s="42">
        <f>SUM(D11:D14)</f>
        <v>875</v>
      </c>
      <c r="E15" s="43"/>
      <c r="F15" s="44">
        <f>SUM(F11:F14)</f>
        <v>44693.999999999993</v>
      </c>
      <c r="G15" s="45"/>
      <c r="H15" s="46">
        <f>SUM(H11:H14)</f>
        <v>9742615.9999999981</v>
      </c>
      <c r="I15" s="49">
        <f>SUM(I11:I14)</f>
        <v>6586605.774364098</v>
      </c>
      <c r="J15" s="48">
        <f>SUM(J11:J14)</f>
        <v>46106.240420548689</v>
      </c>
      <c r="K15" s="48">
        <f>SUM(K11:K14)</f>
        <v>47220.647706420204</v>
      </c>
      <c r="L15" s="47"/>
      <c r="M15" s="47"/>
      <c r="N15" s="48"/>
      <c r="O15" s="48">
        <f>SUM(O11:O14)</f>
        <v>717797.17999999993</v>
      </c>
      <c r="P15" s="48">
        <f>SUM(P11:P14)</f>
        <v>765217.77494030981</v>
      </c>
      <c r="Q15" s="48">
        <f>SUM(Q11:Q14)</f>
        <v>47420.594940309842</v>
      </c>
    </row>
    <row r="16" spans="1:18" ht="45.75" customHeight="1" x14ac:dyDescent="0.3">
      <c r="B16" s="123" t="s">
        <v>177</v>
      </c>
      <c r="C16" s="124" t="s">
        <v>169</v>
      </c>
      <c r="D16" s="13" t="s">
        <v>74</v>
      </c>
      <c r="E16" s="8" t="s">
        <v>84</v>
      </c>
      <c r="F16" s="12" t="s">
        <v>2</v>
      </c>
      <c r="G16" s="9" t="s">
        <v>75</v>
      </c>
      <c r="H16" s="10" t="s">
        <v>4</v>
      </c>
      <c r="I16" s="10" t="s">
        <v>5</v>
      </c>
      <c r="J16" s="8" t="s">
        <v>6</v>
      </c>
      <c r="K16" s="8" t="s">
        <v>7</v>
      </c>
      <c r="L16" s="10" t="s">
        <v>8</v>
      </c>
      <c r="M16" s="10" t="s">
        <v>152</v>
      </c>
      <c r="N16" s="140" t="s">
        <v>154</v>
      </c>
      <c r="O16" s="10" t="s">
        <v>9</v>
      </c>
      <c r="P16" s="10"/>
      <c r="Q16" s="10"/>
    </row>
    <row r="17" spans="2:18" s="150" customFormat="1" x14ac:dyDescent="0.3">
      <c r="B17" s="167" t="s">
        <v>175</v>
      </c>
      <c r="C17" s="163" t="s">
        <v>171</v>
      </c>
      <c r="D17" s="168">
        <v>1036</v>
      </c>
      <c r="E17" s="153">
        <f>'Company Ref. '!$D$9</f>
        <v>1</v>
      </c>
      <c r="F17" s="168">
        <f>D17*E17*12</f>
        <v>12432</v>
      </c>
      <c r="G17" s="169">
        <f>References!C18</f>
        <v>34</v>
      </c>
      <c r="H17" s="169">
        <f>F17*G17</f>
        <v>422688</v>
      </c>
      <c r="I17" s="169">
        <f>H17*D$24</f>
        <v>285763.00467496744</v>
      </c>
      <c r="J17" s="170">
        <f>I17*References!D$61</f>
        <v>2000.3410327247718</v>
      </c>
      <c r="K17" s="170">
        <f>J17/References!H$64</f>
        <v>2048.6901195460587</v>
      </c>
      <c r="L17" s="170">
        <f>K17/F17*E17</f>
        <v>0.16479167628266236</v>
      </c>
      <c r="M17" s="131">
        <v>3.53</v>
      </c>
      <c r="N17" s="131">
        <f>M17+L17</f>
        <v>3.6947916762826623</v>
      </c>
      <c r="O17" s="170">
        <f>M17*F17</f>
        <v>43884.959999999999</v>
      </c>
      <c r="P17" s="170">
        <f>N17*F17</f>
        <v>45933.650119546059</v>
      </c>
      <c r="Q17" s="170">
        <f>P17-O17</f>
        <v>2048.6901195460596</v>
      </c>
    </row>
    <row r="18" spans="2:18" s="51" customFormat="1" x14ac:dyDescent="0.3">
      <c r="C18" s="85" t="s">
        <v>66</v>
      </c>
      <c r="D18" s="86">
        <f>SUM(D17:D17)</f>
        <v>1036</v>
      </c>
      <c r="E18" s="86"/>
      <c r="F18" s="86">
        <f>SUM(F17:F17)</f>
        <v>12432</v>
      </c>
      <c r="G18" s="86"/>
      <c r="H18" s="86">
        <f>SUM(H17:H17)</f>
        <v>422688</v>
      </c>
      <c r="I18" s="86">
        <f>SUM(I17:I17)</f>
        <v>285763.00467496744</v>
      </c>
      <c r="J18" s="86"/>
      <c r="K18" s="86">
        <f>SUM(K17:K17)</f>
        <v>2048.6901195460587</v>
      </c>
      <c r="L18" s="86"/>
      <c r="M18" s="86"/>
      <c r="N18" s="86"/>
      <c r="O18" s="86">
        <f>SUM(O17:O17)</f>
        <v>43884.959999999999</v>
      </c>
      <c r="P18" s="86">
        <f>SUM(P17:P17)</f>
        <v>45933.650119546059</v>
      </c>
      <c r="Q18" s="94">
        <f>SUM(Q17:Q17)</f>
        <v>2048.6901195460596</v>
      </c>
    </row>
    <row r="19" spans="2:18" s="51" customFormat="1" x14ac:dyDescent="0.3">
      <c r="C19" s="85" t="s">
        <v>87</v>
      </c>
      <c r="D19" s="86">
        <f>D18+D15+D9</f>
        <v>8503</v>
      </c>
      <c r="E19" s="91"/>
      <c r="F19" s="92">
        <f>F18+F15+F9</f>
        <v>391790</v>
      </c>
      <c r="G19" s="93"/>
      <c r="H19" s="93">
        <f>H9+H15+H18</f>
        <v>21172340</v>
      </c>
      <c r="I19" s="93">
        <f>I9+I15+I18</f>
        <v>14313799.999999996</v>
      </c>
      <c r="J19" s="94"/>
      <c r="K19" s="94">
        <f>K18+K15+K9</f>
        <v>102618.39410077833</v>
      </c>
      <c r="L19" s="94"/>
      <c r="M19" s="94"/>
      <c r="N19" s="94"/>
      <c r="O19" s="94">
        <f>O18+O15+O9</f>
        <v>1846588.94</v>
      </c>
      <c r="P19" s="94">
        <f>P18+P15+P9</f>
        <v>1949407.2813346682</v>
      </c>
      <c r="Q19" s="94">
        <f>SUM(Q9+Q15+Q18)</f>
        <v>102818.34133466793</v>
      </c>
    </row>
    <row r="20" spans="2:18" x14ac:dyDescent="0.3">
      <c r="C20" s="15" t="s">
        <v>81</v>
      </c>
      <c r="N20" s="14"/>
    </row>
    <row r="21" spans="2:18" x14ac:dyDescent="0.3">
      <c r="C21" s="16" t="s">
        <v>78</v>
      </c>
      <c r="D21" s="39">
        <f>'Company Ref. '!B22</f>
        <v>7156.9</v>
      </c>
      <c r="E21" s="35"/>
      <c r="N21" s="14"/>
    </row>
    <row r="22" spans="2:18" x14ac:dyDescent="0.3">
      <c r="C22" s="16" t="s">
        <v>79</v>
      </c>
      <c r="D22" s="2">
        <f>D21*2000</f>
        <v>14313800</v>
      </c>
      <c r="F22" s="119"/>
      <c r="G22" s="118"/>
      <c r="I22" s="6"/>
      <c r="J22" s="11"/>
      <c r="K22" s="17"/>
      <c r="L22" s="7"/>
      <c r="M22" s="144"/>
      <c r="N22" s="14"/>
      <c r="O22" s="14"/>
      <c r="P22" s="14"/>
      <c r="Q22" s="76"/>
      <c r="R22" s="131"/>
    </row>
    <row r="23" spans="2:18" x14ac:dyDescent="0.3">
      <c r="C23" s="16" t="s">
        <v>80</v>
      </c>
      <c r="D23" s="5">
        <f>H19</f>
        <v>21172340</v>
      </c>
      <c r="N23" s="14"/>
    </row>
    <row r="24" spans="2:18" x14ac:dyDescent="0.3">
      <c r="C24" s="16" t="s">
        <v>76</v>
      </c>
      <c r="D24" s="40">
        <f>D22/D23</f>
        <v>0.67606131395962843</v>
      </c>
      <c r="N24" s="14"/>
    </row>
    <row r="25" spans="2:18" x14ac:dyDescent="0.3">
      <c r="N25" s="14"/>
    </row>
    <row r="26" spans="2:18" x14ac:dyDescent="0.3">
      <c r="N26" s="14"/>
    </row>
    <row r="27" spans="2:18" s="51" customFormat="1" ht="43.2" x14ac:dyDescent="0.3">
      <c r="B27" s="120" t="s">
        <v>176</v>
      </c>
      <c r="C27" s="121" t="s">
        <v>178</v>
      </c>
      <c r="D27" s="87" t="s">
        <v>104</v>
      </c>
      <c r="E27" s="88" t="s">
        <v>105</v>
      </c>
      <c r="F27" s="89" t="s">
        <v>106</v>
      </c>
      <c r="G27" s="95" t="s">
        <v>107</v>
      </c>
      <c r="H27" s="96" t="s">
        <v>4</v>
      </c>
      <c r="I27" s="96" t="s">
        <v>108</v>
      </c>
      <c r="J27" s="90" t="s">
        <v>6</v>
      </c>
      <c r="K27" s="90" t="s">
        <v>109</v>
      </c>
      <c r="L27" s="97" t="s">
        <v>110</v>
      </c>
      <c r="M27" s="97" t="s">
        <v>116</v>
      </c>
      <c r="N27" s="97" t="s">
        <v>172</v>
      </c>
      <c r="O27" s="52"/>
      <c r="P27" s="52"/>
      <c r="Q27" s="52"/>
    </row>
    <row r="28" spans="2:18" s="150" customFormat="1" x14ac:dyDescent="0.3">
      <c r="B28" s="151">
        <v>35</v>
      </c>
      <c r="C28" s="152" t="s">
        <v>165</v>
      </c>
      <c r="D28" s="150">
        <v>1</v>
      </c>
      <c r="E28" s="153">
        <f>References!C14</f>
        <v>1</v>
      </c>
      <c r="F28" s="149">
        <f t="shared" ref="F28:F34" si="12">D28*E28*12</f>
        <v>12</v>
      </c>
      <c r="G28" s="162">
        <f>References!$C$34</f>
        <v>324</v>
      </c>
      <c r="H28" s="155">
        <f t="shared" ref="H28:H33" si="13">G28*F28</f>
        <v>3888</v>
      </c>
      <c r="I28" s="156">
        <f t="shared" ref="I28:I34" si="14">H28*D$24</f>
        <v>2628.5263886750354</v>
      </c>
      <c r="J28" s="157">
        <f>I28*References!D$61</f>
        <v>18.399684720725247</v>
      </c>
      <c r="K28" s="157">
        <f>J28/References!H$64</f>
        <v>18.844412864323274</v>
      </c>
      <c r="L28" s="153">
        <f t="shared" ref="L28:L33" si="15">K28/F28</f>
        <v>1.5703677386936061</v>
      </c>
      <c r="M28" s="131">
        <v>26.94</v>
      </c>
      <c r="N28" s="131">
        <f t="shared" ref="N28:N34" si="16">M28+L28</f>
        <v>28.510367738693606</v>
      </c>
      <c r="O28" s="157"/>
      <c r="P28" s="157"/>
      <c r="Q28" s="157"/>
    </row>
    <row r="29" spans="2:18" s="150" customFormat="1" x14ac:dyDescent="0.3">
      <c r="B29" s="151">
        <v>26</v>
      </c>
      <c r="C29" s="152" t="s">
        <v>166</v>
      </c>
      <c r="D29" s="150">
        <v>1</v>
      </c>
      <c r="E29" s="153">
        <f>References!C11</f>
        <v>4.333333333333333</v>
      </c>
      <c r="F29" s="149">
        <f t="shared" si="12"/>
        <v>52</v>
      </c>
      <c r="G29" s="162">
        <f>References!$C$34</f>
        <v>324</v>
      </c>
      <c r="H29" s="155">
        <f t="shared" si="13"/>
        <v>16848</v>
      </c>
      <c r="I29" s="156">
        <f t="shared" si="14"/>
        <v>11390.28101759182</v>
      </c>
      <c r="J29" s="157">
        <f>I29*References!D$61</f>
        <v>79.731967123142738</v>
      </c>
      <c r="K29" s="157">
        <f>J29/References!H$64</f>
        <v>81.659122412067532</v>
      </c>
      <c r="L29" s="153">
        <f>K29/F29</f>
        <v>1.5703677386936064</v>
      </c>
      <c r="M29" s="131">
        <v>90.46</v>
      </c>
      <c r="N29" s="131">
        <f t="shared" si="16"/>
        <v>92.030367738693599</v>
      </c>
      <c r="O29" s="157"/>
      <c r="P29" s="157"/>
      <c r="Q29" s="157"/>
    </row>
    <row r="30" spans="2:18" s="150" customFormat="1" x14ac:dyDescent="0.3">
      <c r="B30" s="151">
        <v>26</v>
      </c>
      <c r="C30" s="152" t="s">
        <v>170</v>
      </c>
      <c r="D30" s="150">
        <v>1</v>
      </c>
      <c r="E30" s="153">
        <f>'Company Ref. '!$D$9</f>
        <v>1</v>
      </c>
      <c r="F30" s="168">
        <f>D30*E30*12</f>
        <v>12</v>
      </c>
      <c r="G30" s="162">
        <f>References!C34</f>
        <v>324</v>
      </c>
      <c r="H30" s="169">
        <f>F30*G30</f>
        <v>3888</v>
      </c>
      <c r="I30" s="169">
        <f>H30*D$24</f>
        <v>2628.5263886750354</v>
      </c>
      <c r="J30" s="170">
        <f>I30*References!D$61</f>
        <v>18.399684720725247</v>
      </c>
      <c r="K30" s="170">
        <f>J30/References!H$64</f>
        <v>18.844412864323274</v>
      </c>
      <c r="L30" s="153">
        <f>K30/F30</f>
        <v>1.5703677386936061</v>
      </c>
      <c r="M30" s="131">
        <v>36.75</v>
      </c>
      <c r="N30" s="131">
        <f>M30+L30</f>
        <v>38.320367738693605</v>
      </c>
    </row>
    <row r="31" spans="2:18" s="150" customFormat="1" x14ac:dyDescent="0.3">
      <c r="B31" s="151">
        <v>37</v>
      </c>
      <c r="C31" s="152" t="s">
        <v>167</v>
      </c>
      <c r="D31" s="150">
        <v>1</v>
      </c>
      <c r="E31" s="153">
        <f>References!C11</f>
        <v>4.333333333333333</v>
      </c>
      <c r="F31" s="149">
        <f t="shared" si="12"/>
        <v>52</v>
      </c>
      <c r="G31" s="162">
        <f>References!$C$34</f>
        <v>324</v>
      </c>
      <c r="H31" s="155">
        <f t="shared" si="13"/>
        <v>16848</v>
      </c>
      <c r="I31" s="156">
        <f t="shared" si="14"/>
        <v>11390.28101759182</v>
      </c>
      <c r="J31" s="157">
        <f>I31*References!D$61</f>
        <v>79.731967123142738</v>
      </c>
      <c r="K31" s="157">
        <f>J31/References!H$64</f>
        <v>81.659122412067532</v>
      </c>
      <c r="L31" s="153">
        <f t="shared" si="15"/>
        <v>1.5703677386936064</v>
      </c>
      <c r="M31" s="131">
        <v>80.36</v>
      </c>
      <c r="N31" s="131">
        <f t="shared" si="16"/>
        <v>81.930367738693604</v>
      </c>
      <c r="O31" s="157"/>
      <c r="P31" s="157"/>
      <c r="Q31" s="157"/>
    </row>
    <row r="32" spans="2:18" s="150" customFormat="1" ht="14.25" customHeight="1" x14ac:dyDescent="0.3">
      <c r="B32" s="151">
        <v>36</v>
      </c>
      <c r="C32" s="152" t="s">
        <v>180</v>
      </c>
      <c r="D32" s="150">
        <v>1</v>
      </c>
      <c r="E32" s="153">
        <f>References!$C$11</f>
        <v>4.333333333333333</v>
      </c>
      <c r="F32" s="149">
        <v>12</v>
      </c>
      <c r="G32" s="162">
        <f>References!C18</f>
        <v>34</v>
      </c>
      <c r="H32" s="155">
        <f t="shared" si="13"/>
        <v>408</v>
      </c>
      <c r="I32" s="156">
        <f>H32*D$24</f>
        <v>275.83301609552842</v>
      </c>
      <c r="J32" s="157">
        <f>I32*References!D$61</f>
        <v>1.9308311126686988</v>
      </c>
      <c r="K32" s="157">
        <f>J32/References!H$64</f>
        <v>1.9775001153919487</v>
      </c>
      <c r="L32" s="153">
        <f t="shared" si="15"/>
        <v>0.16479167628266239</v>
      </c>
      <c r="M32" s="131">
        <v>2.31</v>
      </c>
      <c r="N32" s="131">
        <f>+N11/E11</f>
        <v>2.4528652985487867</v>
      </c>
      <c r="O32" s="157"/>
      <c r="P32" s="157"/>
      <c r="Q32" s="157"/>
    </row>
    <row r="33" spans="2:17" s="150" customFormat="1" x14ac:dyDescent="0.3">
      <c r="B33" s="151">
        <v>36</v>
      </c>
      <c r="C33" s="152" t="s">
        <v>163</v>
      </c>
      <c r="D33" s="150">
        <v>1</v>
      </c>
      <c r="E33" s="153">
        <f>References!$C$11</f>
        <v>4.333333333333333</v>
      </c>
      <c r="F33" s="149">
        <v>12</v>
      </c>
      <c r="G33" s="162">
        <f>References!$C$25</f>
        <v>47</v>
      </c>
      <c r="H33" s="155">
        <f t="shared" si="13"/>
        <v>564</v>
      </c>
      <c r="I33" s="156">
        <f t="shared" si="14"/>
        <v>381.29858107323042</v>
      </c>
      <c r="J33" s="157">
        <f>I33*References!D$61</f>
        <v>2.6690900675126126</v>
      </c>
      <c r="K33" s="157">
        <f>J33/References!H$64</f>
        <v>2.7336031006888697</v>
      </c>
      <c r="L33" s="153">
        <f t="shared" si="15"/>
        <v>0.22780025839073914</v>
      </c>
      <c r="M33" s="131">
        <v>4.4800000000000004</v>
      </c>
      <c r="N33" s="131">
        <f t="shared" si="16"/>
        <v>4.7078002583907397</v>
      </c>
      <c r="O33" s="157"/>
      <c r="P33" s="157"/>
      <c r="Q33" s="157"/>
    </row>
    <row r="34" spans="2:17" s="150" customFormat="1" x14ac:dyDescent="0.3">
      <c r="B34" s="151">
        <v>22</v>
      </c>
      <c r="C34" s="152" t="s">
        <v>161</v>
      </c>
      <c r="D34" s="150">
        <v>1</v>
      </c>
      <c r="E34" s="153">
        <f>References!C11</f>
        <v>4.333333333333333</v>
      </c>
      <c r="F34" s="149">
        <f t="shared" si="12"/>
        <v>52</v>
      </c>
      <c r="G34" s="154">
        <f>References!C23</f>
        <v>137</v>
      </c>
      <c r="H34" s="155">
        <f t="shared" ref="H34" si="17">G34*F34</f>
        <v>7124</v>
      </c>
      <c r="I34" s="156">
        <f t="shared" si="14"/>
        <v>4816.2608006483933</v>
      </c>
      <c r="J34" s="157">
        <f>I34*References!D$61</f>
        <v>33.713825604538748</v>
      </c>
      <c r="K34" s="157">
        <f>J34/References!H$64</f>
        <v>34.528702995226084</v>
      </c>
      <c r="L34" s="157">
        <f t="shared" ref="L34" si="18">K34/F34*E34</f>
        <v>2.8773919162688402</v>
      </c>
      <c r="M34" s="131">
        <v>43.85</v>
      </c>
      <c r="N34" s="131">
        <f t="shared" si="16"/>
        <v>46.727391916268843</v>
      </c>
      <c r="O34" s="157"/>
      <c r="P34" s="157"/>
      <c r="Q34" s="157"/>
    </row>
  </sheetData>
  <mergeCells count="1">
    <mergeCell ref="A2:A8"/>
  </mergeCells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59A5D3EB913B54C8CB5EE38059980EA" ma:contentTypeVersion="28" ma:contentTypeDescription="" ma:contentTypeScope="" ma:versionID="cc27241d292153e2e0d36ea4687d87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2022-11-17T08:00:00+00:00</OpenedDate>
    <SignificantOrder xmlns="dc463f71-b30c-4ab2-9473-d307f9d35888">false</SignificantOrder>
    <Date1 xmlns="dc463f71-b30c-4ab2-9473-d307f9d35888">2022-11-17T08:00:00+00:00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220865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2D3962-0B15-400F-AF5C-85E980F4A6F2}"/>
</file>

<file path=customXml/itemProps2.xml><?xml version="1.0" encoding="utf-8"?>
<ds:datastoreItem xmlns:ds="http://schemas.openxmlformats.org/officeDocument/2006/customXml" ds:itemID="{C6407898-92B6-4522-A5FC-D2A9474F47E6}"/>
</file>

<file path=customXml/itemProps3.xml><?xml version="1.0" encoding="utf-8"?>
<ds:datastoreItem xmlns:ds="http://schemas.openxmlformats.org/officeDocument/2006/customXml" ds:itemID="{E1C0C30C-DC18-4752-9907-2081B9F5FF75}"/>
</file>

<file path=customXml/itemProps4.xml><?xml version="1.0" encoding="utf-8"?>
<ds:datastoreItem xmlns:ds="http://schemas.openxmlformats.org/officeDocument/2006/customXml" ds:itemID="{B4E99E58-1738-47C4-990B-326FB336A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Company Ref. </vt:lpstr>
      <vt:lpstr>References</vt:lpstr>
      <vt:lpstr>Staff Price Out</vt:lpstr>
      <vt:lpstr>'Company Ref.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Logan Davis</cp:lastModifiedBy>
  <cp:lastPrinted>2022-05-09T23:34:18Z</cp:lastPrinted>
  <dcterms:created xsi:type="dcterms:W3CDTF">2021-11-12T22:53:39Z</dcterms:created>
  <dcterms:modified xsi:type="dcterms:W3CDTF">2022-11-18T00:05:12Z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0x0101006E56B4D1795A2E4DB2F0B01679ED314A00659A5D3EB913B54C8CB5EE38059980EA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