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sion\Accounting\WUTC\2023 Disposal Increase\4183\"/>
    </mc:Choice>
  </mc:AlternateContent>
  <xr:revisionPtr revIDLastSave="0" documentId="13_ncr:1_{B4F58AE1-177D-4476-A245-98BDBB7BFA27}" xr6:coauthVersionLast="47" xr6:coauthVersionMax="47" xr10:uidLastSave="{00000000-0000-0000-0000-000000000000}"/>
  <bookViews>
    <workbookView xWindow="-120" yWindow="-120" windowWidth="29040" windowHeight="15840" activeTab="1" xr2:uid="{4CBCD0EE-9B33-4F3A-ADAE-7CAFA798A5A5}"/>
  </bookViews>
  <sheets>
    <sheet name="References" sheetId="4" r:id="rId1"/>
    <sheet name="Staff Calcs " sheetId="7" r:id="rId2"/>
    <sheet name="Tariff Changes" sheetId="9" r:id="rId3"/>
    <sheet name="Disposal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7" l="1"/>
  <c r="Q34" i="7" s="1"/>
  <c r="P34" i="7"/>
  <c r="R34" i="7"/>
  <c r="S34" i="7" s="1"/>
  <c r="T34" i="7" s="1"/>
  <c r="P16" i="7"/>
  <c r="P17" i="7"/>
  <c r="P18" i="7"/>
  <c r="P19" i="7"/>
  <c r="P20" i="7"/>
  <c r="P21" i="7"/>
  <c r="P22" i="7"/>
  <c r="P23" i="7"/>
  <c r="P24" i="7"/>
  <c r="P25" i="7"/>
  <c r="P26" i="7"/>
  <c r="O3" i="7"/>
  <c r="O4" i="7"/>
  <c r="O5" i="7"/>
  <c r="O6" i="7"/>
  <c r="O7" i="7"/>
  <c r="O8" i="7"/>
  <c r="O9" i="7"/>
  <c r="O16" i="7"/>
  <c r="O17" i="7"/>
  <c r="O18" i="7"/>
  <c r="O19" i="7"/>
  <c r="O20" i="7"/>
  <c r="O21" i="7"/>
  <c r="O22" i="7"/>
  <c r="O23" i="7"/>
  <c r="O24" i="7"/>
  <c r="O25" i="7"/>
  <c r="O26" i="7"/>
  <c r="L34" i="7"/>
  <c r="L19" i="7"/>
  <c r="L20" i="7"/>
  <c r="L21" i="7"/>
  <c r="L22" i="7"/>
  <c r="L23" i="7"/>
  <c r="L24" i="7"/>
  <c r="L25" i="7"/>
  <c r="L26" i="7"/>
  <c r="L15" i="7"/>
  <c r="L16" i="7"/>
  <c r="L17" i="7"/>
  <c r="L18" i="7"/>
  <c r="L30" i="7"/>
  <c r="G52" i="4"/>
  <c r="C49" i="4"/>
  <c r="I32" i="7"/>
  <c r="I33" i="7"/>
  <c r="I34" i="7"/>
  <c r="F89" i="7"/>
  <c r="F8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15" i="7"/>
  <c r="F16" i="7"/>
  <c r="F25" i="7"/>
  <c r="F34" i="7"/>
  <c r="F30" i="7"/>
  <c r="G30" i="7" l="1"/>
  <c r="D36" i="7"/>
  <c r="D127" i="7"/>
  <c r="F183" i="8"/>
  <c r="F179" i="8"/>
  <c r="F173" i="8"/>
  <c r="F185" i="8" s="1"/>
  <c r="F172" i="8"/>
  <c r="F184" i="8" s="1"/>
  <c r="F171" i="8"/>
  <c r="F170" i="8"/>
  <c r="F182" i="8" s="1"/>
  <c r="F169" i="8"/>
  <c r="F181" i="8" s="1"/>
  <c r="F168" i="8"/>
  <c r="F180" i="8" s="1"/>
  <c r="F167" i="8"/>
  <c r="F166" i="8"/>
  <c r="F178" i="8" s="1"/>
  <c r="F165" i="8"/>
  <c r="F177" i="8" s="1"/>
  <c r="F155" i="8"/>
  <c r="F154" i="8"/>
  <c r="F153" i="8"/>
  <c r="F152" i="8"/>
  <c r="F151" i="8"/>
  <c r="F120" i="8"/>
  <c r="B105" i="8"/>
  <c r="A105" i="8"/>
  <c r="C102" i="8"/>
  <c r="F98" i="8"/>
  <c r="F97" i="8"/>
  <c r="F87" i="8"/>
  <c r="F124" i="8" s="1"/>
  <c r="F86" i="8"/>
  <c r="F123" i="8" s="1"/>
  <c r="F85" i="8"/>
  <c r="F122" i="8" s="1"/>
  <c r="F84" i="8"/>
  <c r="F121" i="8" s="1"/>
  <c r="F83" i="8"/>
  <c r="F82" i="8"/>
  <c r="F118" i="8" s="1"/>
  <c r="F81" i="8"/>
  <c r="F117" i="8" s="1"/>
  <c r="F79" i="8"/>
  <c r="F114" i="8" s="1"/>
  <c r="F78" i="8"/>
  <c r="F113" i="8" s="1"/>
  <c r="F77" i="8"/>
  <c r="F112" i="8" s="1"/>
  <c r="F76" i="8"/>
  <c r="F110" i="8" s="1"/>
  <c r="F75" i="8"/>
  <c r="F109" i="8" s="1"/>
  <c r="F70" i="8"/>
  <c r="F102" i="8" s="1"/>
  <c r="F69" i="8"/>
  <c r="F101" i="8" s="1"/>
  <c r="F68" i="8"/>
  <c r="F100" i="8" s="1"/>
  <c r="F67" i="8"/>
  <c r="F66" i="8"/>
  <c r="F53" i="8"/>
  <c r="F52" i="8"/>
  <c r="F125" i="8" s="1"/>
  <c r="F51" i="8"/>
  <c r="F48" i="8"/>
  <c r="A48" i="8"/>
  <c r="A51" i="8" s="1"/>
  <c r="F45" i="8"/>
  <c r="F39" i="8"/>
  <c r="F115" i="8" s="1"/>
  <c r="F38" i="8"/>
  <c r="A38" i="8"/>
  <c r="F35" i="8"/>
  <c r="F30" i="8"/>
  <c r="F107" i="8" s="1"/>
  <c r="A30" i="8"/>
  <c r="F25" i="8"/>
  <c r="F103" i="8" s="1"/>
  <c r="B23" i="8"/>
  <c r="B102" i="8" s="1"/>
  <c r="B20" i="8"/>
  <c r="F20" i="8" s="1"/>
  <c r="A20" i="8"/>
  <c r="A21" i="8" s="1"/>
  <c r="A23" i="8" s="1"/>
  <c r="G4" i="8"/>
  <c r="H3" i="8"/>
  <c r="H4" i="8" s="1"/>
  <c r="A102" i="8" l="1"/>
  <c r="V43" i="8"/>
  <c r="V37" i="8"/>
  <c r="V33" i="8"/>
  <c r="V46" i="8"/>
  <c r="V36" i="8"/>
  <c r="V34" i="8"/>
  <c r="I3" i="8"/>
  <c r="V44" i="8"/>
  <c r="V49" i="8"/>
  <c r="F23" i="8"/>
  <c r="V47" i="8"/>
  <c r="V50" i="8"/>
  <c r="I4" i="8" l="1"/>
  <c r="J3" i="8"/>
  <c r="V53" i="8" l="1"/>
  <c r="J4" i="8"/>
  <c r="K3" i="8"/>
  <c r="K4" i="8" l="1"/>
  <c r="L3" i="8"/>
  <c r="M3" i="8" l="1"/>
  <c r="L4" i="8"/>
  <c r="N3" i="8" l="1"/>
  <c r="M4" i="8"/>
  <c r="O3" i="8" l="1"/>
  <c r="N4" i="8"/>
  <c r="P3" i="8" l="1"/>
  <c r="O4" i="8"/>
  <c r="P4" i="8" l="1"/>
  <c r="Q3" i="8"/>
  <c r="Q4" i="8" l="1"/>
  <c r="R3" i="8"/>
  <c r="R4" i="8" s="1"/>
  <c r="C63" i="9" l="1"/>
  <c r="C64" i="9"/>
  <c r="C65" i="9"/>
  <c r="C62" i="9"/>
  <c r="C77" i="9"/>
  <c r="C76" i="9"/>
  <c r="C109" i="9"/>
  <c r="C108" i="9"/>
  <c r="C107" i="9"/>
  <c r="C106" i="9"/>
  <c r="C104" i="9"/>
  <c r="C105" i="9"/>
  <c r="C103" i="9"/>
  <c r="C142" i="9"/>
  <c r="C143" i="9"/>
  <c r="C144" i="9"/>
  <c r="C145" i="9"/>
  <c r="C146" i="9"/>
  <c r="C141" i="9"/>
  <c r="C135" i="9"/>
  <c r="C136" i="9"/>
  <c r="C137" i="9"/>
  <c r="C138" i="9"/>
  <c r="C139" i="9"/>
  <c r="C134" i="9"/>
  <c r="C129" i="9"/>
  <c r="C130" i="9"/>
  <c r="C131" i="9"/>
  <c r="C128" i="9"/>
  <c r="C124" i="9"/>
  <c r="C125" i="9"/>
  <c r="C126" i="9"/>
  <c r="C123" i="9"/>
  <c r="C117" i="9"/>
  <c r="C118" i="9"/>
  <c r="C116" i="9"/>
  <c r="C113" i="9"/>
  <c r="C114" i="9"/>
  <c r="C112" i="9"/>
  <c r="C101" i="9"/>
  <c r="C96" i="9"/>
  <c r="C97" i="9"/>
  <c r="C98" i="9"/>
  <c r="C99" i="9"/>
  <c r="C100" i="9"/>
  <c r="C95" i="9"/>
  <c r="C93" i="9"/>
  <c r="C94" i="9"/>
  <c r="C92" i="9"/>
  <c r="C85" i="9"/>
  <c r="C86" i="9"/>
  <c r="C87" i="9"/>
  <c r="C88" i="9"/>
  <c r="C89" i="9"/>
  <c r="C90" i="9"/>
  <c r="C84" i="9"/>
  <c r="C83" i="9"/>
  <c r="C82" i="9"/>
  <c r="C81" i="9"/>
  <c r="C69" i="9"/>
  <c r="C70" i="9"/>
  <c r="C71" i="9"/>
  <c r="C72" i="9"/>
  <c r="C73" i="9"/>
  <c r="C68" i="9"/>
  <c r="C58" i="9"/>
  <c r="C59" i="9"/>
  <c r="C60" i="9"/>
  <c r="C57" i="9"/>
  <c r="C49" i="9"/>
  <c r="C50" i="9"/>
  <c r="C51" i="9"/>
  <c r="C52" i="9"/>
  <c r="C53" i="9"/>
  <c r="C54" i="9"/>
  <c r="C48" i="9"/>
  <c r="C37" i="9"/>
  <c r="C38" i="9"/>
  <c r="C39" i="9"/>
  <c r="C40" i="9"/>
  <c r="C41" i="9"/>
  <c r="C42" i="9"/>
  <c r="C43" i="9"/>
  <c r="C44" i="9"/>
  <c r="C45" i="9"/>
  <c r="C46" i="9"/>
  <c r="C36" i="9"/>
  <c r="C33" i="9"/>
  <c r="C34" i="9"/>
  <c r="C32" i="9"/>
  <c r="C29" i="9"/>
  <c r="C30" i="9"/>
  <c r="C31" i="9"/>
  <c r="C28" i="9"/>
  <c r="C27" i="9"/>
  <c r="C26" i="9"/>
  <c r="C25" i="9"/>
  <c r="C24" i="9"/>
  <c r="C23" i="9"/>
  <c r="C20" i="9"/>
  <c r="C15" i="9"/>
  <c r="C16" i="9"/>
  <c r="C17" i="9"/>
  <c r="C14" i="9"/>
  <c r="C13" i="9"/>
  <c r="C12" i="9"/>
  <c r="C9" i="9"/>
  <c r="C10" i="9"/>
  <c r="C11" i="9"/>
  <c r="C8" i="9"/>
  <c r="E127" i="9"/>
  <c r="E115" i="9"/>
  <c r="E47" i="9"/>
  <c r="D128" i="7" l="1"/>
  <c r="F120" i="7" l="1"/>
  <c r="F119" i="7"/>
  <c r="F118" i="7"/>
  <c r="F117" i="7"/>
  <c r="G112" i="7"/>
  <c r="G113" i="7"/>
  <c r="G114" i="7"/>
  <c r="G115" i="7"/>
  <c r="H115" i="7" s="1"/>
  <c r="G116" i="7"/>
  <c r="G111" i="7"/>
  <c r="F116" i="7"/>
  <c r="F115" i="7"/>
  <c r="F114" i="7"/>
  <c r="F113" i="7"/>
  <c r="F112" i="7"/>
  <c r="H112" i="7" s="1"/>
  <c r="F111" i="7"/>
  <c r="F110" i="7"/>
  <c r="F109" i="7"/>
  <c r="F108" i="7"/>
  <c r="F107" i="7"/>
  <c r="H116" i="7" l="1"/>
  <c r="H111" i="7"/>
  <c r="H113" i="7"/>
  <c r="G33" i="7"/>
  <c r="G50" i="7"/>
  <c r="G32" i="7"/>
  <c r="F33" i="7"/>
  <c r="O33" i="7" s="1"/>
  <c r="G49" i="7"/>
  <c r="G48" i="7"/>
  <c r="G47" i="7"/>
  <c r="G45" i="7"/>
  <c r="G44" i="7"/>
  <c r="F91" i="7"/>
  <c r="G89" i="7"/>
  <c r="F24" i="7"/>
  <c r="G16" i="7"/>
  <c r="G15" i="7"/>
  <c r="O15" i="7"/>
  <c r="G82" i="7"/>
  <c r="O30" i="7" l="1"/>
  <c r="H47" i="7"/>
  <c r="H16" i="7"/>
  <c r="H49" i="7"/>
  <c r="H44" i="7"/>
  <c r="H45" i="7"/>
  <c r="H48" i="7"/>
  <c r="H15" i="7"/>
  <c r="H33" i="7"/>
  <c r="H30" i="7"/>
  <c r="H82" i="7"/>
  <c r="G47" i="4" l="1"/>
  <c r="F31" i="7"/>
  <c r="F32" i="7"/>
  <c r="F17" i="7"/>
  <c r="F18" i="7"/>
  <c r="F19" i="7"/>
  <c r="F20" i="7"/>
  <c r="F21" i="7"/>
  <c r="F22" i="7"/>
  <c r="F23" i="7"/>
  <c r="F26" i="7"/>
  <c r="O31" i="7" l="1"/>
  <c r="F36" i="7"/>
  <c r="B54" i="4"/>
  <c r="B49" i="4"/>
  <c r="B52" i="4" s="1"/>
  <c r="C48" i="4"/>
  <c r="C47" i="4"/>
  <c r="G85" i="7" l="1"/>
  <c r="G84" i="7"/>
  <c r="F85" i="7"/>
  <c r="F84" i="7"/>
  <c r="G83" i="7"/>
  <c r="F83" i="7"/>
  <c r="H83" i="7" l="1"/>
  <c r="H84" i="7"/>
  <c r="H85" i="7"/>
  <c r="G103" i="7"/>
  <c r="G104" i="7"/>
  <c r="G105" i="7"/>
  <c r="G106" i="7"/>
  <c r="G102" i="7"/>
  <c r="G101" i="7"/>
  <c r="G98" i="7"/>
  <c r="G118" i="7" s="1"/>
  <c r="H118" i="7" s="1"/>
  <c r="G99" i="7"/>
  <c r="G119" i="7" s="1"/>
  <c r="H119" i="7" s="1"/>
  <c r="G100" i="7"/>
  <c r="G120" i="7" s="1"/>
  <c r="G97" i="7"/>
  <c r="G117" i="7" s="1"/>
  <c r="H117" i="7" s="1"/>
  <c r="G96" i="7"/>
  <c r="G95" i="7"/>
  <c r="G94" i="7"/>
  <c r="G91" i="7" s="1"/>
  <c r="H91" i="7" s="1"/>
  <c r="G93" i="7"/>
  <c r="G92" i="7"/>
  <c r="G25" i="7"/>
  <c r="G90" i="7"/>
  <c r="G87" i="7"/>
  <c r="G88" i="7"/>
  <c r="G86" i="7"/>
  <c r="G79" i="7"/>
  <c r="G78" i="7"/>
  <c r="G74" i="7"/>
  <c r="G75" i="7"/>
  <c r="G76" i="7"/>
  <c r="G77" i="7"/>
  <c r="G73" i="7"/>
  <c r="G72" i="7"/>
  <c r="G69" i="7"/>
  <c r="G108" i="7" s="1"/>
  <c r="H108" i="7" s="1"/>
  <c r="G70" i="7"/>
  <c r="G109" i="7" s="1"/>
  <c r="H109" i="7" s="1"/>
  <c r="G71" i="7"/>
  <c r="G110" i="7" s="1"/>
  <c r="H110" i="7" s="1"/>
  <c r="G68" i="7"/>
  <c r="G107" i="7" s="1"/>
  <c r="H107" i="7" s="1"/>
  <c r="G58" i="7"/>
  <c r="G34" i="7" s="1"/>
  <c r="H34" i="7" s="1"/>
  <c r="G59" i="7"/>
  <c r="G65" i="7" s="1"/>
  <c r="H65" i="7" s="1"/>
  <c r="G60" i="7"/>
  <c r="G66" i="7" s="1"/>
  <c r="H66" i="7" s="1"/>
  <c r="G61" i="7"/>
  <c r="G67" i="7" s="1"/>
  <c r="H67" i="7" s="1"/>
  <c r="G57" i="7"/>
  <c r="G64" i="7" s="1"/>
  <c r="H64" i="7" s="1"/>
  <c r="G56" i="7"/>
  <c r="G63" i="7" s="1"/>
  <c r="H63" i="7" s="1"/>
  <c r="G55" i="7"/>
  <c r="G62" i="7" s="1"/>
  <c r="H62" i="7" s="1"/>
  <c r="G54" i="7"/>
  <c r="G53" i="7"/>
  <c r="G52" i="7"/>
  <c r="G51" i="7"/>
  <c r="G46" i="7"/>
  <c r="G43" i="7"/>
  <c r="G42" i="7"/>
  <c r="G41" i="7"/>
  <c r="G40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0" i="7"/>
  <c r="F88" i="7"/>
  <c r="F87" i="7"/>
  <c r="H87" i="7" s="1"/>
  <c r="F86" i="7"/>
  <c r="F79" i="7"/>
  <c r="F41" i="7"/>
  <c r="F40" i="7"/>
  <c r="F29" i="7" l="1"/>
  <c r="H52" i="7"/>
  <c r="H56" i="7"/>
  <c r="H60" i="7"/>
  <c r="H70" i="7"/>
  <c r="H97" i="7"/>
  <c r="H105" i="7"/>
  <c r="H99" i="7"/>
  <c r="H25" i="7"/>
  <c r="H95" i="7"/>
  <c r="H75" i="7"/>
  <c r="H77" i="7"/>
  <c r="H93" i="7"/>
  <c r="H101" i="7"/>
  <c r="H104" i="7"/>
  <c r="H43" i="7"/>
  <c r="H74" i="7"/>
  <c r="H88" i="7"/>
  <c r="H98" i="7"/>
  <c r="H79" i="7"/>
  <c r="H94" i="7"/>
  <c r="H100" i="7"/>
  <c r="H102" i="7"/>
  <c r="H103" i="7"/>
  <c r="H78" i="7"/>
  <c r="H71" i="7"/>
  <c r="H96" i="7"/>
  <c r="H73" i="7"/>
  <c r="H92" i="7"/>
  <c r="H76" i="7"/>
  <c r="H106" i="7"/>
  <c r="H86" i="7"/>
  <c r="H90" i="7"/>
  <c r="H54" i="7"/>
  <c r="H58" i="7"/>
  <c r="H68" i="7"/>
  <c r="H72" i="7"/>
  <c r="H51" i="7"/>
  <c r="H55" i="7"/>
  <c r="H59" i="7"/>
  <c r="H69" i="7"/>
  <c r="H46" i="7"/>
  <c r="H53" i="7"/>
  <c r="H57" i="7"/>
  <c r="H61" i="7"/>
  <c r="H40" i="7"/>
  <c r="H41" i="7"/>
  <c r="G22" i="7" l="1"/>
  <c r="H22" i="7" l="1"/>
  <c r="G26" i="7" l="1"/>
  <c r="G18" i="7"/>
  <c r="G19" i="7"/>
  <c r="G20" i="7"/>
  <c r="G21" i="7"/>
  <c r="G23" i="7"/>
  <c r="G24" i="7" s="1"/>
  <c r="H24" i="7" s="1"/>
  <c r="G17" i="7"/>
  <c r="G9" i="7"/>
  <c r="G8" i="7"/>
  <c r="G7" i="7"/>
  <c r="G6" i="7"/>
  <c r="D29" i="7" l="1"/>
  <c r="H26" i="7"/>
  <c r="H89" i="7"/>
  <c r="H23" i="7"/>
  <c r="H17" i="7" l="1"/>
  <c r="H18" i="7"/>
  <c r="H21" i="7"/>
  <c r="H20" i="7"/>
  <c r="H19" i="7"/>
  <c r="O29" i="7" l="1"/>
  <c r="H29" i="7"/>
  <c r="G31" i="7"/>
  <c r="G5" i="7" l="1"/>
  <c r="G4" i="7"/>
  <c r="G3" i="7"/>
  <c r="D12" i="7" l="1"/>
  <c r="G2" i="7" l="1"/>
  <c r="B51" i="4" l="1"/>
  <c r="O2" i="7" l="1"/>
  <c r="O12" i="7" s="1"/>
  <c r="B3" i="4" l="1"/>
  <c r="B4" i="4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B9" i="4" l="1"/>
  <c r="B8" i="4"/>
  <c r="B7" i="4"/>
  <c r="E3" i="7" s="1"/>
  <c r="F3" i="7" s="1"/>
  <c r="E7" i="7" l="1"/>
  <c r="F7" i="7" s="1"/>
  <c r="H7" i="7" s="1"/>
  <c r="F42" i="7"/>
  <c r="H42" i="7" s="1"/>
  <c r="E9" i="7"/>
  <c r="F9" i="7" s="1"/>
  <c r="H9" i="7" s="1"/>
  <c r="E6" i="7"/>
  <c r="F6" i="7" s="1"/>
  <c r="H6" i="7" s="1"/>
  <c r="E4" i="7"/>
  <c r="F4" i="7" s="1"/>
  <c r="E8" i="7"/>
  <c r="F8" i="7" s="1"/>
  <c r="H8" i="7" s="1"/>
  <c r="E2" i="7"/>
  <c r="F2" i="7" s="1"/>
  <c r="E5" i="7"/>
  <c r="G50" i="4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H2" i="7" l="1"/>
  <c r="B53" i="4"/>
  <c r="B55" i="4" s="1"/>
  <c r="F5" i="7"/>
  <c r="H5" i="7" s="1"/>
  <c r="H3" i="7"/>
  <c r="H31" i="7"/>
  <c r="H32" i="7"/>
  <c r="O32" i="7"/>
  <c r="O36" i="7" s="1"/>
  <c r="H4" i="7"/>
  <c r="H50" i="7"/>
  <c r="H114" i="7"/>
  <c r="H36" i="7" l="1"/>
  <c r="F12" i="7"/>
  <c r="H12" i="7"/>
  <c r="T122" i="7"/>
  <c r="H120" i="7" l="1"/>
  <c r="D37" i="7" l="1"/>
  <c r="F37" i="7"/>
  <c r="D129" i="7" s="1"/>
  <c r="H37" i="7"/>
  <c r="D130" i="7" s="1"/>
  <c r="I58" i="7" l="1"/>
  <c r="J58" i="7" s="1"/>
  <c r="K58" i="7" s="1"/>
  <c r="L58" i="7" s="1"/>
  <c r="N58" i="7" s="1"/>
  <c r="I108" i="7"/>
  <c r="J108" i="7" s="1"/>
  <c r="K108" i="7" s="1"/>
  <c r="L108" i="7" s="1"/>
  <c r="N108" i="7" s="1"/>
  <c r="I113" i="7"/>
  <c r="J113" i="7" s="1"/>
  <c r="K113" i="7" s="1"/>
  <c r="L113" i="7" s="1"/>
  <c r="I116" i="7"/>
  <c r="J116" i="7" s="1"/>
  <c r="K116" i="7" s="1"/>
  <c r="L116" i="7" s="1"/>
  <c r="N116" i="7" s="1"/>
  <c r="I105" i="7"/>
  <c r="J105" i="7" s="1"/>
  <c r="K105" i="7" s="1"/>
  <c r="L105" i="7" s="1"/>
  <c r="I66" i="7"/>
  <c r="J66" i="7" s="1"/>
  <c r="K66" i="7" s="1"/>
  <c r="L66" i="7" s="1"/>
  <c r="N66" i="7" s="1"/>
  <c r="I100" i="7"/>
  <c r="J100" i="7" s="1"/>
  <c r="K100" i="7" s="1"/>
  <c r="L100" i="7" s="1"/>
  <c r="D126" i="9" s="1"/>
  <c r="E126" i="9" s="1"/>
  <c r="D43" i="9"/>
  <c r="E43" i="9" s="1"/>
  <c r="D63" i="9"/>
  <c r="E63" i="9" s="1"/>
  <c r="I74" i="7"/>
  <c r="J74" i="7" s="1"/>
  <c r="K74" i="7" s="1"/>
  <c r="L74" i="7" s="1"/>
  <c r="I20" i="7"/>
  <c r="J20" i="7" s="1"/>
  <c r="K20" i="7" s="1"/>
  <c r="I79" i="7"/>
  <c r="J79" i="7" s="1"/>
  <c r="K79" i="7" s="1"/>
  <c r="L79" i="7" s="1"/>
  <c r="I47" i="7"/>
  <c r="J47" i="7" s="1"/>
  <c r="K47" i="7" s="1"/>
  <c r="L47" i="7" s="1"/>
  <c r="J32" i="7"/>
  <c r="K32" i="7" s="1"/>
  <c r="L32" i="7" s="1"/>
  <c r="I9" i="7"/>
  <c r="J9" i="7" s="1"/>
  <c r="K9" i="7" s="1"/>
  <c r="L9" i="7" s="1"/>
  <c r="I16" i="7"/>
  <c r="J16" i="7" s="1"/>
  <c r="K16" i="7" s="1"/>
  <c r="I71" i="7"/>
  <c r="J71" i="7" s="1"/>
  <c r="K71" i="7" s="1"/>
  <c r="L71" i="7" s="1"/>
  <c r="I42" i="7"/>
  <c r="J42" i="7" s="1"/>
  <c r="K42" i="7" s="1"/>
  <c r="L42" i="7" s="1"/>
  <c r="I5" i="7"/>
  <c r="J5" i="7" s="1"/>
  <c r="K5" i="7" s="1"/>
  <c r="L5" i="7" s="1"/>
  <c r="I92" i="7"/>
  <c r="J92" i="7" s="1"/>
  <c r="K92" i="7" s="1"/>
  <c r="L92" i="7" s="1"/>
  <c r="I17" i="7"/>
  <c r="J17" i="7" s="1"/>
  <c r="K17" i="7" s="1"/>
  <c r="I21" i="7"/>
  <c r="J21" i="7" s="1"/>
  <c r="K21" i="7" s="1"/>
  <c r="I25" i="7"/>
  <c r="J25" i="7" s="1"/>
  <c r="K25" i="7" s="1"/>
  <c r="I49" i="7"/>
  <c r="J49" i="7" s="1"/>
  <c r="K49" i="7" s="1"/>
  <c r="L49" i="7" s="1"/>
  <c r="I57" i="7"/>
  <c r="J57" i="7" s="1"/>
  <c r="K57" i="7" s="1"/>
  <c r="L57" i="7" s="1"/>
  <c r="I65" i="7"/>
  <c r="J65" i="7" s="1"/>
  <c r="K65" i="7" s="1"/>
  <c r="L65" i="7" s="1"/>
  <c r="I73" i="7"/>
  <c r="J73" i="7" s="1"/>
  <c r="K73" i="7" s="1"/>
  <c r="L73" i="7" s="1"/>
  <c r="I83" i="7"/>
  <c r="J83" i="7" s="1"/>
  <c r="K83" i="7" s="1"/>
  <c r="L83" i="7" s="1"/>
  <c r="I91" i="7"/>
  <c r="J91" i="7" s="1"/>
  <c r="K91" i="7" s="1"/>
  <c r="L91" i="7" s="1"/>
  <c r="I99" i="7"/>
  <c r="J99" i="7" s="1"/>
  <c r="K99" i="7" s="1"/>
  <c r="L99" i="7" s="1"/>
  <c r="I107" i="7"/>
  <c r="J107" i="7" s="1"/>
  <c r="K107" i="7" s="1"/>
  <c r="L107" i="7" s="1"/>
  <c r="I115" i="7"/>
  <c r="J115" i="7" s="1"/>
  <c r="K115" i="7" s="1"/>
  <c r="L115" i="7" s="1"/>
  <c r="I3" i="7"/>
  <c r="J3" i="7" s="1"/>
  <c r="K3" i="7" s="1"/>
  <c r="L3" i="7" s="1"/>
  <c r="I7" i="7"/>
  <c r="J7" i="7" s="1"/>
  <c r="K7" i="7" s="1"/>
  <c r="L7" i="7" s="1"/>
  <c r="I30" i="7"/>
  <c r="J34" i="7"/>
  <c r="K34" i="7" s="1"/>
  <c r="I41" i="7"/>
  <c r="J41" i="7" s="1"/>
  <c r="K41" i="7" s="1"/>
  <c r="L41" i="7" s="1"/>
  <c r="I46" i="7"/>
  <c r="J46" i="7" s="1"/>
  <c r="K46" i="7" s="1"/>
  <c r="L46" i="7" s="1"/>
  <c r="I54" i="7"/>
  <c r="J54" i="7" s="1"/>
  <c r="K54" i="7" s="1"/>
  <c r="L54" i="7" s="1"/>
  <c r="I62" i="7"/>
  <c r="J62" i="7" s="1"/>
  <c r="K62" i="7" s="1"/>
  <c r="L62" i="7" s="1"/>
  <c r="I70" i="7"/>
  <c r="J70" i="7" s="1"/>
  <c r="K70" i="7" s="1"/>
  <c r="L70" i="7" s="1"/>
  <c r="I78" i="7"/>
  <c r="J78" i="7" s="1"/>
  <c r="K78" i="7" s="1"/>
  <c r="L78" i="7" s="1"/>
  <c r="I88" i="7"/>
  <c r="J88" i="7" s="1"/>
  <c r="K88" i="7" s="1"/>
  <c r="L88" i="7" s="1"/>
  <c r="I96" i="7"/>
  <c r="J96" i="7" s="1"/>
  <c r="K96" i="7" s="1"/>
  <c r="L96" i="7" s="1"/>
  <c r="I104" i="7"/>
  <c r="J104" i="7" s="1"/>
  <c r="K104" i="7" s="1"/>
  <c r="L104" i="7" s="1"/>
  <c r="I112" i="7"/>
  <c r="J112" i="7" s="1"/>
  <c r="K112" i="7" s="1"/>
  <c r="L112" i="7" s="1"/>
  <c r="I120" i="7"/>
  <c r="J120" i="7" s="1"/>
  <c r="K120" i="7" s="1"/>
  <c r="L120" i="7" s="1"/>
  <c r="I18" i="7"/>
  <c r="J18" i="7" s="1"/>
  <c r="K18" i="7" s="1"/>
  <c r="I22" i="7"/>
  <c r="J22" i="7" s="1"/>
  <c r="K22" i="7" s="1"/>
  <c r="I26" i="7"/>
  <c r="J26" i="7" s="1"/>
  <c r="K26" i="7" s="1"/>
  <c r="I43" i="7"/>
  <c r="J43" i="7" s="1"/>
  <c r="K43" i="7" s="1"/>
  <c r="L43" i="7" s="1"/>
  <c r="I51" i="7"/>
  <c r="J51" i="7" s="1"/>
  <c r="K51" i="7" s="1"/>
  <c r="L51" i="7" s="1"/>
  <c r="I59" i="7"/>
  <c r="J59" i="7" s="1"/>
  <c r="K59" i="7" s="1"/>
  <c r="L59" i="7" s="1"/>
  <c r="I67" i="7"/>
  <c r="J67" i="7" s="1"/>
  <c r="K67" i="7" s="1"/>
  <c r="L67" i="7" s="1"/>
  <c r="I75" i="7"/>
  <c r="J75" i="7" s="1"/>
  <c r="K75" i="7" s="1"/>
  <c r="L75" i="7" s="1"/>
  <c r="I85" i="7"/>
  <c r="J85" i="7" s="1"/>
  <c r="K85" i="7" s="1"/>
  <c r="L85" i="7" s="1"/>
  <c r="I93" i="7"/>
  <c r="J93" i="7" s="1"/>
  <c r="K93" i="7" s="1"/>
  <c r="L93" i="7" s="1"/>
  <c r="I101" i="7"/>
  <c r="J101" i="7" s="1"/>
  <c r="K101" i="7" s="1"/>
  <c r="L101" i="7" s="1"/>
  <c r="I109" i="7"/>
  <c r="J109" i="7" s="1"/>
  <c r="K109" i="7" s="1"/>
  <c r="L109" i="7" s="1"/>
  <c r="I117" i="7"/>
  <c r="J117" i="7" s="1"/>
  <c r="K117" i="7" s="1"/>
  <c r="L117" i="7" s="1"/>
  <c r="I4" i="7"/>
  <c r="J4" i="7" s="1"/>
  <c r="K4" i="7" s="1"/>
  <c r="L4" i="7" s="1"/>
  <c r="I8" i="7"/>
  <c r="J8" i="7" s="1"/>
  <c r="K8" i="7" s="1"/>
  <c r="L8" i="7" s="1"/>
  <c r="I31" i="7"/>
  <c r="J31" i="7" s="1"/>
  <c r="K31" i="7" s="1"/>
  <c r="L31" i="7" s="1"/>
  <c r="I48" i="7"/>
  <c r="J48" i="7" s="1"/>
  <c r="K48" i="7" s="1"/>
  <c r="L48" i="7" s="1"/>
  <c r="I56" i="7"/>
  <c r="J56" i="7" s="1"/>
  <c r="K56" i="7" s="1"/>
  <c r="L56" i="7" s="1"/>
  <c r="I64" i="7"/>
  <c r="J64" i="7" s="1"/>
  <c r="K64" i="7" s="1"/>
  <c r="L64" i="7" s="1"/>
  <c r="I72" i="7"/>
  <c r="J72" i="7" s="1"/>
  <c r="K72" i="7" s="1"/>
  <c r="L72" i="7" s="1"/>
  <c r="I82" i="7"/>
  <c r="J82" i="7" s="1"/>
  <c r="K82" i="7" s="1"/>
  <c r="L82" i="7" s="1"/>
  <c r="I90" i="7"/>
  <c r="J90" i="7" s="1"/>
  <c r="K90" i="7" s="1"/>
  <c r="L90" i="7" s="1"/>
  <c r="I98" i="7"/>
  <c r="J98" i="7" s="1"/>
  <c r="K98" i="7" s="1"/>
  <c r="L98" i="7" s="1"/>
  <c r="I106" i="7"/>
  <c r="J106" i="7" s="1"/>
  <c r="K106" i="7" s="1"/>
  <c r="L106" i="7" s="1"/>
  <c r="I114" i="7"/>
  <c r="J114" i="7" s="1"/>
  <c r="K114" i="7" s="1"/>
  <c r="L114" i="7" s="1"/>
  <c r="I15" i="7"/>
  <c r="I19" i="7"/>
  <c r="J19" i="7" s="1"/>
  <c r="K19" i="7" s="1"/>
  <c r="I23" i="7"/>
  <c r="J23" i="7" s="1"/>
  <c r="K23" i="7" s="1"/>
  <c r="I40" i="7"/>
  <c r="J40" i="7" s="1"/>
  <c r="K40" i="7" s="1"/>
  <c r="L40" i="7" s="1"/>
  <c r="I45" i="7"/>
  <c r="J45" i="7" s="1"/>
  <c r="K45" i="7" s="1"/>
  <c r="L45" i="7" s="1"/>
  <c r="I53" i="7"/>
  <c r="J53" i="7" s="1"/>
  <c r="K53" i="7" s="1"/>
  <c r="L53" i="7" s="1"/>
  <c r="I61" i="7"/>
  <c r="J61" i="7" s="1"/>
  <c r="K61" i="7" s="1"/>
  <c r="L61" i="7" s="1"/>
  <c r="I69" i="7"/>
  <c r="J69" i="7" s="1"/>
  <c r="K69" i="7" s="1"/>
  <c r="L69" i="7" s="1"/>
  <c r="I77" i="7"/>
  <c r="J77" i="7" s="1"/>
  <c r="K77" i="7" s="1"/>
  <c r="L77" i="7" s="1"/>
  <c r="I87" i="7"/>
  <c r="J87" i="7" s="1"/>
  <c r="K87" i="7" s="1"/>
  <c r="L87" i="7" s="1"/>
  <c r="I95" i="7"/>
  <c r="J95" i="7" s="1"/>
  <c r="K95" i="7" s="1"/>
  <c r="L95" i="7" s="1"/>
  <c r="I103" i="7"/>
  <c r="J103" i="7" s="1"/>
  <c r="K103" i="7" s="1"/>
  <c r="L103" i="7" s="1"/>
  <c r="I111" i="7"/>
  <c r="J111" i="7" s="1"/>
  <c r="K111" i="7" s="1"/>
  <c r="L111" i="7" s="1"/>
  <c r="I119" i="7"/>
  <c r="J119" i="7" s="1"/>
  <c r="K119" i="7" s="1"/>
  <c r="L119" i="7" s="1"/>
  <c r="I2" i="7"/>
  <c r="I6" i="7"/>
  <c r="J6" i="7" s="1"/>
  <c r="K6" i="7" s="1"/>
  <c r="L6" i="7" s="1"/>
  <c r="J33" i="7"/>
  <c r="K33" i="7" s="1"/>
  <c r="L33" i="7" s="1"/>
  <c r="I44" i="7"/>
  <c r="J44" i="7" s="1"/>
  <c r="K44" i="7" s="1"/>
  <c r="L44" i="7" s="1"/>
  <c r="I52" i="7"/>
  <c r="J52" i="7" s="1"/>
  <c r="K52" i="7" s="1"/>
  <c r="L52" i="7" s="1"/>
  <c r="I60" i="7"/>
  <c r="J60" i="7" s="1"/>
  <c r="K60" i="7" s="1"/>
  <c r="L60" i="7" s="1"/>
  <c r="I68" i="7"/>
  <c r="J68" i="7" s="1"/>
  <c r="K68" i="7" s="1"/>
  <c r="L68" i="7" s="1"/>
  <c r="I76" i="7"/>
  <c r="J76" i="7" s="1"/>
  <c r="K76" i="7" s="1"/>
  <c r="L76" i="7" s="1"/>
  <c r="I86" i="7"/>
  <c r="J86" i="7" s="1"/>
  <c r="K86" i="7" s="1"/>
  <c r="L86" i="7" s="1"/>
  <c r="I94" i="7"/>
  <c r="J94" i="7" s="1"/>
  <c r="K94" i="7" s="1"/>
  <c r="L94" i="7" s="1"/>
  <c r="I102" i="7"/>
  <c r="J102" i="7" s="1"/>
  <c r="K102" i="7" s="1"/>
  <c r="L102" i="7" s="1"/>
  <c r="I110" i="7"/>
  <c r="J110" i="7" s="1"/>
  <c r="K110" i="7" s="1"/>
  <c r="L110" i="7" s="1"/>
  <c r="I118" i="7"/>
  <c r="J118" i="7" s="1"/>
  <c r="K118" i="7" s="1"/>
  <c r="L118" i="7" s="1"/>
  <c r="I97" i="7"/>
  <c r="J97" i="7" s="1"/>
  <c r="K97" i="7" s="1"/>
  <c r="L97" i="7" s="1"/>
  <c r="I63" i="7"/>
  <c r="J63" i="7" s="1"/>
  <c r="K63" i="7" s="1"/>
  <c r="L63" i="7" s="1"/>
  <c r="I84" i="7"/>
  <c r="J84" i="7" s="1"/>
  <c r="K84" i="7" s="1"/>
  <c r="L84" i="7" s="1"/>
  <c r="I50" i="7"/>
  <c r="J50" i="7" s="1"/>
  <c r="K50" i="7" s="1"/>
  <c r="L50" i="7" s="1"/>
  <c r="I24" i="7"/>
  <c r="J24" i="7" s="1"/>
  <c r="K24" i="7" s="1"/>
  <c r="I89" i="7"/>
  <c r="J89" i="7" s="1"/>
  <c r="K89" i="7" s="1"/>
  <c r="L89" i="7" s="1"/>
  <c r="I55" i="7"/>
  <c r="J55" i="7" s="1"/>
  <c r="K55" i="7" s="1"/>
  <c r="L55" i="7" s="1"/>
  <c r="D100" i="9" l="1"/>
  <c r="E100" i="9" s="1"/>
  <c r="N100" i="7"/>
  <c r="I36" i="7"/>
  <c r="N105" i="7"/>
  <c r="D145" i="9"/>
  <c r="E145" i="9" s="1"/>
  <c r="D138" i="9"/>
  <c r="E138" i="9" s="1"/>
  <c r="D53" i="9"/>
  <c r="E53" i="9" s="1"/>
  <c r="N113" i="7"/>
  <c r="D97" i="9"/>
  <c r="E97" i="9" s="1"/>
  <c r="N97" i="7"/>
  <c r="D123" i="9"/>
  <c r="E123" i="9" s="1"/>
  <c r="N60" i="7"/>
  <c r="D45" i="9"/>
  <c r="E45" i="9" s="1"/>
  <c r="N103" i="7"/>
  <c r="D143" i="9"/>
  <c r="E143" i="9" s="1"/>
  <c r="D136" i="9"/>
  <c r="E136" i="9" s="1"/>
  <c r="N40" i="7"/>
  <c r="D12" i="9"/>
  <c r="E12" i="9" s="1"/>
  <c r="N82" i="7"/>
  <c r="D81" i="9"/>
  <c r="E81" i="9" s="1"/>
  <c r="N4" i="7"/>
  <c r="D10" i="9"/>
  <c r="E10" i="9" s="1"/>
  <c r="D44" i="9"/>
  <c r="E44" i="9" s="1"/>
  <c r="N59" i="7"/>
  <c r="N104" i="7"/>
  <c r="D144" i="9"/>
  <c r="E144" i="9" s="1"/>
  <c r="D137" i="9"/>
  <c r="E137" i="9" s="1"/>
  <c r="N41" i="7"/>
  <c r="D13" i="9"/>
  <c r="E13" i="9" s="1"/>
  <c r="N91" i="7"/>
  <c r="D112" i="9"/>
  <c r="E112" i="9" s="1"/>
  <c r="N21" i="7"/>
  <c r="D88" i="9"/>
  <c r="E88" i="9" s="1"/>
  <c r="N32" i="7"/>
  <c r="D32" i="9"/>
  <c r="E32" i="9" s="1"/>
  <c r="N118" i="7"/>
  <c r="D129" i="9"/>
  <c r="E129" i="9" s="1"/>
  <c r="N52" i="7"/>
  <c r="D37" i="9"/>
  <c r="E37" i="9" s="1"/>
  <c r="N95" i="7"/>
  <c r="D117" i="9"/>
  <c r="E117" i="9" s="1"/>
  <c r="N23" i="7"/>
  <c r="D90" i="9"/>
  <c r="E90" i="9" s="1"/>
  <c r="N72" i="7"/>
  <c r="D68" i="9"/>
  <c r="E68" i="9" s="1"/>
  <c r="D128" i="9"/>
  <c r="E128" i="9" s="1"/>
  <c r="N117" i="7"/>
  <c r="D36" i="9"/>
  <c r="E36" i="9" s="1"/>
  <c r="N51" i="7"/>
  <c r="N96" i="7"/>
  <c r="D118" i="9"/>
  <c r="E118" i="9" s="1"/>
  <c r="N34" i="7"/>
  <c r="D51" i="9"/>
  <c r="E51" i="9" s="1"/>
  <c r="N83" i="7"/>
  <c r="D92" i="9"/>
  <c r="E92" i="9" s="1"/>
  <c r="N17" i="7"/>
  <c r="D84" i="9"/>
  <c r="E84" i="9" s="1"/>
  <c r="N47" i="7"/>
  <c r="D29" i="9"/>
  <c r="E29" i="9" s="1"/>
  <c r="N44" i="7"/>
  <c r="D24" i="9"/>
  <c r="E24" i="9" s="1"/>
  <c r="N87" i="7"/>
  <c r="D104" i="9"/>
  <c r="E104" i="9" s="1"/>
  <c r="N19" i="7"/>
  <c r="D86" i="9"/>
  <c r="E86" i="9" s="1"/>
  <c r="N64" i="7"/>
  <c r="D50" i="9"/>
  <c r="E50" i="9" s="1"/>
  <c r="N109" i="7"/>
  <c r="D64" i="9"/>
  <c r="E64" i="9" s="1"/>
  <c r="N43" i="7"/>
  <c r="D23" i="9"/>
  <c r="E23" i="9" s="1"/>
  <c r="D105" i="9"/>
  <c r="E105" i="9" s="1"/>
  <c r="N88" i="7"/>
  <c r="J30" i="7"/>
  <c r="K30" i="7" s="1"/>
  <c r="N73" i="7"/>
  <c r="D69" i="9"/>
  <c r="E69" i="9" s="1"/>
  <c r="N92" i="7"/>
  <c r="D113" i="9"/>
  <c r="E113" i="9" s="1"/>
  <c r="N79" i="7"/>
  <c r="D77" i="9"/>
  <c r="E77" i="9" s="1"/>
  <c r="N102" i="7"/>
  <c r="D135" i="9"/>
  <c r="E135" i="9" s="1"/>
  <c r="D142" i="9"/>
  <c r="E142" i="9" s="1"/>
  <c r="N33" i="7"/>
  <c r="D33" i="9"/>
  <c r="E33" i="9" s="1"/>
  <c r="N77" i="7"/>
  <c r="D73" i="9"/>
  <c r="E73" i="9" s="1"/>
  <c r="I29" i="7"/>
  <c r="J15" i="7"/>
  <c r="K15" i="7" s="1"/>
  <c r="N56" i="7"/>
  <c r="D41" i="9"/>
  <c r="E41" i="9" s="1"/>
  <c r="N101" i="7"/>
  <c r="D134" i="9"/>
  <c r="E134" i="9" s="1"/>
  <c r="D141" i="9"/>
  <c r="E141" i="9" s="1"/>
  <c r="D109" i="9"/>
  <c r="E109" i="9" s="1"/>
  <c r="N26" i="7"/>
  <c r="D76" i="9"/>
  <c r="E76" i="9" s="1"/>
  <c r="N78" i="7"/>
  <c r="D15" i="9"/>
  <c r="E15" i="9" s="1"/>
  <c r="N7" i="7"/>
  <c r="N65" i="7"/>
  <c r="D52" i="9"/>
  <c r="E52" i="9" s="1"/>
  <c r="N5" i="7"/>
  <c r="D11" i="9"/>
  <c r="E11" i="9" s="1"/>
  <c r="N20" i="7"/>
  <c r="D87" i="9"/>
  <c r="E87" i="9" s="1"/>
  <c r="N94" i="7"/>
  <c r="D116" i="9"/>
  <c r="E116" i="9" s="1"/>
  <c r="N69" i="7"/>
  <c r="D58" i="9"/>
  <c r="E58" i="9" s="1"/>
  <c r="N114" i="7"/>
  <c r="D98" i="9"/>
  <c r="E98" i="9" s="1"/>
  <c r="N48" i="7"/>
  <c r="D30" i="9"/>
  <c r="E30" i="9" s="1"/>
  <c r="D114" i="9"/>
  <c r="E114" i="9" s="1"/>
  <c r="N93" i="7"/>
  <c r="N22" i="7"/>
  <c r="D89" i="9"/>
  <c r="E89" i="9" s="1"/>
  <c r="N70" i="7"/>
  <c r="D59" i="9"/>
  <c r="E59" i="9" s="1"/>
  <c r="N3" i="7"/>
  <c r="D9" i="9"/>
  <c r="E9" i="9" s="1"/>
  <c r="N57" i="7"/>
  <c r="D42" i="9"/>
  <c r="E42" i="9" s="1"/>
  <c r="N42" i="7"/>
  <c r="D20" i="9"/>
  <c r="E20" i="9" s="1"/>
  <c r="N89" i="7"/>
  <c r="D106" i="9"/>
  <c r="E106" i="9" s="1"/>
  <c r="N6" i="7"/>
  <c r="D14" i="9"/>
  <c r="E14" i="9" s="1"/>
  <c r="N50" i="7"/>
  <c r="D34" i="9"/>
  <c r="E34" i="9" s="1"/>
  <c r="N86" i="7"/>
  <c r="D103" i="9"/>
  <c r="E103" i="9" s="1"/>
  <c r="J2" i="7"/>
  <c r="K2" i="7" s="1"/>
  <c r="L2" i="7" s="1"/>
  <c r="I12" i="7"/>
  <c r="N61" i="7"/>
  <c r="D46" i="9"/>
  <c r="E46" i="9" s="1"/>
  <c r="N106" i="7"/>
  <c r="D139" i="9"/>
  <c r="E139" i="9" s="1"/>
  <c r="D146" i="9"/>
  <c r="E146" i="9" s="1"/>
  <c r="N85" i="7"/>
  <c r="D94" i="9"/>
  <c r="E94" i="9" s="1"/>
  <c r="N18" i="7"/>
  <c r="D85" i="9"/>
  <c r="E85" i="9" s="1"/>
  <c r="N62" i="7"/>
  <c r="D48" i="9"/>
  <c r="E48" i="9" s="1"/>
  <c r="N115" i="7"/>
  <c r="D99" i="9"/>
  <c r="E99" i="9" s="1"/>
  <c r="N49" i="7"/>
  <c r="D31" i="9"/>
  <c r="E31" i="9" s="1"/>
  <c r="N71" i="7"/>
  <c r="D60" i="9"/>
  <c r="E60" i="9" s="1"/>
  <c r="N74" i="7"/>
  <c r="D70" i="9"/>
  <c r="E70" i="9" s="1"/>
  <c r="N55" i="7"/>
  <c r="D40" i="9"/>
  <c r="E40" i="9" s="1"/>
  <c r="N84" i="7"/>
  <c r="D93" i="9"/>
  <c r="E93" i="9" s="1"/>
  <c r="N119" i="7"/>
  <c r="D130" i="9"/>
  <c r="E130" i="9" s="1"/>
  <c r="N53" i="7"/>
  <c r="D38" i="9"/>
  <c r="E38" i="9" s="1"/>
  <c r="N98" i="7"/>
  <c r="D124" i="9"/>
  <c r="E124" i="9" s="1"/>
  <c r="N31" i="7"/>
  <c r="D27" i="9"/>
  <c r="E27" i="9" s="1"/>
  <c r="N75" i="7"/>
  <c r="D71" i="9"/>
  <c r="E71" i="9" s="1"/>
  <c r="N120" i="7"/>
  <c r="D131" i="9"/>
  <c r="E131" i="9" s="1"/>
  <c r="D39" i="9"/>
  <c r="E39" i="9" s="1"/>
  <c r="N54" i="7"/>
  <c r="N107" i="7"/>
  <c r="D62" i="9"/>
  <c r="E62" i="9" s="1"/>
  <c r="N16" i="7"/>
  <c r="D83" i="9"/>
  <c r="E83" i="9" s="1"/>
  <c r="N110" i="7"/>
  <c r="D65" i="9"/>
  <c r="E65" i="9" s="1"/>
  <c r="N24" i="7"/>
  <c r="D101" i="9"/>
  <c r="E101" i="9" s="1"/>
  <c r="N76" i="7"/>
  <c r="D72" i="9"/>
  <c r="E72" i="9" s="1"/>
  <c r="N63" i="7"/>
  <c r="D49" i="9"/>
  <c r="E49" i="9" s="1"/>
  <c r="N68" i="7"/>
  <c r="D57" i="9"/>
  <c r="E57" i="9" s="1"/>
  <c r="N111" i="7"/>
  <c r="D95" i="9"/>
  <c r="E95" i="9" s="1"/>
  <c r="N45" i="7"/>
  <c r="D25" i="9"/>
  <c r="E25" i="9" s="1"/>
  <c r="N90" i="7"/>
  <c r="D107" i="9"/>
  <c r="E107" i="9" s="1"/>
  <c r="N8" i="7"/>
  <c r="D16" i="9"/>
  <c r="E16" i="9" s="1"/>
  <c r="N67" i="7"/>
  <c r="D54" i="9"/>
  <c r="E54" i="9" s="1"/>
  <c r="D96" i="9"/>
  <c r="E96" i="9" s="1"/>
  <c r="N112" i="7"/>
  <c r="N46" i="7"/>
  <c r="D28" i="9"/>
  <c r="E28" i="9" s="1"/>
  <c r="N99" i="7"/>
  <c r="D125" i="9"/>
  <c r="E125" i="9" s="1"/>
  <c r="N25" i="7"/>
  <c r="D108" i="9"/>
  <c r="E108" i="9" s="1"/>
  <c r="N9" i="7"/>
  <c r="D17" i="9"/>
  <c r="E17" i="9" s="1"/>
  <c r="P5" i="7" l="1"/>
  <c r="Q5" i="7" s="1"/>
  <c r="R5" i="7"/>
  <c r="S5" i="7" s="1"/>
  <c r="T5" i="7" s="1"/>
  <c r="Q19" i="7"/>
  <c r="R19" i="7"/>
  <c r="S19" i="7" s="1"/>
  <c r="T19" i="7" s="1"/>
  <c r="R17" i="7"/>
  <c r="S17" i="7" s="1"/>
  <c r="T17" i="7" s="1"/>
  <c r="Q17" i="7"/>
  <c r="R21" i="7"/>
  <c r="S21" i="7" s="1"/>
  <c r="T21" i="7" s="1"/>
  <c r="Q21" i="7"/>
  <c r="R25" i="7"/>
  <c r="S25" i="7" s="1"/>
  <c r="T25" i="7" s="1"/>
  <c r="Q25" i="7"/>
  <c r="Q24" i="7"/>
  <c r="R24" i="7"/>
  <c r="S24" i="7" s="1"/>
  <c r="T24" i="7" s="1"/>
  <c r="R26" i="7"/>
  <c r="S26" i="7" s="1"/>
  <c r="T26" i="7" s="1"/>
  <c r="Q26" i="7"/>
  <c r="R22" i="7"/>
  <c r="S22" i="7" s="1"/>
  <c r="T22" i="7" s="1"/>
  <c r="Q22" i="7"/>
  <c r="P9" i="7"/>
  <c r="Q9" i="7" s="1"/>
  <c r="R9" i="7"/>
  <c r="S9" i="7" s="1"/>
  <c r="T9" i="7" s="1"/>
  <c r="R7" i="7"/>
  <c r="S7" i="7" s="1"/>
  <c r="T7" i="7" s="1"/>
  <c r="P7" i="7"/>
  <c r="Q7" i="7" s="1"/>
  <c r="P33" i="7"/>
  <c r="Q33" i="7" s="1"/>
  <c r="R33" i="7"/>
  <c r="S33" i="7" s="1"/>
  <c r="T33" i="7" s="1"/>
  <c r="P4" i="7"/>
  <c r="Q4" i="7" s="1"/>
  <c r="R4" i="7"/>
  <c r="S4" i="7" s="1"/>
  <c r="T4" i="7" s="1"/>
  <c r="P31" i="7"/>
  <c r="Q31" i="7" s="1"/>
  <c r="R31" i="7"/>
  <c r="S31" i="7" s="1"/>
  <c r="T31" i="7" s="1"/>
  <c r="P8" i="7"/>
  <c r="Q8" i="7" s="1"/>
  <c r="R8" i="7"/>
  <c r="S8" i="7" s="1"/>
  <c r="T8" i="7" s="1"/>
  <c r="P6" i="7"/>
  <c r="Q6" i="7" s="1"/>
  <c r="R6" i="7"/>
  <c r="S6" i="7" s="1"/>
  <c r="T6" i="7" s="1"/>
  <c r="Q16" i="7"/>
  <c r="R16" i="7"/>
  <c r="S16" i="7" s="1"/>
  <c r="T16" i="7" s="1"/>
  <c r="R18" i="7"/>
  <c r="S18" i="7" s="1"/>
  <c r="T18" i="7" s="1"/>
  <c r="Q18" i="7"/>
  <c r="N2" i="7"/>
  <c r="D8" i="9"/>
  <c r="E8" i="9" s="1"/>
  <c r="R3" i="7"/>
  <c r="S3" i="7" s="1"/>
  <c r="T3" i="7" s="1"/>
  <c r="P3" i="7"/>
  <c r="Q3" i="7" s="1"/>
  <c r="Q20" i="7"/>
  <c r="R20" i="7"/>
  <c r="S20" i="7" s="1"/>
  <c r="T20" i="7" s="1"/>
  <c r="N15" i="7"/>
  <c r="D82" i="9"/>
  <c r="E82" i="9" s="1"/>
  <c r="D26" i="9"/>
  <c r="E26" i="9" s="1"/>
  <c r="N30" i="7"/>
  <c r="Q23" i="7"/>
  <c r="R23" i="7"/>
  <c r="S23" i="7" s="1"/>
  <c r="T23" i="7" s="1"/>
  <c r="P32" i="7"/>
  <c r="Q32" i="7" s="1"/>
  <c r="R32" i="7"/>
  <c r="S32" i="7" s="1"/>
  <c r="T32" i="7" s="1"/>
  <c r="Q12" i="7" l="1"/>
  <c r="P2" i="7"/>
  <c r="R2" i="7"/>
  <c r="S2" i="7" s="1"/>
  <c r="R30" i="7"/>
  <c r="S30" i="7" s="1"/>
  <c r="S36" i="7" s="1"/>
  <c r="P30" i="7"/>
  <c r="P36" i="7" s="1"/>
  <c r="P15" i="7"/>
  <c r="R15" i="7"/>
  <c r="S15" i="7" s="1"/>
  <c r="Q30" i="7" l="1"/>
  <c r="Q36" i="7" s="1"/>
  <c r="S29" i="7"/>
  <c r="T15" i="7"/>
  <c r="T29" i="7" s="1"/>
  <c r="Q15" i="7"/>
  <c r="Q29" i="7" s="1"/>
  <c r="P29" i="7"/>
  <c r="P37" i="7" s="1"/>
  <c r="T30" i="7"/>
  <c r="T36" i="7" s="1"/>
  <c r="T2" i="7"/>
  <c r="T12" i="7" s="1"/>
  <c r="S12" i="7"/>
  <c r="S37" i="7" s="1"/>
  <c r="P12" i="7"/>
  <c r="Q2" i="7"/>
  <c r="I37" i="7"/>
  <c r="O37" i="7"/>
  <c r="T37" i="7" l="1"/>
  <c r="T38" i="7" s="1"/>
  <c r="Q37" i="7"/>
  <c r="B60" i="4" s="1"/>
  <c r="B61" i="4" s="1"/>
  <c r="T1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Cramer, Diane</author>
    <author>tc={64330BA1-876F-45C6-9F15-F6F22B4B18A6}</author>
    <author>Vander Zalm, Connor</author>
  </authors>
  <commentList>
    <comment ref="F18" authorId="0" shapeId="0" xr:uid="{3BA024F9-8520-4649-9406-9789FED466A1}">
      <text>
        <r>
          <rPr>
            <b/>
            <sz val="9"/>
            <color indexed="81"/>
            <rFont val="Tahoma"/>
            <family val="2"/>
          </rPr>
          <t>Cramer, Diane:</t>
        </r>
        <r>
          <rPr>
            <sz val="9"/>
            <color indexed="81"/>
            <rFont val="Tahoma"/>
            <family val="2"/>
          </rPr>
          <t xml:space="preserve">
Tons coming from Industrial Load spreadsheet</t>
        </r>
      </text>
    </comment>
    <comment ref="G69" authorId="1" shapeId="0" xr:uid="{64330BA1-876F-45C6-9F15-F6F22B4B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0 for DIV0 Error</t>
      </text>
    </comment>
    <comment ref="A144" authorId="2" shapeId="0" xr:uid="{DBF40357-7CAB-401A-9470-52C1B21EB886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B144" authorId="2" shapeId="0" xr:uid="{07E6A1F4-E028-4D7C-8A08-2C9FED5EE52F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C144" authorId="2" shapeId="0" xr:uid="{073FE2E1-8615-48B8-85FA-553C40599D59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</commentList>
</comments>
</file>

<file path=xl/sharedStrings.xml><?xml version="1.0" encoding="utf-8"?>
<sst xmlns="http://schemas.openxmlformats.org/spreadsheetml/2006/main" count="685" uniqueCount="320">
  <si>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</si>
  <si>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</si>
  <si>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</si>
  <si>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</si>
  <si>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</si>
  <si>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</si>
  <si>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</si>
  <si>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</si>
  <si>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</si>
  <si>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</si>
  <si>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</si>
  <si>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</si>
  <si>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</si>
  <si>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</si>
  <si>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</si>
  <si>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</si>
  <si>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</si>
  <si>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</si>
  <si>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</si>
  <si>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</si>
  <si>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</si>
  <si>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</si>
  <si>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</si>
  <si>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</si>
  <si>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</si>
  <si>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</si>
  <si>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</si>
  <si>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</si>
  <si>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</si>
  <si>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</si>
  <si>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</si>
  <si>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</si>
  <si>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</si>
  <si>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</si>
  <si>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</si>
  <si>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</si>
  <si>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</si>
  <si>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</si>
  <si>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</si>
  <si>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</si>
  <si>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</si>
  <si>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</si>
  <si>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</si>
  <si>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</si>
  <si>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</si>
  <si>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</si>
  <si>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</si>
  <si>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</si>
  <si>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</si>
  <si>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</si>
  <si>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</si>
  <si>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</si>
  <si>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</si>
  <si>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</si>
  <si>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</si>
  <si>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</si>
  <si>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</si>
  <si>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</si>
  <si>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</si>
  <si>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</si>
  <si>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</si>
  <si>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</si>
  <si>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</si>
  <si>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</si>
  <si>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</si>
  <si>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</si>
  <si>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</si>
  <si>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</si>
  <si>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</si>
  <si>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</si>
  <si>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</si>
  <si>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</si>
  <si>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</si>
  <si>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</si>
  <si>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</si>
  <si>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</si>
  <si>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</si>
  <si>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</si>
  <si>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</si>
  <si>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</si>
  <si>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</si>
  <si>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</si>
  <si>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</si>
  <si>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</si>
  <si>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</si>
  <si>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</si>
  <si>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</si>
  <si>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</si>
  <si>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</si>
  <si>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</si>
  <si>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</si>
  <si>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</si>
  <si>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</si>
  <si>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</si>
  <si>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</si>
  <si>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</si>
  <si>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</si>
  <si>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</si>
  <si>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Multi-Family</t>
  </si>
  <si>
    <t>King County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</si>
  <si>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</si>
  <si>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</si>
  <si>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</si>
  <si>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</si>
  <si>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</si>
  <si>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</si>
  <si>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</si>
  <si>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</si>
  <si>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</si>
  <si>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64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</si>
  <si>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</si>
  <si>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</si>
  <si>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</si>
  <si>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</si>
  <si>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</si>
  <si>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</si>
  <si>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</si>
  <si>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</si>
  <si>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3 Yard Pickup Temp</t>
  </si>
  <si>
    <t>8 Yard Pickup Temp</t>
  </si>
  <si>
    <t>5 Can</t>
  </si>
  <si>
    <t>32 Can or Bag, Extra</t>
  </si>
  <si>
    <t>20 Gallon</t>
  </si>
  <si>
    <t>20 Gallon Special</t>
  </si>
  <si>
    <t>32 Gallon Special</t>
  </si>
  <si>
    <t>64 Gallon Special</t>
  </si>
  <si>
    <t>96 Gallon Special</t>
  </si>
  <si>
    <t>1 Yard</t>
  </si>
  <si>
    <t>1 Yard Special</t>
  </si>
  <si>
    <t>1.5 Yard Special</t>
  </si>
  <si>
    <t>2 Yard Special</t>
  </si>
  <si>
    <t>3 Yard Special</t>
  </si>
  <si>
    <t>4 Yard Special</t>
  </si>
  <si>
    <t>6 Yard</t>
  </si>
  <si>
    <t>8 Yard Special</t>
  </si>
  <si>
    <t>3 Yard</t>
  </si>
  <si>
    <t>4 Yard</t>
  </si>
  <si>
    <t>5 Yard</t>
  </si>
  <si>
    <t>2 Yard</t>
  </si>
  <si>
    <t xml:space="preserve">Item 150, pg 38 </t>
  </si>
  <si>
    <t>Bulky</t>
  </si>
  <si>
    <t>Loose Material</t>
  </si>
  <si>
    <t>1 Yard Pickup Temp</t>
  </si>
  <si>
    <t>1.5 Yard Pickup Temp</t>
  </si>
  <si>
    <t>2 Yard Pickup Temp</t>
  </si>
  <si>
    <t>4 Yard Pickup Temp</t>
  </si>
  <si>
    <t>6 Yard Pickup Temp</t>
  </si>
  <si>
    <t>No Customers</t>
  </si>
  <si>
    <t>32 Gal Special</t>
  </si>
  <si>
    <t>64 Gal Special</t>
  </si>
  <si>
    <t>96 Gal Special</t>
  </si>
  <si>
    <t xml:space="preserve">Item 100, pg 21 Appendix A </t>
  </si>
  <si>
    <t>Item 100, pg 22</t>
  </si>
  <si>
    <t>Item 105, pg 31</t>
  </si>
  <si>
    <t>Item 106, pg 34 Compacted</t>
  </si>
  <si>
    <t>Item 106, pg 35 Compacted</t>
  </si>
  <si>
    <t>Item 240, pg 45</t>
  </si>
  <si>
    <t>Item 245, pg 46</t>
  </si>
  <si>
    <t>Item 255, pg 47 Compacted</t>
  </si>
  <si>
    <t>Item 255, pg 48 Compacted</t>
  </si>
  <si>
    <t>Monthly Pickups</t>
  </si>
  <si>
    <t>Annual Frequency</t>
  </si>
  <si>
    <t>Company Calculated Revenue</t>
  </si>
  <si>
    <t>Alternative to 32 Gal. - Blue Bag</t>
  </si>
  <si>
    <t>1 Yard temp</t>
  </si>
  <si>
    <t>1.5 Yard temp</t>
  </si>
  <si>
    <t>2 Yard temp</t>
  </si>
  <si>
    <t>4 Yard temp</t>
  </si>
  <si>
    <t>8 Yard temp</t>
  </si>
  <si>
    <t>5 Yard Special</t>
  </si>
  <si>
    <t>6 Yard Special</t>
  </si>
  <si>
    <t>1 Yard Pickup Special</t>
  </si>
  <si>
    <t>1.5 Yard Pickup Special</t>
  </si>
  <si>
    <t>2 Yard Pickup Special</t>
  </si>
  <si>
    <t>4 Yard Pickup Special</t>
  </si>
  <si>
    <t>3 Yard Pickup Special</t>
  </si>
  <si>
    <t>6 Yard Pickup Special</t>
  </si>
  <si>
    <t>6 Yard temp</t>
  </si>
  <si>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</si>
  <si>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</si>
  <si>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</si>
  <si>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</si>
  <si>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</si>
  <si>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</si>
  <si>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</si>
  <si>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</si>
  <si>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</si>
  <si>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</si>
  <si>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</si>
  <si>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</si>
  <si>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</si>
  <si>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</si>
  <si>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</si>
  <si>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</si>
  <si>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</t>
  </si>
  <si>
    <t>Regulated Garbage</t>
  </si>
  <si>
    <t>U</t>
  </si>
  <si>
    <t>Unregulated Garbage</t>
  </si>
  <si>
    <t>RCY</t>
  </si>
  <si>
    <t>Regulated RCY</t>
  </si>
  <si>
    <t>Unregulated RCY / COGS</t>
  </si>
  <si>
    <t>YW</t>
  </si>
  <si>
    <t>(Account #)</t>
  </si>
  <si>
    <t>LESS: King County Transfer Hauls</t>
  </si>
  <si>
    <t>Variance to GL</t>
  </si>
  <si>
    <t>Regulated Pass Thru Disposal Tons</t>
  </si>
  <si>
    <t>Unregulated Pass Thru Disposal Tons</t>
  </si>
  <si>
    <t>C</t>
  </si>
  <si>
    <t>Regulated RCY (MF)</t>
  </si>
  <si>
    <t>Regulated Yardwaste</t>
  </si>
  <si>
    <t>Unregulated Yardwaste</t>
  </si>
  <si>
    <t>Unregulated RCY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</si>
  <si>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</si>
  <si>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</si>
  <si>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</si>
  <si>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</si>
  <si>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</si>
  <si>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</si>
  <si>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</si>
  <si>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</si>
  <si>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</si>
  <si>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</si>
  <si>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Calculated:</t>
  </si>
  <si>
    <t>Less: Renton MSW</t>
  </si>
  <si>
    <t>Regulated Pass Thru Disposal $</t>
  </si>
  <si>
    <t>Unregulated Pass Thru Disposal $</t>
  </si>
  <si>
    <t>TOTAL REGULATED DISP COST</t>
  </si>
  <si>
    <t>TOTAL CALC'D DISP COST</t>
  </si>
  <si>
    <t>INTERCOMPANY ANALYSIS</t>
  </si>
  <si>
    <t>I/C Disposal Cost per GL</t>
  </si>
  <si>
    <t>Disp Code 1</t>
  </si>
  <si>
    <t>Disp Code 2</t>
  </si>
  <si>
    <t>Disp Code 3</t>
  </si>
  <si>
    <t>Disp Code 4</t>
  </si>
  <si>
    <t>Total Tons</t>
  </si>
  <si>
    <t>Rabanco MRF - Mixed Comm</t>
  </si>
  <si>
    <t>RRMX</t>
  </si>
  <si>
    <t>RRKC</t>
  </si>
  <si>
    <t>Rabanco MRF - Commercial</t>
  </si>
  <si>
    <t>RRRC</t>
  </si>
  <si>
    <t>Rabanco MRF - Resi / MF</t>
  </si>
  <si>
    <t>RRZ1</t>
  </si>
  <si>
    <t>RRCB</t>
  </si>
  <si>
    <t>3rd &amp; Lander - Cardboard</t>
  </si>
  <si>
    <t>RRBC</t>
  </si>
  <si>
    <t>RRSS</t>
  </si>
  <si>
    <t>RRVC</t>
  </si>
  <si>
    <t>City Contract Street Sweeping</t>
  </si>
  <si>
    <t>Rate</t>
  </si>
  <si>
    <t>Calculated Revenue</t>
  </si>
  <si>
    <t>$ Variance</t>
  </si>
  <si>
    <t>% Variance</t>
  </si>
  <si>
    <t>Regulated Tons</t>
  </si>
  <si>
    <t>Non-Regulated Tons</t>
  </si>
  <si>
    <t>no customers</t>
  </si>
  <si>
    <t>Company</t>
  </si>
  <si>
    <t>Current</t>
  </si>
  <si>
    <t>Proposed Increase</t>
  </si>
  <si>
    <t>Proposed</t>
  </si>
  <si>
    <t>Tariff</t>
  </si>
  <si>
    <t>1 Mini Can</t>
  </si>
  <si>
    <t>1 Can wk</t>
  </si>
  <si>
    <t>2  Can wk</t>
  </si>
  <si>
    <t>3 Can wk</t>
  </si>
  <si>
    <t>4 Can wk</t>
  </si>
  <si>
    <t>5 Can wk</t>
  </si>
  <si>
    <t>32 Gal Tote wk</t>
  </si>
  <si>
    <t>64 Gal Tote wk</t>
  </si>
  <si>
    <t>96 Gal Tote wk</t>
  </si>
  <si>
    <t>32 Gallon or Bag, Extra</t>
  </si>
  <si>
    <t>Each</t>
  </si>
  <si>
    <t>64 Gallon</t>
  </si>
  <si>
    <t>32 Gallon Special Pickup</t>
  </si>
  <si>
    <t>96 Gallon Special Pickup</t>
  </si>
  <si>
    <t>1 Yard Special Pickup</t>
  </si>
  <si>
    <t>1.5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</si>
  <si>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</si>
  <si>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</si>
  <si>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</si>
  <si>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</si>
  <si>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</si>
  <si>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1 Yard Temp</t>
  </si>
  <si>
    <t>1.5 Yard Temp</t>
  </si>
  <si>
    <t>2 Yard Temp</t>
  </si>
  <si>
    <t>3 Yard Temp</t>
  </si>
  <si>
    <t>4 Yard Temp</t>
  </si>
  <si>
    <t>6 Yard Temp</t>
  </si>
  <si>
    <t>8 Yard Temp</t>
  </si>
  <si>
    <t>Item 100, pg 21 Appendix A/pg 25 Appendix B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</si>
  <si>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</si>
  <si>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</si>
  <si>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</si>
  <si>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</si>
  <si>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</si>
  <si>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</si>
  <si>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</si>
  <si>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Sea-Tac Disposal</t>
  </si>
  <si>
    <t>Residential YW</t>
  </si>
  <si>
    <t>SUBTRACT</t>
  </si>
  <si>
    <t>Lbs/Yd</t>
  </si>
  <si>
    <t>Lbs/DB</t>
  </si>
  <si>
    <t>* below you will need to link I/C affiliatied company disposal $ to the correct row (I sugguest you use CTRL+H - 'Find &amp; Replace')</t>
  </si>
  <si>
    <t>Disp Code 5</t>
  </si>
  <si>
    <t>RRCM</t>
  </si>
  <si>
    <t>RRFL</t>
  </si>
  <si>
    <t>RRMF</t>
  </si>
  <si>
    <t>RRGA</t>
  </si>
  <si>
    <t>3rd &amp; Lander - MSW</t>
  </si>
  <si>
    <t>RRWD</t>
  </si>
  <si>
    <t>RRYW</t>
  </si>
  <si>
    <t>3rd &amp; Lander - Yardwaste</t>
  </si>
  <si>
    <t>RRA1</t>
  </si>
  <si>
    <t>King County Transfer</t>
  </si>
  <si>
    <t>3rd &amp; Lander - CDL</t>
  </si>
  <si>
    <t>RRSB</t>
  </si>
  <si>
    <t>Rabanco Sand Blasting</t>
  </si>
  <si>
    <t>KC Transfer</t>
  </si>
  <si>
    <t>IC Recycle</t>
  </si>
  <si>
    <t>3 Yard Pickup temp</t>
  </si>
  <si>
    <t>DF Effective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</si>
</sst>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-yy;@"/>
    <numFmt numFmtId="173" formatCode="_(* #,##0.0_);_(* \(#,##0.0\);_(* &quot;-&quot;??_);_(@_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dashed">
        <color auto="1"/>
      </top>
      <bottom style="thin">
        <color rgb="FFB2B2B2"/>
      </bottom>
      <diagonal/>
    </border>
    <border>
      <left/>
      <right/>
      <top style="dashed">
        <color auto="1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0" fillId="0" borderId="28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9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29" fillId="12" borderId="16" applyNumberFormat="0" applyAlignment="0" applyProtection="0"/>
    <xf numFmtId="37" fontId="58" fillId="0" borderId="0"/>
    <xf numFmtId="0" fontId="59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0" fillId="0" borderId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60" fillId="10" borderId="15" applyNumberFormat="0" applyFont="0" applyAlignment="0" applyProtection="0"/>
    <xf numFmtId="9" fontId="60" fillId="0" borderId="0" applyFont="0" applyFill="0" applyBorder="0" applyAlignment="0" applyProtection="0"/>
    <xf numFmtId="0" fontId="1" fillId="39" borderId="38" applyNumberFormat="0" applyFont="0" applyAlignment="0" applyProtection="0"/>
    <xf numFmtId="0" fontId="1" fillId="39" borderId="3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95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22" xfId="0" applyFont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44" fontId="1" fillId="0" borderId="22" xfId="2" applyFont="1" applyBorder="1"/>
    <xf numFmtId="0" fontId="0" fillId="0" borderId="23" xfId="0" applyFont="1" applyBorder="1" applyAlignment="1">
      <alignment horizontal="left"/>
    </xf>
    <xf numFmtId="44" fontId="0" fillId="0" borderId="24" xfId="2" applyFont="1" applyBorder="1"/>
    <xf numFmtId="0" fontId="3" fillId="6" borderId="1" xfId="0" applyFont="1" applyFill="1" applyBorder="1" applyAlignment="1">
      <alignment wrapText="1"/>
    </xf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3" xfId="0" applyFont="1" applyBorder="1" applyAlignment="1">
      <alignment horizontal="left" vertical="top" indent="1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44" fontId="11" fillId="0" borderId="0" xfId="10" applyFont="1" applyBorder="1"/>
    <xf numFmtId="0" fontId="11" fillId="0" borderId="0" xfId="0" applyFont="1"/>
    <xf numFmtId="0" fontId="0" fillId="6" borderId="36" xfId="0" applyFont="1" applyFill="1" applyBorder="1"/>
    <xf numFmtId="0" fontId="0" fillId="6" borderId="34" xfId="0" applyFont="1" applyFill="1" applyBorder="1" applyAlignment="1">
      <alignment horizontal="center"/>
    </xf>
    <xf numFmtId="0" fontId="3" fillId="6" borderId="34" xfId="0" applyFont="1" applyFill="1" applyBorder="1"/>
    <xf numFmtId="0" fontId="0" fillId="6" borderId="34" xfId="0" applyFont="1" applyFill="1" applyBorder="1" applyAlignment="1">
      <alignment horizontal="right"/>
    </xf>
    <xf numFmtId="0" fontId="0" fillId="6" borderId="34" xfId="0" applyFont="1" applyFill="1" applyBorder="1"/>
    <xf numFmtId="166" fontId="0" fillId="6" borderId="34" xfId="1" applyNumberFormat="1" applyFont="1" applyFill="1" applyBorder="1" applyAlignment="1">
      <alignment horizontal="left" indent="2"/>
    </xf>
    <xf numFmtId="166" fontId="0" fillId="6" borderId="34" xfId="1" applyNumberFormat="1" applyFont="1" applyFill="1" applyBorder="1"/>
    <xf numFmtId="44" fontId="0" fillId="6" borderId="34" xfId="1" applyNumberFormat="1" applyFont="1" applyFill="1" applyBorder="1"/>
    <xf numFmtId="0" fontId="0" fillId="0" borderId="35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37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43" fontId="0" fillId="0" borderId="0" xfId="1" applyNumberFormat="1" applyFont="1" applyFill="1" applyBorder="1"/>
    <xf numFmtId="0" fontId="11" fillId="0" borderId="0" xfId="4" applyFont="1" applyFill="1" applyBorder="1" applyAlignment="1">
      <alignment horizontal="left"/>
    </xf>
    <xf numFmtId="166" fontId="11" fillId="38" borderId="0" xfId="373" applyNumberFormat="1" applyFont="1" applyFill="1"/>
    <xf numFmtId="166" fontId="11" fillId="38" borderId="0" xfId="373" applyNumberFormat="1" applyFont="1" applyFill="1" applyBorder="1"/>
    <xf numFmtId="166" fontId="0" fillId="6" borderId="0" xfId="1" applyNumberFormat="1" applyFont="1" applyFill="1" applyBorder="1" applyAlignment="1">
      <alignment horizontal="left" indent="2"/>
    </xf>
    <xf numFmtId="44" fontId="0" fillId="6" borderId="0" xfId="2" applyFont="1" applyFill="1" applyBorder="1"/>
    <xf numFmtId="44" fontId="3" fillId="6" borderId="0" xfId="2" applyFont="1" applyFill="1" applyBorder="1" applyAlignment="1">
      <alignment horizontal="right"/>
    </xf>
    <xf numFmtId="0" fontId="0" fillId="6" borderId="0" xfId="0" applyFill="1" applyAlignment="1">
      <alignment vertical="center" textRotation="90"/>
    </xf>
    <xf numFmtId="0" fontId="0" fillId="6" borderId="0" xfId="0" applyFill="1" applyAlignment="1">
      <alignment horizontal="center" vertical="center"/>
    </xf>
    <xf numFmtId="0" fontId="12" fillId="6" borderId="0" xfId="4" applyFont="1" applyFill="1" applyAlignment="1">
      <alignment horizontal="left"/>
    </xf>
    <xf numFmtId="3" fontId="3" fillId="6" borderId="0" xfId="0" applyNumberFormat="1" applyFont="1" applyFill="1" applyAlignment="1">
      <alignment horizontal="center"/>
    </xf>
    <xf numFmtId="43" fontId="3" fillId="6" borderId="0" xfId="1" applyFont="1" applyFill="1" applyBorder="1" applyAlignment="1">
      <alignment horizontal="center" wrapText="1"/>
    </xf>
    <xf numFmtId="3" fontId="3" fillId="6" borderId="0" xfId="0" applyNumberFormat="1" applyFont="1" applyFill="1" applyAlignment="1">
      <alignment horizontal="right"/>
    </xf>
    <xf numFmtId="166" fontId="11" fillId="38" borderId="0" xfId="405" applyNumberFormat="1" applyFont="1" applyFill="1"/>
    <xf numFmtId="37" fontId="11" fillId="0" borderId="0" xfId="4" applyNumberFormat="1" applyFont="1" applyAlignment="1">
      <alignment horizontal="right"/>
    </xf>
    <xf numFmtId="44" fontId="11" fillId="38" borderId="0" xfId="10" applyFont="1" applyFill="1"/>
    <xf numFmtId="44" fontId="11" fillId="38" borderId="0" xfId="10" applyFont="1" applyFill="1" applyBorder="1"/>
    <xf numFmtId="44" fontId="0" fillId="38" borderId="0" xfId="2" applyFont="1" applyFill="1" applyBorder="1"/>
    <xf numFmtId="44" fontId="11" fillId="38" borderId="1" xfId="10" applyFont="1" applyFill="1" applyBorder="1"/>
    <xf numFmtId="0" fontId="3" fillId="6" borderId="0" xfId="0" applyFont="1" applyFill="1" applyAlignment="1">
      <alignment horizontal="center" wrapText="1"/>
    </xf>
    <xf numFmtId="167" fontId="0" fillId="38" borderId="0" xfId="1" applyNumberFormat="1" applyFont="1" applyFill="1"/>
    <xf numFmtId="167" fontId="0" fillId="38" borderId="0" xfId="1" applyNumberFormat="1" applyFont="1" applyFill="1" applyBorder="1"/>
    <xf numFmtId="167" fontId="0" fillId="38" borderId="1" xfId="1" applyNumberFormat="1" applyFont="1" applyFill="1" applyBorder="1"/>
    <xf numFmtId="166" fontId="0" fillId="38" borderId="0" xfId="1" applyNumberFormat="1" applyFont="1" applyFill="1" applyBorder="1" applyAlignment="1">
      <alignment horizontal="right"/>
    </xf>
    <xf numFmtId="0" fontId="0" fillId="0" borderId="1" xfId="0" applyFont="1" applyFill="1" applyBorder="1"/>
    <xf numFmtId="0" fontId="1" fillId="0" borderId="0" xfId="23"/>
    <xf numFmtId="0" fontId="3" fillId="0" borderId="0" xfId="23" applyFont="1"/>
    <xf numFmtId="172" fontId="3" fillId="39" borderId="38" xfId="412" applyNumberFormat="1" applyFont="1"/>
    <xf numFmtId="172" fontId="3" fillId="0" borderId="0" xfId="23" applyNumberFormat="1" applyFont="1"/>
    <xf numFmtId="0" fontId="61" fillId="0" borderId="0" xfId="23" applyFont="1" applyAlignment="1">
      <alignment horizontal="center"/>
    </xf>
    <xf numFmtId="0" fontId="61" fillId="0" borderId="0" xfId="23" applyFont="1"/>
    <xf numFmtId="0" fontId="62" fillId="0" borderId="0" xfId="23" applyFont="1"/>
    <xf numFmtId="0" fontId="1" fillId="0" borderId="0" xfId="23" applyAlignment="1">
      <alignment horizontal="center"/>
    </xf>
    <xf numFmtId="0" fontId="3" fillId="0" borderId="2" xfId="23" applyFont="1" applyBorder="1"/>
    <xf numFmtId="0" fontId="1" fillId="0" borderId="2" xfId="23" applyBorder="1"/>
    <xf numFmtId="166" fontId="1" fillId="0" borderId="0" xfId="23" applyNumberFormat="1"/>
    <xf numFmtId="166" fontId="3" fillId="0" borderId="0" xfId="23" applyNumberFormat="1" applyFont="1"/>
    <xf numFmtId="166" fontId="3" fillId="5" borderId="0" xfId="23" applyNumberFormat="1" applyFont="1" applyFill="1"/>
    <xf numFmtId="0" fontId="1" fillId="0" borderId="1" xfId="23" applyBorder="1"/>
    <xf numFmtId="0" fontId="11" fillId="39" borderId="38" xfId="412" applyFont="1" applyAlignment="1">
      <alignment horizontal="center"/>
    </xf>
    <xf numFmtId="0" fontId="63" fillId="0" borderId="39" xfId="23" applyFont="1" applyBorder="1" applyAlignment="1">
      <alignment horizontal="center"/>
    </xf>
    <xf numFmtId="0" fontId="63" fillId="0" borderId="39" xfId="23" applyFont="1" applyBorder="1"/>
    <xf numFmtId="166" fontId="64" fillId="2" borderId="39" xfId="23" applyNumberFormat="1" applyFont="1" applyFill="1" applyBorder="1"/>
    <xf numFmtId="0" fontId="63" fillId="0" borderId="0" xfId="23" applyFont="1"/>
    <xf numFmtId="171" fontId="11" fillId="0" borderId="0" xfId="3" applyNumberFormat="1" applyFont="1"/>
    <xf numFmtId="0" fontId="65" fillId="0" borderId="39" xfId="23" applyFont="1" applyBorder="1" applyAlignment="1">
      <alignment horizontal="center"/>
    </xf>
    <xf numFmtId="0" fontId="65" fillId="0" borderId="39" xfId="23" applyFont="1" applyBorder="1"/>
    <xf numFmtId="1" fontId="65" fillId="39" borderId="38" xfId="411" applyNumberFormat="1" applyFont="1" applyAlignment="1">
      <alignment horizontal="center"/>
    </xf>
    <xf numFmtId="166" fontId="65" fillId="0" borderId="0" xfId="414" applyNumberFormat="1" applyFont="1"/>
    <xf numFmtId="166" fontId="67" fillId="0" borderId="0" xfId="414" applyNumberFormat="1" applyFont="1"/>
    <xf numFmtId="166" fontId="63" fillId="0" borderId="0" xfId="414" applyNumberFormat="1" applyFont="1"/>
    <xf numFmtId="0" fontId="1" fillId="0" borderId="3" xfId="23" applyBorder="1" applyAlignment="1">
      <alignment horizontal="center"/>
    </xf>
    <xf numFmtId="0" fontId="1" fillId="0" borderId="3" xfId="23" applyBorder="1"/>
    <xf numFmtId="166" fontId="11" fillId="0" borderId="3" xfId="414" applyNumberFormat="1" applyFont="1" applyBorder="1"/>
    <xf numFmtId="166" fontId="3" fillId="0" borderId="3" xfId="23" applyNumberFormat="1" applyFont="1" applyBorder="1"/>
    <xf numFmtId="166" fontId="11" fillId="0" borderId="0" xfId="414" applyNumberFormat="1" applyFont="1"/>
    <xf numFmtId="0" fontId="63" fillId="0" borderId="0" xfId="253" applyNumberFormat="1" applyFont="1"/>
    <xf numFmtId="171" fontId="63" fillId="0" borderId="0" xfId="253" applyNumberFormat="1" applyFont="1"/>
    <xf numFmtId="43" fontId="11" fillId="0" borderId="0" xfId="414" applyFont="1"/>
    <xf numFmtId="166" fontId="3" fillId="0" borderId="0" xfId="414" applyNumberFormat="1" applyFont="1"/>
    <xf numFmtId="166" fontId="63" fillId="0" borderId="39" xfId="414" applyNumberFormat="1" applyFont="1" applyBorder="1"/>
    <xf numFmtId="166" fontId="64" fillId="0" borderId="39" xfId="23" applyNumberFormat="1" applyFont="1" applyBorder="1"/>
    <xf numFmtId="0" fontId="63" fillId="2" borderId="39" xfId="23" applyFont="1" applyFill="1" applyBorder="1"/>
    <xf numFmtId="166" fontId="63" fillId="2" borderId="39" xfId="414" applyNumberFormat="1" applyFont="1" applyFill="1" applyBorder="1"/>
    <xf numFmtId="166" fontId="11" fillId="5" borderId="0" xfId="414" applyNumberFormat="1" applyFont="1" applyFill="1"/>
    <xf numFmtId="0" fontId="9" fillId="0" borderId="0" xfId="23" applyFont="1"/>
    <xf numFmtId="0" fontId="65" fillId="0" borderId="0" xfId="253" applyNumberFormat="1" applyFont="1"/>
    <xf numFmtId="0" fontId="9" fillId="0" borderId="3" xfId="23" applyFont="1" applyBorder="1"/>
    <xf numFmtId="44" fontId="11" fillId="39" borderId="38" xfId="412" applyNumberFormat="1" applyFont="1"/>
    <xf numFmtId="44" fontId="11" fillId="0" borderId="0" xfId="294" applyFont="1"/>
    <xf numFmtId="44" fontId="3" fillId="0" borderId="0" xfId="294" applyFont="1"/>
    <xf numFmtId="166" fontId="11" fillId="0" borderId="1" xfId="414" applyNumberFormat="1" applyFont="1" applyBorder="1"/>
    <xf numFmtId="166" fontId="3" fillId="0" borderId="1" xfId="23" applyNumberFormat="1" applyFont="1" applyBorder="1"/>
    <xf numFmtId="0" fontId="1" fillId="5" borderId="0" xfId="23" applyFill="1"/>
    <xf numFmtId="0" fontId="3" fillId="0" borderId="0" xfId="23" applyFont="1" applyAlignment="1">
      <alignment horizontal="center" wrapText="1"/>
    </xf>
    <xf numFmtId="166" fontId="11" fillId="0" borderId="0" xfId="414" applyNumberFormat="1" applyFont="1" applyBorder="1"/>
    <xf numFmtId="166" fontId="3" fillId="0" borderId="3" xfId="414" applyNumberFormat="1" applyFont="1" applyBorder="1"/>
    <xf numFmtId="171" fontId="11" fillId="0" borderId="0" xfId="253" applyNumberFormat="1" applyFont="1"/>
    <xf numFmtId="171" fontId="11" fillId="0" borderId="0" xfId="253" applyNumberFormat="1" applyFont="1" applyFill="1"/>
    <xf numFmtId="166" fontId="3" fillId="5" borderId="40" xfId="23" applyNumberFormat="1" applyFont="1" applyFill="1" applyBorder="1"/>
    <xf numFmtId="0" fontId="68" fillId="0" borderId="0" xfId="415" applyFont="1"/>
    <xf numFmtId="43" fontId="1" fillId="0" borderId="0" xfId="1" applyFont="1" applyFill="1"/>
    <xf numFmtId="43" fontId="1" fillId="0" borderId="0" xfId="1" applyFont="1"/>
    <xf numFmtId="0" fontId="68" fillId="0" borderId="0" xfId="416" applyFont="1"/>
    <xf numFmtId="0" fontId="69" fillId="0" borderId="0" xfId="415" applyFont="1"/>
    <xf numFmtId="43" fontId="49" fillId="0" borderId="0" xfId="1" applyFont="1" applyFill="1" applyBorder="1"/>
    <xf numFmtId="43" fontId="2" fillId="0" borderId="0" xfId="1" applyFont="1"/>
    <xf numFmtId="0" fontId="2" fillId="0" borderId="0" xfId="416"/>
    <xf numFmtId="0" fontId="0" fillId="5" borderId="0" xfId="0" applyFill="1"/>
    <xf numFmtId="43" fontId="68" fillId="0" borderId="0" xfId="1" applyFont="1" applyFill="1" applyAlignment="1">
      <alignment horizontal="center"/>
    </xf>
    <xf numFmtId="43" fontId="68" fillId="0" borderId="0" xfId="1" applyFont="1" applyAlignment="1">
      <alignment horizontal="center"/>
    </xf>
    <xf numFmtId="0" fontId="2" fillId="0" borderId="0" xfId="416" applyAlignment="1">
      <alignment horizontal="center"/>
    </xf>
    <xf numFmtId="14" fontId="3" fillId="0" borderId="0" xfId="1" applyNumberFormat="1" applyFont="1" applyAlignment="1">
      <alignment horizontal="center"/>
    </xf>
    <xf numFmtId="43" fontId="2" fillId="0" borderId="0" xfId="1" applyFont="1" applyFill="1"/>
    <xf numFmtId="0" fontId="0" fillId="0" borderId="0" xfId="0" applyAlignment="1">
      <alignment horizontal="left" vertical="top" indent="1"/>
    </xf>
    <xf numFmtId="0" fontId="0" fillId="5" borderId="0" xfId="0" applyFill="1" applyAlignment="1">
      <alignment horizontal="left" vertical="top" indent="1"/>
    </xf>
    <xf numFmtId="0" fontId="2" fillId="5" borderId="0" xfId="416" applyFill="1"/>
    <xf numFmtId="43" fontId="2" fillId="5" borderId="0" xfId="1" applyFont="1" applyFill="1"/>
    <xf numFmtId="0" fontId="11" fillId="5" borderId="0" xfId="4" applyFont="1" applyFill="1" applyAlignment="1">
      <alignment horizontal="left"/>
    </xf>
    <xf numFmtId="0" fontId="11" fillId="0" borderId="0" xfId="4" applyFont="1" applyAlignment="1">
      <alignment horizontal="left"/>
    </xf>
    <xf numFmtId="43" fontId="1" fillId="5" borderId="0" xfId="1" applyFont="1" applyFill="1"/>
    <xf numFmtId="0" fontId="3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3" fillId="0" borderId="0" xfId="23" applyFont="1" applyAlignment="1">
      <alignment horizontal="center"/>
    </xf>
    <xf numFmtId="0" fontId="2" fillId="0" borderId="0" xfId="417" applyAlignment="1" applyProtection="1">
      <alignment horizontal="left"/>
      <protection locked="0"/>
    </xf>
    <xf numFmtId="0" fontId="1" fillId="0" borderId="39" xfId="23" applyBorder="1" applyAlignment="1">
      <alignment horizontal="center"/>
    </xf>
    <xf numFmtId="0" fontId="1" fillId="5" borderId="0" xfId="23" applyFill="1" applyAlignment="1">
      <alignment horizontal="center"/>
    </xf>
    <xf numFmtId="0" fontId="66" fillId="0" borderId="0" xfId="23" applyFont="1" applyAlignment="1">
      <alignment horizontal="left" vertical="center"/>
    </xf>
    <xf numFmtId="0" fontId="65" fillId="0" borderId="0" xfId="23" applyFont="1"/>
    <xf numFmtId="171" fontId="63" fillId="0" borderId="0" xfId="253" applyNumberFormat="1" applyFont="1" applyFill="1"/>
    <xf numFmtId="0" fontId="1" fillId="0" borderId="41" xfId="23" applyBorder="1" applyAlignment="1">
      <alignment horizontal="center"/>
    </xf>
    <xf numFmtId="166" fontId="12" fillId="0" borderId="41" xfId="414" applyNumberFormat="1" applyFont="1" applyBorder="1" applyAlignment="1">
      <alignment horizontal="center"/>
    </xf>
    <xf numFmtId="0" fontId="1" fillId="0" borderId="0" xfId="23" applyAlignment="1">
      <alignment horizontal="center" vertical="center"/>
    </xf>
    <xf numFmtId="43" fontId="11" fillId="40" borderId="42" xfId="1" applyFont="1" applyFill="1" applyBorder="1"/>
    <xf numFmtId="43" fontId="11" fillId="0" borderId="42" xfId="1" applyFont="1" applyBorder="1"/>
    <xf numFmtId="0" fontId="11" fillId="39" borderId="43" xfId="412" applyFont="1" applyBorder="1" applyAlignment="1">
      <alignment horizontal="center"/>
    </xf>
    <xf numFmtId="173" fontId="63" fillId="0" borderId="42" xfId="414" applyNumberFormat="1" applyFont="1" applyBorder="1"/>
    <xf numFmtId="173" fontId="11" fillId="40" borderId="42" xfId="414" applyNumberFormat="1" applyFont="1" applyFill="1" applyBorder="1"/>
    <xf numFmtId="173" fontId="11" fillId="0" borderId="42" xfId="414" applyNumberFormat="1" applyFont="1" applyBorder="1"/>
    <xf numFmtId="0" fontId="63" fillId="0" borderId="44" xfId="23" applyFont="1" applyBorder="1"/>
    <xf numFmtId="166" fontId="63" fillId="0" borderId="42" xfId="414" applyNumberFormat="1" applyFont="1" applyBorder="1"/>
    <xf numFmtId="0" fontId="1" fillId="2" borderId="3" xfId="23" applyFill="1" applyBorder="1"/>
    <xf numFmtId="166" fontId="11" fillId="2" borderId="3" xfId="414" applyNumberFormat="1" applyFont="1" applyFill="1" applyBorder="1"/>
    <xf numFmtId="166" fontId="3" fillId="2" borderId="3" xfId="23" applyNumberFormat="1" applyFont="1" applyFill="1" applyBorder="1"/>
    <xf numFmtId="166" fontId="11" fillId="0" borderId="42" xfId="414" applyNumberFormat="1" applyFont="1" applyBorder="1"/>
    <xf numFmtId="173" fontId="1" fillId="40" borderId="42" xfId="23" applyNumberFormat="1" applyFill="1" applyBorder="1"/>
    <xf numFmtId="173" fontId="12" fillId="0" borderId="41" xfId="414" applyNumberFormat="1" applyFont="1" applyBorder="1"/>
    <xf numFmtId="44" fontId="70" fillId="39" borderId="38" xfId="412" applyNumberFormat="1" applyFont="1"/>
    <xf numFmtId="44" fontId="71" fillId="41" borderId="45" xfId="294" applyFont="1" applyFill="1" applyBorder="1"/>
    <xf numFmtId="0" fontId="72" fillId="41" borderId="45" xfId="23" applyFont="1" applyFill="1" applyBorder="1"/>
    <xf numFmtId="166" fontId="72" fillId="41" borderId="45" xfId="414" applyNumberFormat="1" applyFont="1" applyFill="1" applyBorder="1"/>
    <xf numFmtId="166" fontId="73" fillId="41" borderId="45" xfId="23" applyNumberFormat="1" applyFont="1" applyFill="1" applyBorder="1"/>
    <xf numFmtId="9" fontId="3" fillId="0" borderId="0" xfId="3" applyFont="1"/>
    <xf numFmtId="166" fontId="11" fillId="39" borderId="38" xfId="411" applyNumberFormat="1" applyFont="1"/>
    <xf numFmtId="0" fontId="11" fillId="39" borderId="38" xfId="412" applyFont="1"/>
    <xf numFmtId="44" fontId="11" fillId="41" borderId="0" xfId="294" applyFont="1" applyFill="1"/>
    <xf numFmtId="8" fontId="11" fillId="38" borderId="0" xfId="10" applyNumberFormat="1" applyFont="1" applyFill="1" applyBorder="1"/>
    <xf numFmtId="0" fontId="11" fillId="0" borderId="0" xfId="4" applyFont="1" applyFill="1" applyAlignment="1">
      <alignment horizontal="left"/>
    </xf>
    <xf numFmtId="0" fontId="2" fillId="0" borderId="0" xfId="416" applyFill="1"/>
    <xf numFmtId="44" fontId="0" fillId="38" borderId="22" xfId="2" applyFont="1" applyFill="1" applyBorder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</cellXfs>
  <cellStyles count="418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0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1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2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3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4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395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402" xr:uid="{00000000-0005-0000-0000-00006C000000}"/>
    <cellStyle name="Comma 21" xfId="407" xr:uid="{00000000-0005-0000-0000-00006D000000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7 3" xfId="414" xr:uid="{5561E8A5-6EBF-43B3-9744-28E0D767F4EF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403" xr:uid="{00000000-0005-0000-0000-000088000000}"/>
    <cellStyle name="Currency 12" xfId="408" xr:uid="{00000000-0005-0000-0000-000089000000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396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397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89" xr:uid="{00000000-0005-0000-0000-0000D8000000}"/>
    <cellStyle name="Normal 109 2" xfId="406" xr:uid="{00000000-0005-0000-0000-0000D9000000}"/>
    <cellStyle name="Normal 11" xfId="157" xr:uid="{00000000-0005-0000-0000-0000DA000000}"/>
    <cellStyle name="Normal 12" xfId="158" xr:uid="{00000000-0005-0000-0000-0000DB000000}"/>
    <cellStyle name="Normal 12 2" xfId="341" xr:uid="{00000000-0005-0000-0000-0000DC000000}"/>
    <cellStyle name="Normal 13" xfId="159" xr:uid="{00000000-0005-0000-0000-0000DD000000}"/>
    <cellStyle name="Normal 13 2" xfId="342" xr:uid="{00000000-0005-0000-0000-0000DE000000}"/>
    <cellStyle name="Normal 14" xfId="160" xr:uid="{00000000-0005-0000-0000-0000DF000000}"/>
    <cellStyle name="Normal 14 2" xfId="343" xr:uid="{00000000-0005-0000-0000-0000E0000000}"/>
    <cellStyle name="Normal 15" xfId="161" xr:uid="{00000000-0005-0000-0000-0000E1000000}"/>
    <cellStyle name="Normal 15 2" xfId="344" xr:uid="{00000000-0005-0000-0000-0000E2000000}"/>
    <cellStyle name="Normal 16" xfId="162" xr:uid="{00000000-0005-0000-0000-0000E3000000}"/>
    <cellStyle name="Normal 16 2" xfId="345" xr:uid="{00000000-0005-0000-0000-0000E4000000}"/>
    <cellStyle name="Normal 163" xfId="417" xr:uid="{AB7D9197-7765-4449-8613-D4AA4ABAA054}"/>
    <cellStyle name="Normal 17" xfId="163" xr:uid="{00000000-0005-0000-0000-0000E5000000}"/>
    <cellStyle name="Normal 17 2" xfId="346" xr:uid="{00000000-0005-0000-0000-0000E6000000}"/>
    <cellStyle name="Normal 18" xfId="164" xr:uid="{00000000-0005-0000-0000-0000E7000000}"/>
    <cellStyle name="Normal 18 2" xfId="347" xr:uid="{00000000-0005-0000-0000-0000E8000000}"/>
    <cellStyle name="Normal 19" xfId="165" xr:uid="{00000000-0005-0000-0000-0000E9000000}"/>
    <cellStyle name="Normal 19 2" xfId="348" xr:uid="{00000000-0005-0000-0000-0000EA000000}"/>
    <cellStyle name="Normal 2" xfId="18" xr:uid="{00000000-0005-0000-0000-0000EB000000}"/>
    <cellStyle name="Normal 2 2" xfId="19" xr:uid="{00000000-0005-0000-0000-0000EC000000}"/>
    <cellStyle name="Normal 2 2 2" xfId="167" xr:uid="{00000000-0005-0000-0000-0000ED000000}"/>
    <cellStyle name="Normal 2 2 3" xfId="166" xr:uid="{00000000-0005-0000-0000-0000EE000000}"/>
    <cellStyle name="Normal 2 2_Actual_Fuel" xfId="168" xr:uid="{00000000-0005-0000-0000-0000EF000000}"/>
    <cellStyle name="Normal 2 3" xfId="169" xr:uid="{00000000-0005-0000-0000-0000F0000000}"/>
    <cellStyle name="Normal 2 3 2" xfId="170" xr:uid="{00000000-0005-0000-0000-0000F1000000}"/>
    <cellStyle name="Normal 2 3 3" xfId="296" xr:uid="{00000000-0005-0000-0000-0000F2000000}"/>
    <cellStyle name="Normal 2 4" xfId="297" xr:uid="{00000000-0005-0000-0000-0000F3000000}"/>
    <cellStyle name="Normal 2 5" xfId="298" xr:uid="{00000000-0005-0000-0000-0000F4000000}"/>
    <cellStyle name="Normal 2_2012-10" xfId="171" xr:uid="{00000000-0005-0000-0000-0000F5000000}"/>
    <cellStyle name="Normal 20" xfId="172" xr:uid="{00000000-0005-0000-0000-0000F6000000}"/>
    <cellStyle name="Normal 21" xfId="173" xr:uid="{00000000-0005-0000-0000-0000F7000000}"/>
    <cellStyle name="Normal 22" xfId="174" xr:uid="{00000000-0005-0000-0000-0000F8000000}"/>
    <cellStyle name="Normal 23" xfId="175" xr:uid="{00000000-0005-0000-0000-0000F9000000}"/>
    <cellStyle name="Normal 24" xfId="176" xr:uid="{00000000-0005-0000-0000-0000FA000000}"/>
    <cellStyle name="Normal 25" xfId="177" xr:uid="{00000000-0005-0000-0000-0000FB000000}"/>
    <cellStyle name="Normal 26" xfId="178" xr:uid="{00000000-0005-0000-0000-0000FC000000}"/>
    <cellStyle name="Normal 27" xfId="179" xr:uid="{00000000-0005-0000-0000-0000FD000000}"/>
    <cellStyle name="Normal 28" xfId="180" xr:uid="{00000000-0005-0000-0000-0000FE000000}"/>
    <cellStyle name="Normal 29" xfId="181" xr:uid="{00000000-0005-0000-0000-0000FF000000}"/>
    <cellStyle name="Normal 3" xfId="20" xr:uid="{00000000-0005-0000-0000-000000010000}"/>
    <cellStyle name="Normal 3 2" xfId="183" xr:uid="{00000000-0005-0000-0000-000001010000}"/>
    <cellStyle name="Normal 3 3" xfId="182" xr:uid="{00000000-0005-0000-0000-000002010000}"/>
    <cellStyle name="Normal 3 4" xfId="281" xr:uid="{00000000-0005-0000-0000-000003010000}"/>
    <cellStyle name="Normal 3_2012 PR" xfId="184" xr:uid="{00000000-0005-0000-0000-000004010000}"/>
    <cellStyle name="Normal 30" xfId="185" xr:uid="{00000000-0005-0000-0000-000005010000}"/>
    <cellStyle name="Normal 31" xfId="186" xr:uid="{00000000-0005-0000-0000-000006010000}"/>
    <cellStyle name="Normal 32" xfId="187" xr:uid="{00000000-0005-0000-0000-000007010000}"/>
    <cellStyle name="Normal 33" xfId="188" xr:uid="{00000000-0005-0000-0000-000008010000}"/>
    <cellStyle name="Normal 34" xfId="189" xr:uid="{00000000-0005-0000-0000-000009010000}"/>
    <cellStyle name="Normal 35" xfId="190" xr:uid="{00000000-0005-0000-0000-00000A010000}"/>
    <cellStyle name="Normal 36" xfId="191" xr:uid="{00000000-0005-0000-0000-00000B010000}"/>
    <cellStyle name="Normal 37" xfId="192" xr:uid="{00000000-0005-0000-0000-00000C010000}"/>
    <cellStyle name="Normal 38" xfId="193" xr:uid="{00000000-0005-0000-0000-00000D010000}"/>
    <cellStyle name="Normal 39" xfId="194" xr:uid="{00000000-0005-0000-0000-00000E010000}"/>
    <cellStyle name="Normal 4" xfId="21" xr:uid="{00000000-0005-0000-0000-00000F010000}"/>
    <cellStyle name="Normal 4 2" xfId="195" xr:uid="{00000000-0005-0000-0000-000010010000}"/>
    <cellStyle name="Normal 40" xfId="196" xr:uid="{00000000-0005-0000-0000-000011010000}"/>
    <cellStyle name="Normal 41" xfId="197" xr:uid="{00000000-0005-0000-0000-000012010000}"/>
    <cellStyle name="Normal 42" xfId="198" xr:uid="{00000000-0005-0000-0000-000013010000}"/>
    <cellStyle name="Normal 43" xfId="199" xr:uid="{00000000-0005-0000-0000-000014010000}"/>
    <cellStyle name="Normal 44" xfId="200" xr:uid="{00000000-0005-0000-0000-000015010000}"/>
    <cellStyle name="Normal 45" xfId="201" xr:uid="{00000000-0005-0000-0000-000016010000}"/>
    <cellStyle name="Normal 46" xfId="202" xr:uid="{00000000-0005-0000-0000-000017010000}"/>
    <cellStyle name="Normal 47" xfId="203" xr:uid="{00000000-0005-0000-0000-000018010000}"/>
    <cellStyle name="Normal 48" xfId="204" xr:uid="{00000000-0005-0000-0000-000019010000}"/>
    <cellStyle name="Normal 49" xfId="205" xr:uid="{00000000-0005-0000-0000-00001A010000}"/>
    <cellStyle name="Normal 5" xfId="22" xr:uid="{00000000-0005-0000-0000-00001B010000}"/>
    <cellStyle name="Normal 5 2" xfId="206" xr:uid="{00000000-0005-0000-0000-00001C010000}"/>
    <cellStyle name="Normal 5 3" xfId="400" xr:uid="{00000000-0005-0000-0000-00001D010000}"/>
    <cellStyle name="Normal 5_2112 DF Schedule" xfId="349" xr:uid="{00000000-0005-0000-0000-00001E010000}"/>
    <cellStyle name="Normal 50" xfId="207" xr:uid="{00000000-0005-0000-0000-00001F010000}"/>
    <cellStyle name="Normal 51" xfId="208" xr:uid="{00000000-0005-0000-0000-000020010000}"/>
    <cellStyle name="Normal 52" xfId="209" xr:uid="{00000000-0005-0000-0000-000021010000}"/>
    <cellStyle name="Normal 53" xfId="210" xr:uid="{00000000-0005-0000-0000-000022010000}"/>
    <cellStyle name="Normal 54" xfId="211" xr:uid="{00000000-0005-0000-0000-000023010000}"/>
    <cellStyle name="Normal 55" xfId="212" xr:uid="{00000000-0005-0000-0000-000024010000}"/>
    <cellStyle name="Normal 56" xfId="213" xr:uid="{00000000-0005-0000-0000-000025010000}"/>
    <cellStyle name="Normal 57" xfId="214" xr:uid="{00000000-0005-0000-0000-000026010000}"/>
    <cellStyle name="Normal 58" xfId="215" xr:uid="{00000000-0005-0000-0000-000027010000}"/>
    <cellStyle name="Normal 59" xfId="216" xr:uid="{00000000-0005-0000-0000-000028010000}"/>
    <cellStyle name="Normal 6" xfId="23" xr:uid="{00000000-0005-0000-0000-000029010000}"/>
    <cellStyle name="Normal 6 2" xfId="217" xr:uid="{00000000-0005-0000-0000-00002A010000}"/>
    <cellStyle name="Normal 6 6" xfId="413" xr:uid="{E1158C85-F9ED-472A-B9C5-77235F4F3279}"/>
    <cellStyle name="Normal 60" xfId="218" xr:uid="{00000000-0005-0000-0000-00002B010000}"/>
    <cellStyle name="Normal 61" xfId="219" xr:uid="{00000000-0005-0000-0000-00002C010000}"/>
    <cellStyle name="Normal 62" xfId="220" xr:uid="{00000000-0005-0000-0000-00002D010000}"/>
    <cellStyle name="Normal 63" xfId="221" xr:uid="{00000000-0005-0000-0000-00002E010000}"/>
    <cellStyle name="Normal 64" xfId="222" xr:uid="{00000000-0005-0000-0000-00002F010000}"/>
    <cellStyle name="Normal 65" xfId="223" xr:uid="{00000000-0005-0000-0000-000030010000}"/>
    <cellStyle name="Normal 66" xfId="224" xr:uid="{00000000-0005-0000-0000-000031010000}"/>
    <cellStyle name="Normal 67" xfId="225" xr:uid="{00000000-0005-0000-0000-000032010000}"/>
    <cellStyle name="Normal 68" xfId="226" xr:uid="{00000000-0005-0000-0000-000033010000}"/>
    <cellStyle name="Normal 69" xfId="227" xr:uid="{00000000-0005-0000-0000-000034010000}"/>
    <cellStyle name="Normal 7" xfId="228" xr:uid="{00000000-0005-0000-0000-000035010000}"/>
    <cellStyle name="Normal 70" xfId="229" xr:uid="{00000000-0005-0000-0000-000036010000}"/>
    <cellStyle name="Normal 71" xfId="230" xr:uid="{00000000-0005-0000-0000-000037010000}"/>
    <cellStyle name="Normal 72" xfId="231" xr:uid="{00000000-0005-0000-0000-000038010000}"/>
    <cellStyle name="Normal 73" xfId="232" xr:uid="{00000000-0005-0000-0000-000039010000}"/>
    <cellStyle name="Normal 74" xfId="233" xr:uid="{00000000-0005-0000-0000-00003A010000}"/>
    <cellStyle name="Normal 75" xfId="234" xr:uid="{00000000-0005-0000-0000-00003B010000}"/>
    <cellStyle name="Normal 76" xfId="235" xr:uid="{00000000-0005-0000-0000-00003C010000}"/>
    <cellStyle name="Normal 77" xfId="236" xr:uid="{00000000-0005-0000-0000-00003D010000}"/>
    <cellStyle name="Normal 78" xfId="237" xr:uid="{00000000-0005-0000-0000-00003E010000}"/>
    <cellStyle name="Normal 79" xfId="238" xr:uid="{00000000-0005-0000-0000-00003F010000}"/>
    <cellStyle name="Normal 8" xfId="239" xr:uid="{00000000-0005-0000-0000-000040010000}"/>
    <cellStyle name="Normal 80" xfId="240" xr:uid="{00000000-0005-0000-0000-000041010000}"/>
    <cellStyle name="Normal 81" xfId="241" xr:uid="{00000000-0005-0000-0000-000042010000}"/>
    <cellStyle name="Normal 82" xfId="242" xr:uid="{00000000-0005-0000-0000-000043010000}"/>
    <cellStyle name="Normal 83" xfId="243" xr:uid="{00000000-0005-0000-0000-000044010000}"/>
    <cellStyle name="Normal 84" xfId="38" xr:uid="{00000000-0005-0000-0000-000045010000}"/>
    <cellStyle name="Normal 84 2" xfId="278" xr:uid="{00000000-0005-0000-0000-000046010000}"/>
    <cellStyle name="Normal 84 3" xfId="350" xr:uid="{00000000-0005-0000-0000-000047010000}"/>
    <cellStyle name="Normal 85" xfId="252" xr:uid="{00000000-0005-0000-0000-000048010000}"/>
    <cellStyle name="Normal 86" xfId="270" xr:uid="{00000000-0005-0000-0000-000049010000}"/>
    <cellStyle name="Normal 87" xfId="271" xr:uid="{00000000-0005-0000-0000-00004A010000}"/>
    <cellStyle name="Normal 88" xfId="272" xr:uid="{00000000-0005-0000-0000-00004B010000}"/>
    <cellStyle name="Normal 89" xfId="273" xr:uid="{00000000-0005-0000-0000-00004C010000}"/>
    <cellStyle name="Normal 9" xfId="244" xr:uid="{00000000-0005-0000-0000-00004D010000}"/>
    <cellStyle name="Normal 90" xfId="274" xr:uid="{00000000-0005-0000-0000-00004E010000}"/>
    <cellStyle name="Normal 91" xfId="279" xr:uid="{00000000-0005-0000-0000-00004F010000}"/>
    <cellStyle name="Normal 92" xfId="369" xr:uid="{00000000-0005-0000-0000-000050010000}"/>
    <cellStyle name="Normal 92 2" xfId="401" xr:uid="{00000000-0005-0000-0000-000051010000}"/>
    <cellStyle name="Normal 93" xfId="373" xr:uid="{00000000-0005-0000-0000-000052010000}"/>
    <cellStyle name="Normal 93 2" xfId="405" xr:uid="{00000000-0005-0000-0000-000053010000}"/>
    <cellStyle name="Normal 94" xfId="374" xr:uid="{00000000-0005-0000-0000-000054010000}"/>
    <cellStyle name="Normal 95" xfId="375" xr:uid="{00000000-0005-0000-0000-000055010000}"/>
    <cellStyle name="Normal 96" xfId="376" xr:uid="{00000000-0005-0000-0000-000056010000}"/>
    <cellStyle name="Normal 97" xfId="377" xr:uid="{00000000-0005-0000-0000-000057010000}"/>
    <cellStyle name="Normal 98" xfId="378" xr:uid="{00000000-0005-0000-0000-000058010000}"/>
    <cellStyle name="Normal 99" xfId="379" xr:uid="{00000000-0005-0000-0000-000059010000}"/>
    <cellStyle name="Normal_Book3" xfId="415" xr:uid="{B4C48001-81DD-4528-A0E0-6EE034C522CA}"/>
    <cellStyle name="Normal_Price out" xfId="4" xr:uid="{00000000-0005-0000-0000-00005C010000}"/>
    <cellStyle name="Normal_Sheet1" xfId="416" xr:uid="{D473F732-17ED-4AE9-A686-D0298B42F512}"/>
    <cellStyle name="Note" xfId="411" builtinId="10"/>
    <cellStyle name="Note 2" xfId="246" xr:uid="{00000000-0005-0000-0000-00005E010000}"/>
    <cellStyle name="Note 2 2" xfId="351" xr:uid="{00000000-0005-0000-0000-00005F010000}"/>
    <cellStyle name="Note 3" xfId="245" xr:uid="{00000000-0005-0000-0000-000060010000}"/>
    <cellStyle name="Note 3 2" xfId="352" xr:uid="{00000000-0005-0000-0000-000061010000}"/>
    <cellStyle name="Note 4" xfId="409" xr:uid="{00000000-0005-0000-0000-000062010000}"/>
    <cellStyle name="Note 6" xfId="412" xr:uid="{CCCBF242-15DF-4C64-B0F3-FEC883D5A9C9}"/>
    <cellStyle name="Notes" xfId="247" xr:uid="{00000000-0005-0000-0000-000063010000}"/>
    <cellStyle name="Output 2" xfId="249" xr:uid="{00000000-0005-0000-0000-000064010000}"/>
    <cellStyle name="Output 3" xfId="248" xr:uid="{00000000-0005-0000-0000-000065010000}"/>
    <cellStyle name="Output 4" xfId="398" xr:uid="{00000000-0005-0000-0000-000066010000}"/>
    <cellStyle name="Percent" xfId="3" builtinId="5"/>
    <cellStyle name="Percent 10" xfId="410" xr:uid="{00000000-0005-0000-0000-000068010000}"/>
    <cellStyle name="Percent 2" xfId="24" xr:uid="{00000000-0005-0000-0000-000069010000}"/>
    <cellStyle name="Percent 2 2" xfId="25" xr:uid="{00000000-0005-0000-0000-00006A010000}"/>
    <cellStyle name="Percent 2 2 2" xfId="251" xr:uid="{00000000-0005-0000-0000-00006B010000}"/>
    <cellStyle name="Percent 2 3" xfId="353" xr:uid="{00000000-0005-0000-0000-00006C010000}"/>
    <cellStyle name="Percent 2 6" xfId="26" xr:uid="{00000000-0005-0000-0000-00006D010000}"/>
    <cellStyle name="Percent 3" xfId="27" xr:uid="{00000000-0005-0000-0000-00006E010000}"/>
    <cellStyle name="Percent 3 2" xfId="28" xr:uid="{00000000-0005-0000-0000-00006F010000}"/>
    <cellStyle name="Percent 4" xfId="29" xr:uid="{00000000-0005-0000-0000-000070010000}"/>
    <cellStyle name="Percent 4 2" xfId="355" xr:uid="{00000000-0005-0000-0000-000071010000}"/>
    <cellStyle name="Percent 4 3" xfId="354" xr:uid="{00000000-0005-0000-0000-000072010000}"/>
    <cellStyle name="Percent 5" xfId="253" xr:uid="{00000000-0005-0000-0000-000073010000}"/>
    <cellStyle name="Percent 6" xfId="254" xr:uid="{00000000-0005-0000-0000-000074010000}"/>
    <cellStyle name="Percent 7" xfId="250" xr:uid="{00000000-0005-0000-0000-000075010000}"/>
    <cellStyle name="Percent 7 2" xfId="275" xr:uid="{00000000-0005-0000-0000-000076010000}"/>
    <cellStyle name="Percent 7 3" xfId="356" xr:uid="{00000000-0005-0000-0000-000077010000}"/>
    <cellStyle name="Percent 8" xfId="357" xr:uid="{00000000-0005-0000-0000-000078010000}"/>
    <cellStyle name="Percent 9" xfId="372" xr:uid="{00000000-0005-0000-0000-000079010000}"/>
    <cellStyle name="Percent 9 2" xfId="404" xr:uid="{00000000-0005-0000-0000-00007A010000}"/>
    <cellStyle name="Percent(1)" xfId="255" xr:uid="{00000000-0005-0000-0000-00007B010000}"/>
    <cellStyle name="Percent(2)" xfId="256" xr:uid="{00000000-0005-0000-0000-00007C010000}"/>
    <cellStyle name="PRM" xfId="257" xr:uid="{00000000-0005-0000-0000-00007D010000}"/>
    <cellStyle name="PRM 2" xfId="258" xr:uid="{00000000-0005-0000-0000-00007E010000}"/>
    <cellStyle name="PRM 3" xfId="259" xr:uid="{00000000-0005-0000-0000-00007F010000}"/>
    <cellStyle name="PRM_2011-11" xfId="260" xr:uid="{00000000-0005-0000-0000-000080010000}"/>
    <cellStyle name="PS_Comma" xfId="30" xr:uid="{00000000-0005-0000-0000-000081010000}"/>
    <cellStyle name="PSChar" xfId="31" xr:uid="{00000000-0005-0000-0000-000082010000}"/>
    <cellStyle name="PSDate" xfId="32" xr:uid="{00000000-0005-0000-0000-000083010000}"/>
    <cellStyle name="PSDec" xfId="33" xr:uid="{00000000-0005-0000-0000-000084010000}"/>
    <cellStyle name="PSHeading" xfId="34" xr:uid="{00000000-0005-0000-0000-000085010000}"/>
    <cellStyle name="PSInt" xfId="35" xr:uid="{00000000-0005-0000-0000-000086010000}"/>
    <cellStyle name="PSSpacer" xfId="36" xr:uid="{00000000-0005-0000-0000-000087010000}"/>
    <cellStyle name="STYL0 - Style1" xfId="358" xr:uid="{00000000-0005-0000-0000-000088010000}"/>
    <cellStyle name="STYL1 - Style2" xfId="359" xr:uid="{00000000-0005-0000-0000-000089010000}"/>
    <cellStyle name="STYL2 - Style3" xfId="360" xr:uid="{00000000-0005-0000-0000-00008A010000}"/>
    <cellStyle name="STYL3 - Style4" xfId="361" xr:uid="{00000000-0005-0000-0000-00008B010000}"/>
    <cellStyle name="STYL4 - Style5" xfId="362" xr:uid="{00000000-0005-0000-0000-00008C010000}"/>
    <cellStyle name="STYL5 - Style6" xfId="363" xr:uid="{00000000-0005-0000-0000-00008D010000}"/>
    <cellStyle name="STYL6 - Style7" xfId="364" xr:uid="{00000000-0005-0000-0000-00008E010000}"/>
    <cellStyle name="STYL7 - Style8" xfId="365" xr:uid="{00000000-0005-0000-0000-00008F010000}"/>
    <cellStyle name="Style 1" xfId="261" xr:uid="{00000000-0005-0000-0000-000090010000}"/>
    <cellStyle name="Style 1 2" xfId="262" xr:uid="{00000000-0005-0000-0000-000091010000}"/>
    <cellStyle name="STYLE1" xfId="263" xr:uid="{00000000-0005-0000-0000-000092010000}"/>
    <cellStyle name="sub heading" xfId="366" xr:uid="{00000000-0005-0000-0000-000093010000}"/>
    <cellStyle name="Title 2" xfId="265" xr:uid="{00000000-0005-0000-0000-000094010000}"/>
    <cellStyle name="Title 3" xfId="264" xr:uid="{00000000-0005-0000-0000-000095010000}"/>
    <cellStyle name="title 4" xfId="399" xr:uid="{00000000-0005-0000-0000-000096010000}"/>
    <cellStyle name="Total 2" xfId="267" xr:uid="{00000000-0005-0000-0000-000097010000}"/>
    <cellStyle name="Total 2 2" xfId="367" xr:uid="{00000000-0005-0000-0000-000098010000}"/>
    <cellStyle name="Total 3" xfId="266" xr:uid="{00000000-0005-0000-0000-000099010000}"/>
    <cellStyle name="Total 3 2" xfId="368" xr:uid="{00000000-0005-0000-0000-00009A010000}"/>
    <cellStyle name="Warning Text 2" xfId="269" xr:uid="{00000000-0005-0000-0000-00009B010000}"/>
    <cellStyle name="Warning Text 3" xfId="268" xr:uid="{00000000-0005-0000-0000-00009C010000}"/>
    <cellStyle name="WM_STANDARD" xfId="37" xr:uid="{00000000-0005-0000-0000-00009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0</xdr:row>
      <xdr:rowOff>83820</xdr:rowOff>
    </xdr:from>
    <xdr:to>
      <xdr:col>5</xdr:col>
      <xdr:colOff>1280160</xdr:colOff>
      <xdr:row>1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BB80CB-C3D8-4426-96DE-AF8F51D467DC}"/>
            </a:ext>
          </a:extLst>
        </xdr:cNvPr>
        <xdr:cNvSpPr txBox="1"/>
      </xdr:nvSpPr>
      <xdr:spPr>
        <a:xfrm>
          <a:off x="2193290" y="83820"/>
          <a:ext cx="1531620" cy="22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Updated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/Accounting/WUTC/2022%20General%20rate%20cases/4183/WUTC%20Model%20-%204183%20v2%20Staff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n-Regulated Operations"/>
      <sheetName val="G Cert Financial"/>
      <sheetName val="RS Cap Struct."/>
      <sheetName val="LG Public 2018 V5.2c"/>
      <sheetName val="LG Public 2018 V5.2c MSW"/>
      <sheetName val="LG Public 2018 V5.2c RCY"/>
      <sheetName val="LG Public 2018 V5.2c YW"/>
      <sheetName val="LG Public 2018 V5.2c MF RCY"/>
      <sheetName val="Alloc Summary"/>
      <sheetName val="Proforma"/>
      <sheetName val="PF Restate"/>
      <sheetName val="PF Adj"/>
      <sheetName val="PR vs GL"/>
      <sheetName val="Disposal Summary (with IC)"/>
      <sheetName val="King CO MSW Increase"/>
      <sheetName val="MRF Increase Proforma"/>
      <sheetName val="Permit Fees Recap"/>
      <sheetName val="HWFs"/>
      <sheetName val="PR Narrative"/>
      <sheetName val="Summary &amp; PF"/>
      <sheetName val="Summary Calc &amp; Lookup"/>
      <sheetName val="RSA Labor Expense"/>
      <sheetName val="2021-2022 Admin Time"/>
      <sheetName val="2020-2021 Admin Time"/>
      <sheetName val="PR Instructions"/>
      <sheetName val="Summary PR Data"/>
      <sheetName val="Manual PR Entries"/>
      <sheetName val="Lookup Data &gt;"/>
      <sheetName val="Union Wage &amp; Pension"/>
      <sheetName val="H&amp;W"/>
      <sheetName val="L&amp;I"/>
      <sheetName val="Rev Narrative &amp; Instructions"/>
      <sheetName val="Revenue Lookup"/>
      <sheetName val="7R Summary"/>
      <sheetName val="OTH Rev Sumry"/>
      <sheetName val="SQL Revenue Analysis"/>
      <sheetName val="Rev Ref Tables"/>
      <sheetName val="Price Out Summ"/>
      <sheetName val="Resi Price Out"/>
      <sheetName val="Comm (+MF) Price Out"/>
      <sheetName val="IND (+MF) Price Out"/>
      <sheetName val="IND Hrs Data"/>
      <sheetName val="Truck Hrs Sum"/>
      <sheetName val="Route Hrs Instructions"/>
      <sheetName val="Resi Com Hours Summary"/>
      <sheetName val="Pivot Rte Hours"/>
      <sheetName val="Detail"/>
      <sheetName val="Operation"/>
      <sheetName val="Resi Update"/>
      <sheetName val="Com Rte Split"/>
      <sheetName val="Resi Hours Summary"/>
      <sheetName val="Resi Route Hours Detail"/>
      <sheetName val="Resi Allocation"/>
      <sheetName val="Comm Hours Summary"/>
      <sheetName val="Comm Route Hours Detail"/>
      <sheetName val="Comm Route MF Rec"/>
      <sheetName val="Comm Allocation"/>
      <sheetName val="IND Hrs Sum"/>
      <sheetName val="IND Sum Confirm"/>
      <sheetName val="Route Analysis"/>
      <sheetName val="Truck Use Pivot"/>
      <sheetName val="Contract Ref Table"/>
      <sheetName val="Fuel Calc"/>
      <sheetName val="Fuel Alloc"/>
      <sheetName val="Fuel Invoice Data Entry"/>
      <sheetName val="DieselInvoiceSummary"/>
      <sheetName val="176 v 183 CNG Trucks"/>
      <sheetName val="Disposal Narrative"/>
      <sheetName val="Disposal Adjustment"/>
      <sheetName val="Summary Disposal Data"/>
      <sheetName val="Disposal Ref Tables"/>
      <sheetName val="Ave Inv. Narrative"/>
      <sheetName val="Ave Inv. Summary"/>
      <sheetName val="AM260 Asset Listing"/>
      <sheetName val="4183 CNG Station Asset"/>
      <sheetName val="AM260 Data"/>
      <sheetName val="Asset Type Tables"/>
      <sheetName val="Cont Count Narrative"/>
      <sheetName val="Container Counts"/>
      <sheetName val="Cont Count Data"/>
      <sheetName val="Cont Ref Tables"/>
      <sheetName val="InfoPro Container SQL Narrative"/>
      <sheetName val="Tons Master Report &gt;"/>
      <sheetName val="Tons File Summary"/>
      <sheetName val="Resi MSW Tons"/>
      <sheetName val="Resi Recycle Tons"/>
      <sheetName val="Resi Yard Waste Tons"/>
      <sheetName val="4183 Com-MF-Resi Tons"/>
      <sheetName val="4183 Multi-Family Yards"/>
      <sheetName val="4183 Commercial Yards"/>
      <sheetName val="4183 Resi Counts"/>
      <sheetName val="Renton IND"/>
      <sheetName val="RSA Spend"/>
      <sheetName val="CoS"/>
      <sheetName val="Meeks"/>
      <sheetName val="Essbase Narrative"/>
      <sheetName val="P&amp;L - ITD3 (Acct Desc)"/>
      <sheetName val="P&amp;L - ITD3 (Acct #)"/>
      <sheetName val="BS - BTD3"/>
      <sheetName val="Stats - XOST (IND, COM, RES)"/>
      <sheetName val="P&amp;L - ITD2 Aff. Co. MRF"/>
      <sheetName val="BS - BTD2 Aff. Co. MRF"/>
      <sheetName val="Filing Specific Tabs &gt;"/>
      <sheetName val="SeaTac Contract Financials"/>
      <sheetName val="G-12 FS"/>
      <sheetName val="GL for WRRA Dues"/>
      <sheetName val="Reg City Taxes"/>
      <sheetName val="Truck Depr Summary"/>
      <sheetName val="Month by Month"/>
      <sheetName val="Truck Listing 4176"/>
      <sheetName val="AM260 41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I6">
            <v>8523.4844193902973</v>
          </cell>
          <cell r="J6">
            <v>372.96238682713351</v>
          </cell>
        </row>
        <row r="8">
          <cell r="I8">
            <v>5542.783092809831</v>
          </cell>
          <cell r="J8">
            <v>165.99681067802905</v>
          </cell>
        </row>
        <row r="12">
          <cell r="I12">
            <v>3249.9893707189817</v>
          </cell>
          <cell r="J12">
            <v>64.614942465449857</v>
          </cell>
        </row>
      </sheetData>
      <sheetData sheetId="46"/>
      <sheetData sheetId="47"/>
      <sheetData sheetId="48"/>
      <sheetData sheetId="49"/>
      <sheetData sheetId="50"/>
      <sheetData sheetId="51">
        <row r="7">
          <cell r="E7">
            <v>1122160.5999999999</v>
          </cell>
          <cell r="F7">
            <v>272132.8</v>
          </cell>
        </row>
        <row r="8">
          <cell r="E8">
            <v>654399.6</v>
          </cell>
          <cell r="F8">
            <v>218888.8</v>
          </cell>
        </row>
        <row r="9">
          <cell r="E9">
            <v>638905</v>
          </cell>
          <cell r="F9">
            <v>162658.79999999999</v>
          </cell>
        </row>
        <row r="10">
          <cell r="D10">
            <v>3069145.5999999996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obinson, Kristen" id="{6C433A13-11D9-4AFC-A40E-2307EF5E37CA}" userId="S::robinkr@repsrv.com::e7b84550-ed61-4ba0-8fdc-d8d3296656b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69" dT="2021-12-28T21:02:23.65" personId="{6C433A13-11D9-4AFC-A40E-2307EF5E37CA}" id="{64330BA1-876F-45C6-9F15-F6F22B4B18A6}">
    <text>Entered 0 for DIV0 Error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opLeftCell="A22" workbookViewId="0">
      <selection activeCell="D31" sqref="D31"/>
    </sheetView>
  </sheetViews>
  <sheetFormatPr defaultColWidth="9.140625" defaultRowHeight="15"/>
  <cols>
    <col min="1" max="1" width="36.42578125" style="3" bestFit="1" customWidth="1"/>
    <col min="2" max="2" width="22.140625" style="3" bestFit="1" customWidth="1"/>
    <col min="3" max="3" width="19.5703125" style="3" customWidth="1"/>
    <col min="4" max="4" width="10.5703125" style="3" bestFit="1" customWidth="1"/>
    <col min="5" max="5" width="8.85546875" style="3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288" t="s">
        <v>19</v>
      </c>
      <c r="B1" s="288"/>
      <c r="C1" s="288"/>
      <c r="D1" s="288"/>
      <c r="E1" s="288"/>
      <c r="F1" s="288"/>
      <c r="G1" s="288"/>
      <c r="H1" s="288"/>
    </row>
    <row r="2" spans="1:8">
      <c r="A2" s="3" t="s">
        <v>59</v>
      </c>
      <c r="B2" s="9" t="s">
        <v>46</v>
      </c>
      <c r="C2" s="9" t="s">
        <v>47</v>
      </c>
      <c r="D2" s="9" t="s">
        <v>48</v>
      </c>
      <c r="E2" s="10" t="s">
        <v>50</v>
      </c>
      <c r="F2" s="10" t="s">
        <v>51</v>
      </c>
      <c r="G2" s="10" t="s">
        <v>52</v>
      </c>
      <c r="H2" s="9" t="s">
        <v>55</v>
      </c>
    </row>
    <row r="3" spans="1:8">
      <c r="A3" s="3" t="s">
        <v>56</v>
      </c>
      <c r="B3" s="1">
        <f>52*5/12</f>
        <v>21.666666666666668</v>
      </c>
      <c r="C3" s="11">
        <f>$B$3*2</f>
        <v>43.333333333333336</v>
      </c>
      <c r="D3" s="11">
        <f>$B$3*3</f>
        <v>65</v>
      </c>
      <c r="E3" s="11">
        <f>$B$3*4</f>
        <v>86.666666666666671</v>
      </c>
      <c r="F3" s="11">
        <f>$B$3*5</f>
        <v>108.33333333333334</v>
      </c>
      <c r="G3" s="11">
        <f>$B$3*6</f>
        <v>130</v>
      </c>
      <c r="H3" s="11">
        <f>$B$3*7</f>
        <v>151.66666666666669</v>
      </c>
    </row>
    <row r="4" spans="1:8">
      <c r="A4" s="3" t="s">
        <v>91</v>
      </c>
      <c r="B4" s="1">
        <f>52*4/12</f>
        <v>17.333333333333332</v>
      </c>
      <c r="C4" s="11">
        <f>$B$4*2</f>
        <v>34.666666666666664</v>
      </c>
      <c r="D4" s="11">
        <f>$B$4*3</f>
        <v>52</v>
      </c>
      <c r="E4" s="11">
        <f>$B$4*4</f>
        <v>69.333333333333329</v>
      </c>
      <c r="F4" s="11">
        <f>$B$4*5</f>
        <v>86.666666666666657</v>
      </c>
      <c r="G4" s="11">
        <f>$B$4*6</f>
        <v>104</v>
      </c>
      <c r="H4" s="11">
        <f>$B$4*7</f>
        <v>121.33333333333333</v>
      </c>
    </row>
    <row r="5" spans="1:8">
      <c r="A5" s="3" t="s">
        <v>57</v>
      </c>
      <c r="B5" s="1">
        <f>52*3/12</f>
        <v>13</v>
      </c>
      <c r="C5" s="11">
        <f>$B$5*2</f>
        <v>26</v>
      </c>
      <c r="D5" s="11">
        <f>$B$5*3</f>
        <v>39</v>
      </c>
      <c r="E5" s="11">
        <f>$B$5*4</f>
        <v>52</v>
      </c>
      <c r="F5" s="11">
        <f>$B$5*5</f>
        <v>65</v>
      </c>
      <c r="G5" s="11">
        <f>$B$5*6</f>
        <v>78</v>
      </c>
      <c r="H5" s="11">
        <f>$B$5*7</f>
        <v>91</v>
      </c>
    </row>
    <row r="6" spans="1:8">
      <c r="A6" s="3" t="s">
        <v>58</v>
      </c>
      <c r="B6" s="1">
        <f>52*2/12</f>
        <v>8.6666666666666661</v>
      </c>
      <c r="C6" s="12">
        <f>$B$6*2</f>
        <v>17.333333333333332</v>
      </c>
      <c r="D6" s="12">
        <f>$B$6*3</f>
        <v>26</v>
      </c>
      <c r="E6" s="12">
        <f>$B$6*4</f>
        <v>34.666666666666664</v>
      </c>
      <c r="F6" s="12">
        <f>$B$6*5</f>
        <v>43.333333333333329</v>
      </c>
      <c r="G6" s="12">
        <f>$B$6*6</f>
        <v>52</v>
      </c>
      <c r="H6" s="12">
        <f>$B$6*7</f>
        <v>60.666666666666664</v>
      </c>
    </row>
    <row r="7" spans="1:8">
      <c r="A7" s="3" t="s">
        <v>22</v>
      </c>
      <c r="B7" s="1">
        <f>52/12</f>
        <v>4.333333333333333</v>
      </c>
      <c r="C7" s="12">
        <f>$B$7*2</f>
        <v>8.6666666666666661</v>
      </c>
      <c r="D7" s="12">
        <f>$B$7*3</f>
        <v>13</v>
      </c>
      <c r="E7" s="12">
        <f>$B$7*4</f>
        <v>17.333333333333332</v>
      </c>
      <c r="F7" s="12">
        <f>$B$7*5</f>
        <v>21.666666666666664</v>
      </c>
      <c r="G7" s="12">
        <f>$B$7*6</f>
        <v>26</v>
      </c>
      <c r="H7" s="12">
        <f>$B$7*7</f>
        <v>30.333333333333332</v>
      </c>
    </row>
    <row r="8" spans="1:8">
      <c r="A8" s="3" t="s">
        <v>24</v>
      </c>
      <c r="B8" s="1">
        <f>26/12</f>
        <v>2.1666666666666665</v>
      </c>
      <c r="C8" s="12">
        <f>$B$8*2</f>
        <v>4.333333333333333</v>
      </c>
      <c r="D8" s="12">
        <f>$B$8*3</f>
        <v>6.5</v>
      </c>
      <c r="E8" s="12">
        <f>$B$8*4</f>
        <v>8.6666666666666661</v>
      </c>
      <c r="F8" s="12">
        <f>$B$8*5</f>
        <v>10.833333333333332</v>
      </c>
      <c r="G8" s="12">
        <f>$B$8*6</f>
        <v>13</v>
      </c>
      <c r="H8" s="12">
        <f>$B$8*7</f>
        <v>15.166666666666666</v>
      </c>
    </row>
    <row r="9" spans="1:8">
      <c r="A9" s="3" t="s">
        <v>23</v>
      </c>
      <c r="B9" s="1">
        <f>12/12</f>
        <v>1</v>
      </c>
      <c r="C9" s="12">
        <f>$B$9*2</f>
        <v>2</v>
      </c>
      <c r="D9" s="12">
        <f>$B$9*3</f>
        <v>3</v>
      </c>
      <c r="E9" s="12">
        <f>$B$9*4</f>
        <v>4</v>
      </c>
      <c r="F9" s="12">
        <f>$B$9*5</f>
        <v>5</v>
      </c>
      <c r="G9" s="12">
        <f>$B$9*6</f>
        <v>6</v>
      </c>
      <c r="H9" s="12">
        <f>$B$9*7</f>
        <v>7</v>
      </c>
    </row>
    <row r="10" spans="1:8">
      <c r="B10" s="1"/>
      <c r="C10" s="12"/>
      <c r="D10" s="12"/>
      <c r="E10" s="12"/>
      <c r="F10" s="12"/>
      <c r="G10" s="12"/>
      <c r="H10" s="12"/>
    </row>
    <row r="11" spans="1:8">
      <c r="A11" s="288" t="s">
        <v>11</v>
      </c>
      <c r="B11" s="288"/>
      <c r="C11" s="26"/>
      <c r="D11" s="12"/>
      <c r="E11" s="12"/>
      <c r="F11" s="12"/>
      <c r="G11" s="12"/>
      <c r="H11" s="12"/>
    </row>
    <row r="12" spans="1:8">
      <c r="A12" s="24" t="s">
        <v>54</v>
      </c>
      <c r="B12" s="28" t="s">
        <v>84</v>
      </c>
      <c r="C12" s="26"/>
      <c r="D12" s="12"/>
      <c r="E12" s="12"/>
      <c r="F12" s="12"/>
      <c r="G12" s="12"/>
      <c r="H12" s="12"/>
    </row>
    <row r="13" spans="1:8">
      <c r="A13" s="27" t="s">
        <v>85</v>
      </c>
      <c r="B13" s="25">
        <v>20</v>
      </c>
      <c r="C13" s="26"/>
      <c r="D13" s="12"/>
      <c r="E13" s="12"/>
      <c r="F13" s="12"/>
      <c r="G13" s="12"/>
      <c r="H13" s="12"/>
    </row>
    <row r="14" spans="1:8">
      <c r="A14" s="27" t="s">
        <v>60</v>
      </c>
      <c r="B14" s="25">
        <v>34</v>
      </c>
      <c r="C14" s="26"/>
      <c r="D14" s="12"/>
      <c r="E14" s="12"/>
      <c r="F14" s="12"/>
      <c r="G14" s="12"/>
      <c r="H14" s="12"/>
    </row>
    <row r="15" spans="1:8">
      <c r="A15" s="27" t="s">
        <v>61</v>
      </c>
      <c r="B15" s="25">
        <v>51</v>
      </c>
      <c r="C15" s="26"/>
      <c r="D15" s="12"/>
      <c r="E15" s="12"/>
      <c r="F15" s="12"/>
      <c r="G15" s="12"/>
      <c r="H15" s="12"/>
    </row>
    <row r="16" spans="1:8">
      <c r="A16" s="27" t="s">
        <v>62</v>
      </c>
      <c r="B16" s="25">
        <v>77</v>
      </c>
      <c r="C16" s="26"/>
      <c r="D16" s="12"/>
      <c r="E16" s="12"/>
      <c r="F16" s="3" t="s">
        <v>20</v>
      </c>
      <c r="G16" s="5">
        <v>2000</v>
      </c>
      <c r="H16" s="12"/>
    </row>
    <row r="17" spans="1:8">
      <c r="A17" s="27" t="s">
        <v>63</v>
      </c>
      <c r="B17" s="25">
        <v>97</v>
      </c>
      <c r="C17" s="26"/>
      <c r="D17" s="12"/>
      <c r="E17" s="12"/>
      <c r="F17" s="3" t="s">
        <v>21</v>
      </c>
      <c r="G17" s="14" t="s">
        <v>49</v>
      </c>
      <c r="H17" s="12"/>
    </row>
    <row r="18" spans="1:8">
      <c r="A18" s="27" t="s">
        <v>64</v>
      </c>
      <c r="B18" s="25">
        <v>117</v>
      </c>
      <c r="C18" s="26"/>
      <c r="D18" s="12"/>
      <c r="E18" s="12"/>
      <c r="H18" s="12"/>
    </row>
    <row r="19" spans="1:8">
      <c r="A19" s="27" t="s">
        <v>65</v>
      </c>
      <c r="B19" s="25">
        <v>157</v>
      </c>
      <c r="C19" s="26"/>
      <c r="D19" s="12"/>
      <c r="E19" s="12"/>
      <c r="F19" s="7"/>
      <c r="G19" s="8"/>
      <c r="H19" s="12"/>
    </row>
    <row r="20" spans="1:8" s="22" customFormat="1">
      <c r="A20" s="46" t="s">
        <v>95</v>
      </c>
      <c r="B20" s="37">
        <v>37</v>
      </c>
      <c r="C20" s="45" t="s">
        <v>86</v>
      </c>
      <c r="D20" s="26"/>
      <c r="E20" s="26"/>
      <c r="F20" s="7"/>
      <c r="G20" s="8"/>
      <c r="H20" s="26"/>
    </row>
    <row r="21" spans="1:8">
      <c r="A21" s="27" t="s">
        <v>66</v>
      </c>
      <c r="B21" s="25">
        <v>47</v>
      </c>
      <c r="C21" s="26"/>
      <c r="D21" s="12"/>
      <c r="E21" s="12"/>
      <c r="F21" s="12"/>
      <c r="G21" s="12"/>
      <c r="H21" s="12"/>
    </row>
    <row r="22" spans="1:8">
      <c r="A22" s="27" t="s">
        <v>67</v>
      </c>
      <c r="B22" s="25">
        <v>68</v>
      </c>
      <c r="C22" s="26"/>
      <c r="D22" s="12"/>
      <c r="E22" s="12"/>
      <c r="F22" s="12"/>
      <c r="G22" s="12"/>
      <c r="H22" s="12"/>
    </row>
    <row r="23" spans="1:8">
      <c r="A23" s="27" t="s">
        <v>68</v>
      </c>
      <c r="B23" s="25">
        <v>34</v>
      </c>
      <c r="C23" s="26"/>
      <c r="D23" s="12"/>
      <c r="E23" s="12"/>
      <c r="F23" s="12"/>
      <c r="G23" s="12"/>
      <c r="H23" s="12"/>
    </row>
    <row r="24" spans="1:8">
      <c r="A24" s="27" t="s">
        <v>32</v>
      </c>
      <c r="B24" s="25">
        <v>34</v>
      </c>
      <c r="C24" s="26"/>
      <c r="D24" s="12"/>
      <c r="E24" s="12"/>
      <c r="F24" s="12"/>
      <c r="G24" s="12"/>
      <c r="H24" s="12"/>
    </row>
    <row r="25" spans="1:8">
      <c r="A25" s="24" t="s">
        <v>69</v>
      </c>
      <c r="B25" s="25"/>
      <c r="C25" s="26"/>
      <c r="D25" s="12"/>
      <c r="E25" s="12"/>
      <c r="F25" s="12"/>
      <c r="G25" s="12"/>
      <c r="H25" s="12"/>
    </row>
    <row r="26" spans="1:8">
      <c r="A26" s="27" t="s">
        <v>70</v>
      </c>
      <c r="B26" s="25">
        <v>29</v>
      </c>
      <c r="C26" s="26"/>
      <c r="D26" s="12"/>
      <c r="E26" s="12"/>
      <c r="F26" s="12"/>
      <c r="G26" s="12"/>
      <c r="H26" s="12"/>
    </row>
    <row r="27" spans="1:8">
      <c r="A27" s="27" t="s">
        <v>71</v>
      </c>
      <c r="B27" s="25">
        <v>175</v>
      </c>
      <c r="C27" s="26"/>
      <c r="D27" s="12"/>
      <c r="E27" s="12"/>
      <c r="F27" s="12"/>
      <c r="G27" s="12"/>
      <c r="H27" s="12"/>
    </row>
    <row r="28" spans="1:8">
      <c r="A28" s="27" t="s">
        <v>72</v>
      </c>
      <c r="B28" s="25">
        <v>250</v>
      </c>
      <c r="C28" s="26"/>
      <c r="D28" s="12"/>
      <c r="E28" s="12"/>
      <c r="F28" s="12"/>
      <c r="G28" s="12"/>
      <c r="H28" s="12"/>
    </row>
    <row r="29" spans="1:8">
      <c r="A29" s="27" t="s">
        <v>73</v>
      </c>
      <c r="B29" s="25">
        <v>324</v>
      </c>
      <c r="C29" s="26"/>
      <c r="D29" s="12"/>
      <c r="E29" s="12"/>
      <c r="F29" s="12"/>
      <c r="G29" s="12"/>
      <c r="H29" s="12"/>
    </row>
    <row r="30" spans="1:8">
      <c r="A30" s="27" t="s">
        <v>74</v>
      </c>
      <c r="B30" s="25">
        <v>473</v>
      </c>
      <c r="C30" s="26"/>
      <c r="D30" s="12"/>
      <c r="E30" s="12"/>
      <c r="F30" s="12"/>
      <c r="G30" s="12"/>
      <c r="H30" s="12"/>
    </row>
    <row r="31" spans="1:8">
      <c r="A31" s="27" t="s">
        <v>75</v>
      </c>
      <c r="B31" s="25">
        <v>613</v>
      </c>
      <c r="C31" s="26"/>
      <c r="D31" s="12"/>
      <c r="E31" s="12"/>
      <c r="F31" s="12"/>
      <c r="G31" s="12"/>
      <c r="H31" s="12"/>
    </row>
    <row r="32" spans="1:8">
      <c r="A32" s="27" t="s">
        <v>76</v>
      </c>
      <c r="B32" s="25">
        <v>840</v>
      </c>
      <c r="C32" s="26"/>
      <c r="D32" s="12"/>
      <c r="E32" s="12"/>
      <c r="F32" s="12"/>
      <c r="G32" s="12"/>
      <c r="H32" s="12"/>
    </row>
    <row r="33" spans="1:8">
      <c r="A33" s="27" t="s">
        <v>77</v>
      </c>
      <c r="B33" s="25">
        <v>980</v>
      </c>
      <c r="C33" s="26"/>
      <c r="D33" s="12"/>
      <c r="E33" s="12"/>
      <c r="F33" s="12"/>
      <c r="G33" s="12"/>
      <c r="H33" s="12"/>
    </row>
    <row r="34" spans="1:8">
      <c r="A34" s="27" t="s">
        <v>92</v>
      </c>
      <c r="B34" s="25">
        <v>482</v>
      </c>
      <c r="C34" s="26" t="s">
        <v>86</v>
      </c>
      <c r="D34" s="12"/>
      <c r="E34" s="12"/>
      <c r="F34" s="12"/>
      <c r="G34" s="12"/>
      <c r="H34" s="12"/>
    </row>
    <row r="35" spans="1:8">
      <c r="A35" s="27" t="s">
        <v>93</v>
      </c>
      <c r="B35" s="25">
        <v>689</v>
      </c>
      <c r="C35" s="26" t="s">
        <v>86</v>
      </c>
      <c r="D35" s="12"/>
      <c r="E35" s="12"/>
      <c r="F35" s="12"/>
      <c r="G35" s="12"/>
      <c r="H35" s="12"/>
    </row>
    <row r="36" spans="1:8" s="22" customFormat="1">
      <c r="A36" s="27" t="s">
        <v>79</v>
      </c>
      <c r="B36" s="25">
        <v>892</v>
      </c>
      <c r="C36" s="26" t="s">
        <v>86</v>
      </c>
      <c r="D36" s="23"/>
      <c r="E36" s="23"/>
      <c r="F36" s="23"/>
      <c r="G36" s="23"/>
      <c r="H36" s="23"/>
    </row>
    <row r="37" spans="1:8" s="22" customFormat="1">
      <c r="A37" s="27" t="s">
        <v>78</v>
      </c>
      <c r="B37" s="25">
        <v>1301</v>
      </c>
      <c r="C37" s="26"/>
      <c r="D37" s="23"/>
      <c r="E37" s="23"/>
      <c r="F37" s="23"/>
      <c r="G37" s="23"/>
      <c r="H37" s="23"/>
    </row>
    <row r="38" spans="1:8" s="22" customFormat="1">
      <c r="A38" s="27" t="s">
        <v>80</v>
      </c>
      <c r="B38" s="25">
        <v>1686</v>
      </c>
      <c r="C38" s="26"/>
      <c r="D38" s="23"/>
      <c r="E38" s="23"/>
      <c r="F38" s="23"/>
      <c r="G38" s="23"/>
      <c r="H38" s="23"/>
    </row>
    <row r="39" spans="1:8" s="22" customFormat="1">
      <c r="A39" s="27" t="s">
        <v>81</v>
      </c>
      <c r="B39" s="25">
        <v>2046</v>
      </c>
      <c r="C39" s="26"/>
      <c r="D39" s="23"/>
      <c r="E39" s="23"/>
      <c r="F39" s="23"/>
      <c r="G39" s="23"/>
      <c r="H39" s="23"/>
    </row>
    <row r="40" spans="1:8" s="22" customFormat="1">
      <c r="A40" s="27" t="s">
        <v>82</v>
      </c>
      <c r="B40" s="25">
        <v>2310</v>
      </c>
      <c r="C40" s="26"/>
      <c r="D40" s="23"/>
      <c r="E40" s="23"/>
      <c r="F40" s="23"/>
      <c r="G40" s="23"/>
      <c r="H40" s="23"/>
    </row>
    <row r="41" spans="1:8" s="22" customFormat="1">
      <c r="A41" s="27" t="s">
        <v>94</v>
      </c>
      <c r="B41" s="25">
        <v>2800</v>
      </c>
      <c r="C41" s="26" t="s">
        <v>86</v>
      </c>
      <c r="D41" s="23"/>
      <c r="E41" s="23"/>
      <c r="F41" s="23"/>
      <c r="G41" s="23"/>
      <c r="H41" s="23"/>
    </row>
    <row r="42" spans="1:8" s="22" customFormat="1">
      <c r="A42" s="27" t="s">
        <v>83</v>
      </c>
      <c r="B42" s="25">
        <v>125</v>
      </c>
      <c r="C42" s="26"/>
      <c r="D42" s="23"/>
      <c r="E42" s="23"/>
      <c r="F42" s="23"/>
      <c r="G42" s="23"/>
      <c r="H42" s="23"/>
    </row>
    <row r="43" spans="1:8">
      <c r="B43" s="97" t="s">
        <v>97</v>
      </c>
      <c r="C43" s="97"/>
      <c r="D43" s="97"/>
    </row>
    <row r="46" spans="1:8">
      <c r="A46" s="21" t="s">
        <v>99</v>
      </c>
      <c r="B46" s="19" t="s">
        <v>6</v>
      </c>
      <c r="C46" s="19" t="s">
        <v>7</v>
      </c>
      <c r="F46" s="289" t="s">
        <v>27</v>
      </c>
      <c r="G46" s="289"/>
    </row>
    <row r="47" spans="1:8">
      <c r="A47" s="15" t="s">
        <v>8</v>
      </c>
      <c r="B47" s="144">
        <v>154.02000000000001</v>
      </c>
      <c r="C47" s="145">
        <f>B47/2000</f>
        <v>7.7010000000000009E-2</v>
      </c>
      <c r="F47" s="3" t="s">
        <v>28</v>
      </c>
      <c r="G47" s="168">
        <f>0.0175</f>
        <v>1.7500000000000002E-2</v>
      </c>
    </row>
    <row r="48" spans="1:8">
      <c r="A48" s="15" t="s">
        <v>9</v>
      </c>
      <c r="B48" s="143">
        <v>168.68</v>
      </c>
      <c r="C48" s="146">
        <f>B48/2000</f>
        <v>8.4339999999999998E-2</v>
      </c>
      <c r="F48" s="3" t="s">
        <v>29</v>
      </c>
      <c r="G48" s="169">
        <v>5.1000000000000004E-3</v>
      </c>
    </row>
    <row r="49" spans="1:7">
      <c r="A49" s="13" t="s">
        <v>10</v>
      </c>
      <c r="B49" s="144">
        <f>B48-B47</f>
        <v>14.659999999999997</v>
      </c>
      <c r="C49" s="147">
        <f>C48-C47</f>
        <v>7.3299999999999893E-3</v>
      </c>
      <c r="F49" s="3" t="s">
        <v>53</v>
      </c>
      <c r="G49" s="170">
        <v>6.0000000000000001E-3</v>
      </c>
    </row>
    <row r="50" spans="1:7">
      <c r="F50" s="3" t="s">
        <v>17</v>
      </c>
      <c r="G50" s="16">
        <f>SUM(G47:G49)</f>
        <v>2.86E-2</v>
      </c>
    </row>
    <row r="51" spans="1:7">
      <c r="B51" s="20" t="str">
        <f>A46</f>
        <v>King County</v>
      </c>
    </row>
    <row r="52" spans="1:7">
      <c r="A52" s="3" t="s">
        <v>4</v>
      </c>
      <c r="B52" s="17">
        <f>B49</f>
        <v>14.659999999999997</v>
      </c>
      <c r="F52" s="3" t="s">
        <v>30</v>
      </c>
      <c r="G52" s="18">
        <f>1-G50</f>
        <v>0.97140000000000004</v>
      </c>
    </row>
    <row r="53" spans="1:7">
      <c r="A53" s="3" t="s">
        <v>26</v>
      </c>
      <c r="B53" s="17">
        <f>B52/$G$52</f>
        <v>15.091620341774753</v>
      </c>
    </row>
    <row r="54" spans="1:7">
      <c r="A54" s="3" t="s">
        <v>25</v>
      </c>
      <c r="B54" s="6">
        <f>'Staff Calcs '!D127</f>
        <v>5090</v>
      </c>
    </row>
    <row r="55" spans="1:7">
      <c r="A55" s="2" t="s">
        <v>31</v>
      </c>
      <c r="B55" s="4">
        <f>B53*B54</f>
        <v>76816.347539633498</v>
      </c>
    </row>
    <row r="58" spans="1:7" ht="15.75" thickBot="1"/>
    <row r="59" spans="1:7">
      <c r="A59" s="82" t="s">
        <v>89</v>
      </c>
      <c r="B59" s="83" t="s">
        <v>87</v>
      </c>
      <c r="D59" s="17"/>
    </row>
    <row r="60" spans="1:7">
      <c r="A60" s="84" t="s">
        <v>88</v>
      </c>
      <c r="B60" s="85">
        <f>-'Staff Calcs '!Q37</f>
        <v>76816.347539633338</v>
      </c>
    </row>
    <row r="61" spans="1:7">
      <c r="A61" s="84" t="s">
        <v>13</v>
      </c>
      <c r="B61" s="287">
        <f>B60-B55</f>
        <v>-1.6007106751203537E-10</v>
      </c>
    </row>
    <row r="62" spans="1:7">
      <c r="A62" s="84"/>
      <c r="B62" s="86"/>
    </row>
    <row r="63" spans="1:7">
      <c r="A63" s="87"/>
      <c r="B63" s="88"/>
    </row>
    <row r="64" spans="1:7">
      <c r="A64" s="84"/>
      <c r="B64" s="89"/>
    </row>
    <row r="65" spans="1:3" ht="15.75" thickBot="1">
      <c r="A65" s="90"/>
      <c r="B65" s="91"/>
      <c r="C65" s="22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8"/>
  <sheetViews>
    <sheetView tabSelected="1" topLeftCell="J1" zoomScale="85" zoomScaleNormal="85" workbookViewId="0">
      <selection activeCell="F29" sqref="F29"/>
    </sheetView>
  </sheetViews>
  <sheetFormatPr defaultColWidth="8.85546875" defaultRowHeight="15"/>
  <cols>
    <col min="1" max="1" width="5.42578125" style="58" bestFit="1" customWidth="1"/>
    <col min="2" max="2" width="27.5703125" style="62" bestFit="1" customWidth="1"/>
    <col min="3" max="3" width="30.5703125" style="58" customWidth="1"/>
    <col min="4" max="4" width="23.5703125" style="59" customWidth="1"/>
    <col min="5" max="5" width="13.5703125" style="58" customWidth="1"/>
    <col min="6" max="6" width="16" style="58" customWidth="1"/>
    <col min="7" max="7" width="19.42578125" style="102" customWidth="1"/>
    <col min="8" max="8" width="25.5703125" style="58" customWidth="1"/>
    <col min="9" max="9" width="21.5703125" style="57" customWidth="1"/>
    <col min="10" max="10" width="11.85546875" style="58" bestFit="1" customWidth="1"/>
    <col min="11" max="11" width="12.140625" style="58" customWidth="1"/>
    <col min="12" max="12" width="13.5703125" style="58" customWidth="1"/>
    <col min="13" max="13" width="21.5703125" style="58" customWidth="1"/>
    <col min="14" max="14" width="26.42578125" style="58" bestFit="1" customWidth="1"/>
    <col min="15" max="15" width="32.5703125" style="58" bestFit="1" customWidth="1"/>
    <col min="16" max="16" width="35.140625" style="58" bestFit="1" customWidth="1"/>
    <col min="17" max="17" width="29" style="58" bestFit="1" customWidth="1"/>
    <col min="18" max="18" width="18.140625" style="58" bestFit="1" customWidth="1"/>
    <col min="19" max="20" width="21.5703125" style="58" bestFit="1" customWidth="1"/>
    <col min="21" max="16384" width="8.85546875" style="58"/>
  </cols>
  <sheetData>
    <row r="1" spans="1:20" ht="30">
      <c r="A1" s="50"/>
      <c r="B1" s="93" t="s">
        <v>16</v>
      </c>
      <c r="C1" s="77" t="s">
        <v>18</v>
      </c>
      <c r="D1" s="76" t="s">
        <v>40</v>
      </c>
      <c r="E1" s="93" t="s">
        <v>0</v>
      </c>
      <c r="F1" s="50" t="s">
        <v>1</v>
      </c>
      <c r="G1" s="98" t="s">
        <v>11</v>
      </c>
      <c r="H1" s="93" t="s">
        <v>35</v>
      </c>
      <c r="I1" s="94" t="s">
        <v>36</v>
      </c>
      <c r="J1" s="92" t="s">
        <v>10</v>
      </c>
      <c r="K1" s="76" t="s">
        <v>2</v>
      </c>
      <c r="L1" s="93" t="s">
        <v>42</v>
      </c>
      <c r="M1" s="76" t="s">
        <v>38</v>
      </c>
      <c r="N1" s="167" t="s">
        <v>37</v>
      </c>
      <c r="O1" s="93" t="s">
        <v>39</v>
      </c>
      <c r="P1" s="167" t="s">
        <v>162</v>
      </c>
      <c r="Q1" s="93" t="s">
        <v>41</v>
      </c>
      <c r="R1" s="93" t="s">
        <v>43</v>
      </c>
      <c r="S1" s="93" t="s">
        <v>45</v>
      </c>
      <c r="T1" s="93" t="s">
        <v>44</v>
      </c>
    </row>
    <row r="2" spans="1:20" s="60" customFormat="1" ht="14.45" customHeight="1">
      <c r="A2" s="290" t="s">
        <v>14</v>
      </c>
      <c r="B2" s="133" t="s">
        <v>151</v>
      </c>
      <c r="C2" s="105" t="s">
        <v>100</v>
      </c>
      <c r="D2" s="150">
        <v>553</v>
      </c>
      <c r="E2" s="70">
        <f>References!$B$7</f>
        <v>4.333333333333333</v>
      </c>
      <c r="F2" s="109">
        <f>D2*E2*12</f>
        <v>28755.999999999996</v>
      </c>
      <c r="G2" s="110">
        <f>References!$B$13</f>
        <v>20</v>
      </c>
      <c r="H2" s="148">
        <f>G2*F2</f>
        <v>575119.99999999988</v>
      </c>
      <c r="I2" s="47">
        <f t="shared" ref="I2:I9" si="0">$D$130*H2</f>
        <v>462001.50320907729</v>
      </c>
      <c r="J2" s="72">
        <f>(References!$C$49*I2)</f>
        <v>3386.4710185225317</v>
      </c>
      <c r="K2" s="72">
        <f>J2/References!$G$52</f>
        <v>3486.1756418803084</v>
      </c>
      <c r="L2" s="67">
        <f>K2/F2*E2</f>
        <v>0.52534292373120983</v>
      </c>
      <c r="M2" s="163">
        <v>14.620733036612545</v>
      </c>
      <c r="N2" s="67">
        <f>L2+M2</f>
        <v>15.146075960343754</v>
      </c>
      <c r="O2" s="67">
        <f t="shared" ref="O2:O9" si="1">M2*D2*12</f>
        <v>97023.184430960857</v>
      </c>
      <c r="P2" s="67">
        <f t="shared" ref="P2:P9" si="2">N2*D2*12</f>
        <v>100509.36007284114</v>
      </c>
      <c r="Q2" s="67">
        <f>O2-P2</f>
        <v>-3486.1756418802834</v>
      </c>
      <c r="R2" s="71">
        <f t="shared" ref="R2:R9" si="3">N2</f>
        <v>15.146075960343754</v>
      </c>
      <c r="S2" s="71">
        <f t="shared" ref="S2:S9" si="4">R2*D2*12</f>
        <v>100509.36007284114</v>
      </c>
      <c r="T2" s="71">
        <f t="shared" ref="T2:T9" si="5">S2-O2</f>
        <v>3486.1756418802834</v>
      </c>
    </row>
    <row r="3" spans="1:20" s="60" customFormat="1">
      <c r="A3" s="291"/>
      <c r="B3" s="131" t="s">
        <v>151</v>
      </c>
      <c r="C3" s="106" t="s">
        <v>101</v>
      </c>
      <c r="D3" s="150">
        <v>909.16666666666663</v>
      </c>
      <c r="E3" s="69">
        <f>References!$B$7</f>
        <v>4.333333333333333</v>
      </c>
      <c r="F3" s="109">
        <f>D3*E3*12</f>
        <v>47276.666666666657</v>
      </c>
      <c r="G3" s="110">
        <f>References!B14</f>
        <v>34</v>
      </c>
      <c r="H3" s="68">
        <f t="shared" ref="H3:H9" si="6">G3*F3</f>
        <v>1607406.6666666663</v>
      </c>
      <c r="I3" s="47">
        <f t="shared" si="0"/>
        <v>1291251.0367719645</v>
      </c>
      <c r="J3" s="67">
        <f>(References!$C$49*I3)</f>
        <v>9464.8700995384861</v>
      </c>
      <c r="K3" s="67">
        <f>J3/References!$G$52</f>
        <v>9743.5352064427479</v>
      </c>
      <c r="L3" s="67">
        <f>K3/F3*E3</f>
        <v>0.89308297034305684</v>
      </c>
      <c r="M3" s="163">
        <v>21.169327640607538</v>
      </c>
      <c r="N3" s="67">
        <f>L3+M3</f>
        <v>22.062410610950593</v>
      </c>
      <c r="O3" s="67">
        <f t="shared" si="1"/>
        <v>230957.36455902824</v>
      </c>
      <c r="P3" s="67">
        <f t="shared" si="2"/>
        <v>240700.899765471</v>
      </c>
      <c r="Q3" s="67">
        <f t="shared" ref="Q3:Q9" si="7">O3-P3</f>
        <v>-9743.535206442757</v>
      </c>
      <c r="R3" s="71">
        <f t="shared" si="3"/>
        <v>22.062410610950593</v>
      </c>
      <c r="S3" s="71">
        <f t="shared" si="4"/>
        <v>240700.899765471</v>
      </c>
      <c r="T3" s="71">
        <f t="shared" si="5"/>
        <v>9743.535206442757</v>
      </c>
    </row>
    <row r="4" spans="1:20" s="60" customFormat="1">
      <c r="A4" s="291"/>
      <c r="B4" s="131" t="s">
        <v>151</v>
      </c>
      <c r="C4" s="106" t="s">
        <v>102</v>
      </c>
      <c r="D4" s="150">
        <v>39.833333333333336</v>
      </c>
      <c r="E4" s="69">
        <f>References!$B$7</f>
        <v>4.333333333333333</v>
      </c>
      <c r="F4" s="109">
        <f t="shared" ref="F4:F9" si="8">D4*E4*12</f>
        <v>2071.3333333333335</v>
      </c>
      <c r="G4" s="110">
        <f>References!B15</f>
        <v>51</v>
      </c>
      <c r="H4" s="68">
        <f t="shared" si="6"/>
        <v>105638.00000000001</v>
      </c>
      <c r="I4" s="47">
        <f t="shared" si="0"/>
        <v>84860.402691613097</v>
      </c>
      <c r="J4" s="67">
        <f>(References!$C$49*I4)</f>
        <v>622.02675172952308</v>
      </c>
      <c r="K4" s="67">
        <f>J4/References!$G$52</f>
        <v>640.3404897359718</v>
      </c>
      <c r="L4" s="67">
        <f t="shared" ref="L4:L9" si="9">K4/F4*E4</f>
        <v>1.3396244555145853</v>
      </c>
      <c r="M4" s="163">
        <v>35.643807715243739</v>
      </c>
      <c r="N4" s="67">
        <f t="shared" ref="N4:N9" si="10">L4+M4</f>
        <v>36.983432170758327</v>
      </c>
      <c r="O4" s="67">
        <f t="shared" si="1"/>
        <v>17037.740087886508</v>
      </c>
      <c r="P4" s="67">
        <f>N4*D4*12</f>
        <v>17678.080577622481</v>
      </c>
      <c r="Q4" s="67">
        <f t="shared" si="7"/>
        <v>-640.34048973597237</v>
      </c>
      <c r="R4" s="71">
        <f t="shared" si="3"/>
        <v>36.983432170758327</v>
      </c>
      <c r="S4" s="71">
        <f t="shared" si="4"/>
        <v>17678.080577622481</v>
      </c>
      <c r="T4" s="71">
        <f t="shared" si="5"/>
        <v>640.34048973597237</v>
      </c>
    </row>
    <row r="5" spans="1:20" s="60" customFormat="1">
      <c r="A5" s="291"/>
      <c r="B5" s="131" t="s">
        <v>151</v>
      </c>
      <c r="C5" s="106" t="s">
        <v>103</v>
      </c>
      <c r="D5" s="150">
        <v>1</v>
      </c>
      <c r="E5" s="69">
        <f>References!$B$7</f>
        <v>4.333333333333333</v>
      </c>
      <c r="F5" s="109">
        <f t="shared" si="8"/>
        <v>52</v>
      </c>
      <c r="G5" s="110">
        <f>References!B16</f>
        <v>77</v>
      </c>
      <c r="H5" s="68">
        <f t="shared" si="6"/>
        <v>4004</v>
      </c>
      <c r="I5" s="47">
        <f t="shared" si="0"/>
        <v>3216.4661615821842</v>
      </c>
      <c r="J5" s="67">
        <f>(References!$C$49*I5)</f>
        <v>23.576696964397375</v>
      </c>
      <c r="K5" s="67">
        <f>J5/References!$G$52</f>
        <v>24.270843076381897</v>
      </c>
      <c r="L5" s="67">
        <f t="shared" si="9"/>
        <v>2.022570256365158</v>
      </c>
      <c r="M5" s="163">
        <v>51.625501501739045</v>
      </c>
      <c r="N5" s="67">
        <f t="shared" si="10"/>
        <v>53.648071758104201</v>
      </c>
      <c r="O5" s="67">
        <f t="shared" si="1"/>
        <v>619.50601802086851</v>
      </c>
      <c r="P5" s="67">
        <f t="shared" si="2"/>
        <v>643.77686109725039</v>
      </c>
      <c r="Q5" s="67">
        <f t="shared" si="7"/>
        <v>-24.27084307638188</v>
      </c>
      <c r="R5" s="71">
        <f t="shared" si="3"/>
        <v>53.648071758104201</v>
      </c>
      <c r="S5" s="71">
        <f t="shared" si="4"/>
        <v>643.77686109725039</v>
      </c>
      <c r="T5" s="71">
        <f t="shared" si="5"/>
        <v>24.27084307638188</v>
      </c>
    </row>
    <row r="6" spans="1:20" s="60" customFormat="1">
      <c r="A6" s="291"/>
      <c r="B6" s="131" t="s">
        <v>151</v>
      </c>
      <c r="C6" s="106" t="s">
        <v>104</v>
      </c>
      <c r="D6" s="150">
        <v>1821.6666666666667</v>
      </c>
      <c r="E6" s="69">
        <f>References!$B$7</f>
        <v>4.333333333333333</v>
      </c>
      <c r="F6" s="109">
        <f t="shared" ref="F6" si="11">D6*E6*12</f>
        <v>94726.666666666657</v>
      </c>
      <c r="G6" s="110">
        <f>References!B14</f>
        <v>34</v>
      </c>
      <c r="H6" s="68">
        <f t="shared" ref="H6" si="12">G6*F6</f>
        <v>3220706.6666666665</v>
      </c>
      <c r="I6" s="47">
        <f t="shared" si="0"/>
        <v>2587236.2661627084</v>
      </c>
      <c r="J6" s="67">
        <f>(References!$C$49*I6)</f>
        <v>18964.441830972624</v>
      </c>
      <c r="K6" s="67">
        <f>J6/References!$G$52</f>
        <v>19522.793731699221</v>
      </c>
      <c r="L6" s="67">
        <f t="shared" ref="L6" si="13">K6/F6*E6</f>
        <v>0.89308297034305684</v>
      </c>
      <c r="M6" s="163">
        <v>21.862733403096442</v>
      </c>
      <c r="N6" s="67">
        <f t="shared" ref="N6" si="14">L6+M6</f>
        <v>22.755816373439497</v>
      </c>
      <c r="O6" s="67">
        <f t="shared" si="1"/>
        <v>477919.3521916882</v>
      </c>
      <c r="P6" s="67">
        <f t="shared" si="2"/>
        <v>497442.14592338738</v>
      </c>
      <c r="Q6" s="67">
        <f t="shared" si="7"/>
        <v>-19522.793731699174</v>
      </c>
      <c r="R6" s="71">
        <f t="shared" si="3"/>
        <v>22.755816373439497</v>
      </c>
      <c r="S6" s="71">
        <f t="shared" si="4"/>
        <v>497442.14592338738</v>
      </c>
      <c r="T6" s="71">
        <f t="shared" si="5"/>
        <v>19522.793731699174</v>
      </c>
    </row>
    <row r="7" spans="1:20" s="60" customFormat="1">
      <c r="A7" s="291"/>
      <c r="B7" s="131" t="s">
        <v>151</v>
      </c>
      <c r="C7" s="106" t="s">
        <v>105</v>
      </c>
      <c r="D7" s="150">
        <v>1415.9166666666667</v>
      </c>
      <c r="E7" s="69">
        <f>References!$B$7</f>
        <v>4.333333333333333</v>
      </c>
      <c r="F7" s="109">
        <f t="shared" si="8"/>
        <v>73627.666666666657</v>
      </c>
      <c r="G7" s="110">
        <f>References!B21</f>
        <v>47</v>
      </c>
      <c r="H7" s="68">
        <f t="shared" si="6"/>
        <v>3460500.333333333</v>
      </c>
      <c r="I7" s="47">
        <f t="shared" si="0"/>
        <v>2779865.6903872467</v>
      </c>
      <c r="J7" s="67">
        <f>(References!$C$49*I7)</f>
        <v>20376.415510538489</v>
      </c>
      <c r="K7" s="67">
        <f>J7/References!$G$52</f>
        <v>20976.338800224919</v>
      </c>
      <c r="L7" s="67">
        <f t="shared" si="9"/>
        <v>1.2345558707683435</v>
      </c>
      <c r="M7" s="163">
        <v>32.540783633002441</v>
      </c>
      <c r="N7" s="67">
        <f t="shared" si="10"/>
        <v>33.775339503770788</v>
      </c>
      <c r="O7" s="67">
        <f t="shared" si="1"/>
        <v>552900.45470834454</v>
      </c>
      <c r="P7" s="67">
        <f t="shared" si="2"/>
        <v>573876.79350856948</v>
      </c>
      <c r="Q7" s="67">
        <f t="shared" si="7"/>
        <v>-20976.338800224941</v>
      </c>
      <c r="R7" s="71">
        <f t="shared" si="3"/>
        <v>33.775339503770788</v>
      </c>
      <c r="S7" s="71">
        <f t="shared" si="4"/>
        <v>573876.79350856948</v>
      </c>
      <c r="T7" s="71">
        <f t="shared" si="5"/>
        <v>20976.338800224941</v>
      </c>
    </row>
    <row r="8" spans="1:20" s="60" customFormat="1">
      <c r="A8" s="291"/>
      <c r="B8" s="131" t="s">
        <v>151</v>
      </c>
      <c r="C8" s="106" t="s">
        <v>106</v>
      </c>
      <c r="D8" s="150">
        <v>401.16666666666669</v>
      </c>
      <c r="E8" s="69">
        <f>References!$B$7</f>
        <v>4.333333333333333</v>
      </c>
      <c r="F8" s="109">
        <f t="shared" si="8"/>
        <v>20860.666666666668</v>
      </c>
      <c r="G8" s="110">
        <f>References!B22</f>
        <v>68</v>
      </c>
      <c r="H8" s="68">
        <f t="shared" si="6"/>
        <v>1418525.3333333335</v>
      </c>
      <c r="I8" s="47">
        <f t="shared" si="0"/>
        <v>1139520.1633400989</v>
      </c>
      <c r="J8" s="67">
        <f>(References!$C$49*I8)</f>
        <v>8352.6827972829124</v>
      </c>
      <c r="K8" s="67">
        <f>J8/References!$G$52</f>
        <v>8598.6028384629517</v>
      </c>
      <c r="L8" s="67">
        <f t="shared" si="9"/>
        <v>1.7861659406861137</v>
      </c>
      <c r="M8" s="163">
        <v>45.086081336722565</v>
      </c>
      <c r="N8" s="67">
        <f t="shared" si="10"/>
        <v>46.872247277408675</v>
      </c>
      <c r="O8" s="67">
        <f t="shared" si="1"/>
        <v>217044.39555498245</v>
      </c>
      <c r="P8" s="67">
        <f t="shared" si="2"/>
        <v>225642.99839344536</v>
      </c>
      <c r="Q8" s="67">
        <f t="shared" si="7"/>
        <v>-8598.6028384629171</v>
      </c>
      <c r="R8" s="71">
        <f t="shared" si="3"/>
        <v>46.872247277408675</v>
      </c>
      <c r="S8" s="71">
        <f t="shared" si="4"/>
        <v>225642.99839344536</v>
      </c>
      <c r="T8" s="71">
        <f t="shared" si="5"/>
        <v>8598.6028384629171</v>
      </c>
    </row>
    <row r="9" spans="1:20" s="60" customFormat="1">
      <c r="A9" s="291"/>
      <c r="B9" s="131" t="s">
        <v>151</v>
      </c>
      <c r="C9" s="106" t="s">
        <v>96</v>
      </c>
      <c r="D9" s="150">
        <v>71.5</v>
      </c>
      <c r="E9" s="69">
        <f>References!$B$9</f>
        <v>1</v>
      </c>
      <c r="F9" s="109">
        <f t="shared" si="8"/>
        <v>858</v>
      </c>
      <c r="G9" s="110">
        <f>References!B14</f>
        <v>34</v>
      </c>
      <c r="H9" s="68">
        <f t="shared" si="6"/>
        <v>29172</v>
      </c>
      <c r="I9" s="47">
        <f t="shared" si="0"/>
        <v>23434.253462955916</v>
      </c>
      <c r="J9" s="67">
        <f>(References!$C$49*I9)</f>
        <v>171.77307788346661</v>
      </c>
      <c r="K9" s="67">
        <f>J9/References!$G$52</f>
        <v>176.83042812792527</v>
      </c>
      <c r="L9" s="67">
        <f t="shared" si="9"/>
        <v>0.206096070079167</v>
      </c>
      <c r="M9" s="163">
        <v>8.4512377441443132</v>
      </c>
      <c r="N9" s="67">
        <f t="shared" si="10"/>
        <v>8.657333814223481</v>
      </c>
      <c r="O9" s="67">
        <f t="shared" si="1"/>
        <v>7251.1619844758206</v>
      </c>
      <c r="P9" s="67">
        <f t="shared" si="2"/>
        <v>7427.9924126037467</v>
      </c>
      <c r="Q9" s="67">
        <f t="shared" si="7"/>
        <v>-176.8304281279261</v>
      </c>
      <c r="R9" s="71">
        <f t="shared" si="3"/>
        <v>8.657333814223481</v>
      </c>
      <c r="S9" s="71">
        <f t="shared" si="4"/>
        <v>7427.9924126037467</v>
      </c>
      <c r="T9" s="71">
        <f t="shared" si="5"/>
        <v>176.8304281279261</v>
      </c>
    </row>
    <row r="10" spans="1:20" s="60" customFormat="1">
      <c r="A10" s="291"/>
      <c r="B10" s="131"/>
      <c r="C10" s="117"/>
      <c r="D10" s="117"/>
      <c r="E10" s="69"/>
      <c r="F10" s="118"/>
      <c r="G10" s="119"/>
      <c r="H10" s="68"/>
      <c r="I10" s="47"/>
      <c r="J10" s="67"/>
      <c r="K10" s="67"/>
      <c r="L10" s="67"/>
      <c r="M10" s="67"/>
      <c r="N10" s="67"/>
      <c r="O10" s="67"/>
      <c r="P10" s="67"/>
      <c r="Q10" s="67"/>
      <c r="R10" s="71"/>
      <c r="S10" s="71"/>
      <c r="T10" s="71"/>
    </row>
    <row r="11" spans="1:20" s="60" customFormat="1">
      <c r="A11" s="63"/>
      <c r="B11" s="96"/>
      <c r="C11" s="106"/>
      <c r="D11" s="108"/>
      <c r="E11" s="69"/>
      <c r="F11" s="68"/>
      <c r="G11" s="110"/>
      <c r="H11" s="68"/>
      <c r="I11" s="47"/>
      <c r="J11" s="67"/>
      <c r="K11" s="67"/>
      <c r="L11" s="67"/>
      <c r="M11" s="111"/>
      <c r="N11" s="67"/>
      <c r="O11" s="67"/>
      <c r="P11" s="67"/>
      <c r="Q11" s="67"/>
      <c r="R11" s="71"/>
      <c r="S11" s="71"/>
      <c r="T11" s="71"/>
    </row>
    <row r="12" spans="1:20" s="60" customFormat="1">
      <c r="A12" s="51"/>
      <c r="B12" s="78"/>
      <c r="C12" s="52" t="s">
        <v>17</v>
      </c>
      <c r="D12" s="53">
        <f>SUM(D2:D11)</f>
        <v>5213.25</v>
      </c>
      <c r="E12" s="54"/>
      <c r="F12" s="53">
        <f>SUM(F2:F11)</f>
        <v>268228.99999999994</v>
      </c>
      <c r="G12" s="99"/>
      <c r="H12" s="53">
        <f>SUM(H2:H11)</f>
        <v>10421072.999999998</v>
      </c>
      <c r="I12" s="53">
        <f>SUM(I2:I11)</f>
        <v>8371385.7821872486</v>
      </c>
      <c r="J12" s="74"/>
      <c r="K12" s="74"/>
      <c r="L12" s="74"/>
      <c r="M12" s="74"/>
      <c r="N12" s="74"/>
      <c r="O12" s="53">
        <f>SUM(O2:O11)</f>
        <v>1600753.1595353873</v>
      </c>
      <c r="P12" s="116">
        <f>SUM(P2:P11)</f>
        <v>1663922.0475150377</v>
      </c>
      <c r="Q12" s="116">
        <f>SUM(Q2:Q11)</f>
        <v>-63168.887979650353</v>
      </c>
      <c r="R12" s="116"/>
      <c r="S12" s="116">
        <f>SUM(S2:S11)</f>
        <v>1663922.0475150377</v>
      </c>
      <c r="T12" s="116">
        <f>SUM(T2:T11)</f>
        <v>63168.887979650353</v>
      </c>
    </row>
    <row r="13" spans="1:20" s="60" customFormat="1">
      <c r="A13" s="63"/>
      <c r="B13" s="96"/>
      <c r="C13" s="106"/>
      <c r="D13" s="108"/>
      <c r="E13" s="148"/>
      <c r="F13" s="68"/>
      <c r="G13" s="110"/>
      <c r="H13" s="68"/>
      <c r="I13" s="47"/>
      <c r="J13" s="67"/>
      <c r="K13" s="67"/>
      <c r="L13" s="67"/>
      <c r="M13" s="111"/>
      <c r="N13" s="67"/>
      <c r="O13" s="67"/>
      <c r="P13" s="67"/>
      <c r="Q13" s="67"/>
      <c r="R13" s="71"/>
      <c r="S13" s="71"/>
      <c r="T13" s="71"/>
    </row>
    <row r="14" spans="1:20" customFormat="1" ht="30">
      <c r="A14" s="155"/>
      <c r="B14" s="156"/>
      <c r="C14" s="157"/>
      <c r="D14" s="158" t="s">
        <v>160</v>
      </c>
      <c r="E14" s="159" t="s">
        <v>161</v>
      </c>
      <c r="F14" s="160"/>
      <c r="G14" s="152"/>
      <c r="H14" s="160"/>
      <c r="I14" s="160"/>
      <c r="J14" s="153"/>
      <c r="K14" s="153"/>
      <c r="L14" s="153"/>
      <c r="M14" s="153"/>
      <c r="N14" s="153"/>
      <c r="O14" s="154"/>
      <c r="P14" s="154"/>
      <c r="Q14" s="154"/>
    </row>
    <row r="15" spans="1:20" s="60" customFormat="1" ht="14.45" customHeight="1">
      <c r="A15" s="130"/>
      <c r="B15" s="107" t="s">
        <v>156</v>
      </c>
      <c r="C15" s="149" t="s">
        <v>109</v>
      </c>
      <c r="D15" s="151">
        <v>12.9999</v>
      </c>
      <c r="E15" s="31">
        <v>12</v>
      </c>
      <c r="F15" s="162">
        <f t="shared" ref="F15:F26" si="15">D15*E15</f>
        <v>155.99880000000002</v>
      </c>
      <c r="G15" s="119">
        <f>+References!B21</f>
        <v>47</v>
      </c>
      <c r="H15" s="68">
        <f t="shared" ref="H15:H16" si="16">G15*F15</f>
        <v>7331.9436000000005</v>
      </c>
      <c r="I15" s="47">
        <f t="shared" ref="I15:I26" si="17">$D$130*H15</f>
        <v>5889.8472747325332</v>
      </c>
      <c r="J15" s="67">
        <f>(References!$C$49*I15)</f>
        <v>43.172580523789406</v>
      </c>
      <c r="K15" s="67">
        <f>J15/References!$G$52</f>
        <v>44.443669470649994</v>
      </c>
      <c r="L15" s="67">
        <f t="shared" ref="L15:L26" si="18">K15/F15</f>
        <v>0.28489750863884844</v>
      </c>
      <c r="M15" s="164">
        <v>9.7405781218383858</v>
      </c>
      <c r="N15" s="67">
        <f t="shared" ref="N15:N16" si="19">L15+M15</f>
        <v>10.025475630477235</v>
      </c>
      <c r="O15" s="67">
        <f t="shared" ref="O15:O26" si="20">M15*F15</f>
        <v>1519.5184983130421</v>
      </c>
      <c r="P15" s="67">
        <f t="shared" ref="P15:P26" si="21">N15*F15</f>
        <v>1563.9621677836922</v>
      </c>
      <c r="Q15" s="67">
        <f t="shared" ref="Q15:Q16" si="22">O15-P15</f>
        <v>-44.443669470650093</v>
      </c>
      <c r="R15" s="71">
        <f t="shared" ref="R15:R16" si="23">N15</f>
        <v>10.025475630477235</v>
      </c>
      <c r="S15" s="71">
        <f t="shared" ref="S15:S16" si="24">R15*F15</f>
        <v>1563.9621677836922</v>
      </c>
      <c r="T15" s="71">
        <f t="shared" ref="T15:T16" si="25">S15-O15</f>
        <v>44.443669470650093</v>
      </c>
    </row>
    <row r="16" spans="1:20" s="60" customFormat="1">
      <c r="A16" s="130"/>
      <c r="B16" s="107" t="s">
        <v>156</v>
      </c>
      <c r="C16" s="149" t="s">
        <v>110</v>
      </c>
      <c r="D16" s="151">
        <v>12.9999</v>
      </c>
      <c r="E16" s="31">
        <v>12</v>
      </c>
      <c r="F16" s="162">
        <f t="shared" si="15"/>
        <v>155.99880000000002</v>
      </c>
      <c r="G16" s="119">
        <f>+References!B22</f>
        <v>68</v>
      </c>
      <c r="H16" s="68">
        <f t="shared" si="16"/>
        <v>10607.9184</v>
      </c>
      <c r="I16" s="47">
        <f t="shared" si="17"/>
        <v>8521.4811634428152</v>
      </c>
      <c r="J16" s="67">
        <f>(References!$C$49*I16)</f>
        <v>62.462456928035742</v>
      </c>
      <c r="K16" s="67">
        <f>J16/References!$G$52</f>
        <v>64.301479234131918</v>
      </c>
      <c r="L16" s="67">
        <f t="shared" si="18"/>
        <v>0.412192140158334</v>
      </c>
      <c r="M16" s="164">
        <v>12.819854321824963</v>
      </c>
      <c r="N16" s="67">
        <f t="shared" si="19"/>
        <v>13.232046461983296</v>
      </c>
      <c r="O16" s="67">
        <f t="shared" si="20"/>
        <v>1999.8818903795081</v>
      </c>
      <c r="P16" s="67">
        <f t="shared" si="21"/>
        <v>2064.18336961364</v>
      </c>
      <c r="Q16" s="67">
        <f t="shared" si="22"/>
        <v>-64.301479234131875</v>
      </c>
      <c r="R16" s="71">
        <f t="shared" si="23"/>
        <v>13.232046461983296</v>
      </c>
      <c r="S16" s="71">
        <f t="shared" si="24"/>
        <v>2064.18336961364</v>
      </c>
      <c r="T16" s="71">
        <f t="shared" si="25"/>
        <v>64.301479234131875</v>
      </c>
    </row>
    <row r="17" spans="1:22" s="60" customFormat="1">
      <c r="A17" s="290" t="s">
        <v>15</v>
      </c>
      <c r="B17" s="107" t="s">
        <v>156</v>
      </c>
      <c r="C17" s="149" t="s">
        <v>111</v>
      </c>
      <c r="D17" s="161">
        <v>13.000000000000002</v>
      </c>
      <c r="E17" s="31">
        <v>12</v>
      </c>
      <c r="F17" s="162">
        <f t="shared" si="15"/>
        <v>156.00000000000003</v>
      </c>
      <c r="G17" s="114">
        <f>References!B27</f>
        <v>175</v>
      </c>
      <c r="H17" s="68">
        <f t="shared" ref="H17:H26" si="26">G17*F17</f>
        <v>27300.000000000004</v>
      </c>
      <c r="I17" s="47">
        <f t="shared" si="17"/>
        <v>21930.451101696715</v>
      </c>
      <c r="J17" s="67">
        <f>(References!$C$49*I17)</f>
        <v>160.75020657543669</v>
      </c>
      <c r="K17" s="67">
        <f>J17/References!$G$52</f>
        <v>165.48302097533116</v>
      </c>
      <c r="L17" s="67">
        <f t="shared" si="18"/>
        <v>1.0607885959957124</v>
      </c>
      <c r="M17" s="165">
        <v>25.56069272577211</v>
      </c>
      <c r="N17" s="67">
        <f t="shared" ref="N17:N26" si="27">L17+M17</f>
        <v>26.621481321767824</v>
      </c>
      <c r="O17" s="67">
        <f t="shared" si="20"/>
        <v>3987.4680652204502</v>
      </c>
      <c r="P17" s="67">
        <f t="shared" si="21"/>
        <v>4152.9510861957815</v>
      </c>
      <c r="Q17" s="67">
        <f t="shared" ref="Q17:Q26" si="28">O17-P17</f>
        <v>-165.48302097533133</v>
      </c>
      <c r="R17" s="71">
        <f t="shared" ref="R17:R26" si="29">N17</f>
        <v>26.621481321767824</v>
      </c>
      <c r="S17" s="71">
        <f t="shared" ref="S17:S26" si="30">R17*F17</f>
        <v>4152.9510861957815</v>
      </c>
      <c r="T17" s="71">
        <f t="shared" ref="T17:T26" si="31">S17-O17</f>
        <v>165.48302097533133</v>
      </c>
    </row>
    <row r="18" spans="1:22" s="60" customFormat="1">
      <c r="A18" s="291"/>
      <c r="B18" s="107" t="s">
        <v>156</v>
      </c>
      <c r="C18" s="149" t="s">
        <v>112</v>
      </c>
      <c r="D18" s="161">
        <v>2.1667000000000001</v>
      </c>
      <c r="E18" s="31">
        <v>12</v>
      </c>
      <c r="F18" s="162">
        <f t="shared" si="15"/>
        <v>26.000399999999999</v>
      </c>
      <c r="G18" s="114">
        <f>References!B28</f>
        <v>250</v>
      </c>
      <c r="H18" s="68">
        <f t="shared" si="26"/>
        <v>6500.0999999999995</v>
      </c>
      <c r="I18" s="47">
        <f t="shared" si="17"/>
        <v>5221.616307917172</v>
      </c>
      <c r="J18" s="67">
        <f>(References!$C$49*I18)</f>
        <v>38.274447537032813</v>
      </c>
      <c r="K18" s="67">
        <f>J18/References!$G$52</f>
        <v>39.401325444752743</v>
      </c>
      <c r="L18" s="67">
        <f t="shared" si="18"/>
        <v>1.515412279993875</v>
      </c>
      <c r="M18" s="165">
        <v>34.574049620696414</v>
      </c>
      <c r="N18" s="67">
        <f t="shared" si="27"/>
        <v>36.089461900690289</v>
      </c>
      <c r="O18" s="67">
        <f t="shared" si="20"/>
        <v>898.93911975795504</v>
      </c>
      <c r="P18" s="67">
        <f t="shared" si="21"/>
        <v>938.34044520270777</v>
      </c>
      <c r="Q18" s="67">
        <f t="shared" si="28"/>
        <v>-39.401325444752729</v>
      </c>
      <c r="R18" s="71">
        <f t="shared" si="29"/>
        <v>36.089461900690289</v>
      </c>
      <c r="S18" s="71">
        <f t="shared" si="30"/>
        <v>938.34044520270777</v>
      </c>
      <c r="T18" s="71">
        <f t="shared" si="31"/>
        <v>39.401325444752729</v>
      </c>
    </row>
    <row r="19" spans="1:22" s="60" customFormat="1">
      <c r="A19" s="291"/>
      <c r="B19" s="107" t="s">
        <v>156</v>
      </c>
      <c r="C19" s="149" t="s">
        <v>113</v>
      </c>
      <c r="D19" s="161">
        <v>34.666400000000003</v>
      </c>
      <c r="E19" s="31">
        <v>12</v>
      </c>
      <c r="F19" s="162">
        <f t="shared" si="15"/>
        <v>415.99680000000001</v>
      </c>
      <c r="G19" s="114">
        <f>References!B29</f>
        <v>324</v>
      </c>
      <c r="H19" s="68">
        <f t="shared" si="26"/>
        <v>134782.9632</v>
      </c>
      <c r="I19" s="47">
        <f t="shared" si="17"/>
        <v>108272.93713550869</v>
      </c>
      <c r="J19" s="67">
        <f>(References!$C$49*I19)</f>
        <v>793.64062920327751</v>
      </c>
      <c r="K19" s="67">
        <f>J19/References!$G$52</f>
        <v>817.00703026896997</v>
      </c>
      <c r="L19" s="67">
        <f t="shared" si="18"/>
        <v>1.9639743148720614</v>
      </c>
      <c r="M19" s="165">
        <v>45.113277678379269</v>
      </c>
      <c r="N19" s="67">
        <f t="shared" si="27"/>
        <v>47.07725199325133</v>
      </c>
      <c r="O19" s="67">
        <f t="shared" si="20"/>
        <v>18766.979151717205</v>
      </c>
      <c r="P19" s="67">
        <f t="shared" si="21"/>
        <v>19583.986181986176</v>
      </c>
      <c r="Q19" s="67">
        <f t="shared" si="28"/>
        <v>-817.00703026897099</v>
      </c>
      <c r="R19" s="71">
        <f t="shared" si="29"/>
        <v>47.07725199325133</v>
      </c>
      <c r="S19" s="71">
        <f t="shared" si="30"/>
        <v>19583.986181986176</v>
      </c>
      <c r="T19" s="71">
        <f t="shared" si="31"/>
        <v>817.00703026897099</v>
      </c>
    </row>
    <row r="20" spans="1:22" s="60" customFormat="1">
      <c r="A20" s="291"/>
      <c r="B20" s="107" t="s">
        <v>156</v>
      </c>
      <c r="C20" s="149" t="s">
        <v>114</v>
      </c>
      <c r="D20" s="161">
        <v>8.6666000000000007</v>
      </c>
      <c r="E20" s="31">
        <v>12</v>
      </c>
      <c r="F20" s="162">
        <f t="shared" si="15"/>
        <v>103.9992</v>
      </c>
      <c r="G20" s="114">
        <f>References!B30</f>
        <v>473</v>
      </c>
      <c r="H20" s="68">
        <f t="shared" si="26"/>
        <v>49191.621599999999</v>
      </c>
      <c r="I20" s="47">
        <f t="shared" si="17"/>
        <v>39516.280297141675</v>
      </c>
      <c r="J20" s="67">
        <f>(References!$C$49*I20)</f>
        <v>289.65433457804806</v>
      </c>
      <c r="K20" s="67">
        <f>J20/References!$G$52</f>
        <v>298.18234978180777</v>
      </c>
      <c r="L20" s="67">
        <f t="shared" si="18"/>
        <v>2.8671600337484113</v>
      </c>
      <c r="M20" s="165">
        <v>63.434431039199723</v>
      </c>
      <c r="N20" s="67">
        <f t="shared" si="27"/>
        <v>66.301591072948128</v>
      </c>
      <c r="O20" s="67">
        <f t="shared" si="20"/>
        <v>6597.1300805319397</v>
      </c>
      <c r="P20" s="67">
        <f t="shared" si="21"/>
        <v>6895.3124303137474</v>
      </c>
      <c r="Q20" s="67">
        <f t="shared" si="28"/>
        <v>-298.18234978180772</v>
      </c>
      <c r="R20" s="71">
        <f t="shared" si="29"/>
        <v>66.301591072948128</v>
      </c>
      <c r="S20" s="71">
        <f t="shared" si="30"/>
        <v>6895.3124303137474</v>
      </c>
      <c r="T20" s="71">
        <f t="shared" si="31"/>
        <v>298.18234978180772</v>
      </c>
    </row>
    <row r="21" spans="1:22" s="60" customFormat="1">
      <c r="A21" s="291"/>
      <c r="B21" s="107" t="s">
        <v>156</v>
      </c>
      <c r="C21" s="149" t="s">
        <v>115</v>
      </c>
      <c r="D21" s="161">
        <v>25.9998</v>
      </c>
      <c r="E21" s="31">
        <v>12</v>
      </c>
      <c r="F21" s="162">
        <f t="shared" si="15"/>
        <v>311.99760000000003</v>
      </c>
      <c r="G21" s="114">
        <f>References!B31</f>
        <v>613</v>
      </c>
      <c r="H21" s="68">
        <f t="shared" si="26"/>
        <v>191254.52880000003</v>
      </c>
      <c r="I21" s="47">
        <f t="shared" si="17"/>
        <v>153637.29274089547</v>
      </c>
      <c r="J21" s="67">
        <f>(References!$C$49*I21)</f>
        <v>1126.1613557907622</v>
      </c>
      <c r="K21" s="67">
        <f>J21/References!$G$52</f>
        <v>1159.317846191849</v>
      </c>
      <c r="L21" s="67">
        <f t="shared" si="18"/>
        <v>3.7157909105449813</v>
      </c>
      <c r="M21" s="165">
        <v>91.226600747185373</v>
      </c>
      <c r="N21" s="67">
        <f t="shared" si="27"/>
        <v>94.942391657730354</v>
      </c>
      <c r="O21" s="67">
        <f t="shared" si="20"/>
        <v>28462.480489280046</v>
      </c>
      <c r="P21" s="67">
        <f t="shared" si="21"/>
        <v>29621.798335471896</v>
      </c>
      <c r="Q21" s="67">
        <f t="shared" si="28"/>
        <v>-1159.3178461918505</v>
      </c>
      <c r="R21" s="71">
        <f t="shared" si="29"/>
        <v>94.942391657730354</v>
      </c>
      <c r="S21" s="71">
        <f t="shared" si="30"/>
        <v>29621.798335471896</v>
      </c>
      <c r="T21" s="71">
        <f t="shared" si="31"/>
        <v>1159.3178461918505</v>
      </c>
    </row>
    <row r="22" spans="1:22" s="60" customFormat="1" ht="15" customHeight="1">
      <c r="A22" s="291"/>
      <c r="B22" s="107" t="s">
        <v>156</v>
      </c>
      <c r="C22" s="149" t="s">
        <v>116</v>
      </c>
      <c r="D22" s="161">
        <v>30.333100000000002</v>
      </c>
      <c r="E22" s="31">
        <v>12</v>
      </c>
      <c r="F22" s="162">
        <f t="shared" si="15"/>
        <v>363.99720000000002</v>
      </c>
      <c r="G22" s="114">
        <f>References!B32</f>
        <v>840</v>
      </c>
      <c r="H22" s="68">
        <f t="shared" si="26"/>
        <v>305757.64800000004</v>
      </c>
      <c r="I22" s="47">
        <f t="shared" si="17"/>
        <v>245619.1629462929</v>
      </c>
      <c r="J22" s="67">
        <f>(References!$C$49*I22)</f>
        <v>1800.3884643963243</v>
      </c>
      <c r="K22" s="67">
        <f>J22/References!$G$52</f>
        <v>1853.3955779249786</v>
      </c>
      <c r="L22" s="67">
        <f t="shared" si="18"/>
        <v>5.0917852607794192</v>
      </c>
      <c r="M22" s="165">
        <v>122.20731892762998</v>
      </c>
      <c r="N22" s="67">
        <f t="shared" si="27"/>
        <v>127.2991041884094</v>
      </c>
      <c r="O22" s="67">
        <f t="shared" si="20"/>
        <v>44483.121909164322</v>
      </c>
      <c r="P22" s="67">
        <f t="shared" si="21"/>
        <v>46336.517487089295</v>
      </c>
      <c r="Q22" s="67">
        <f t="shared" si="28"/>
        <v>-1853.3955779249736</v>
      </c>
      <c r="R22" s="71">
        <f t="shared" si="29"/>
        <v>127.2991041884094</v>
      </c>
      <c r="S22" s="71">
        <f t="shared" si="30"/>
        <v>46336.517487089295</v>
      </c>
      <c r="T22" s="71">
        <f t="shared" si="31"/>
        <v>1853.3955779249736</v>
      </c>
    </row>
    <row r="23" spans="1:22" s="60" customFormat="1">
      <c r="A23" s="250"/>
      <c r="B23" s="107" t="s">
        <v>156</v>
      </c>
      <c r="C23" s="149" t="s">
        <v>117</v>
      </c>
      <c r="D23" s="161">
        <v>43.333000000000006</v>
      </c>
      <c r="E23" s="31">
        <v>12</v>
      </c>
      <c r="F23" s="162">
        <f t="shared" si="15"/>
        <v>519.99600000000009</v>
      </c>
      <c r="G23" s="114">
        <f>References!B33</f>
        <v>980</v>
      </c>
      <c r="H23" s="68">
        <f t="shared" si="26"/>
        <v>509596.08000000007</v>
      </c>
      <c r="I23" s="47">
        <f t="shared" si="17"/>
        <v>409365.27157715487</v>
      </c>
      <c r="J23" s="67">
        <f>(References!$C$49*I23)</f>
        <v>3000.6474406605407</v>
      </c>
      <c r="K23" s="67">
        <f>J23/References!$G$52</f>
        <v>3088.9926298749647</v>
      </c>
      <c r="L23" s="67">
        <f t="shared" si="18"/>
        <v>5.9404161375759896</v>
      </c>
      <c r="M23" s="165">
        <v>163.19186881893046</v>
      </c>
      <c r="N23" s="67">
        <f t="shared" si="27"/>
        <v>169.13228495650645</v>
      </c>
      <c r="O23" s="67">
        <f t="shared" si="20"/>
        <v>84859.119018368583</v>
      </c>
      <c r="P23" s="67">
        <f t="shared" si="21"/>
        <v>87948.111648243546</v>
      </c>
      <c r="Q23" s="67">
        <f t="shared" si="28"/>
        <v>-3088.9926298749633</v>
      </c>
      <c r="R23" s="71">
        <f t="shared" si="29"/>
        <v>169.13228495650645</v>
      </c>
      <c r="S23" s="71">
        <f t="shared" si="30"/>
        <v>87948.111648243546</v>
      </c>
      <c r="T23" s="71">
        <f t="shared" si="31"/>
        <v>3088.9926298749633</v>
      </c>
    </row>
    <row r="24" spans="1:22">
      <c r="A24" s="250"/>
      <c r="B24" s="107" t="s">
        <v>156</v>
      </c>
      <c r="C24" s="58" t="s">
        <v>134</v>
      </c>
      <c r="D24" s="151">
        <v>1</v>
      </c>
      <c r="E24" s="31">
        <v>12</v>
      </c>
      <c r="F24" s="162">
        <f t="shared" ref="F24:F25" si="32">D24*E24</f>
        <v>12</v>
      </c>
      <c r="G24" s="119">
        <f>+G23</f>
        <v>980</v>
      </c>
      <c r="H24" s="68">
        <f t="shared" si="26"/>
        <v>11760</v>
      </c>
      <c r="I24" s="47">
        <f t="shared" si="17"/>
        <v>9446.9635515001228</v>
      </c>
      <c r="J24" s="67">
        <f>(References!$C$49*I24)</f>
        <v>69.246242832495795</v>
      </c>
      <c r="K24" s="67">
        <f>J24/References!$G$52</f>
        <v>71.284993650911872</v>
      </c>
      <c r="L24" s="67">
        <f t="shared" si="18"/>
        <v>5.9404161375759896</v>
      </c>
      <c r="M24" s="164">
        <v>176.90894594135443</v>
      </c>
      <c r="N24" s="67">
        <f t="shared" si="27"/>
        <v>182.84936207893043</v>
      </c>
      <c r="O24" s="67">
        <f t="shared" si="20"/>
        <v>2122.9073512962532</v>
      </c>
      <c r="P24" s="67">
        <f t="shared" si="21"/>
        <v>2194.1923449471651</v>
      </c>
      <c r="Q24" s="67">
        <f t="shared" si="28"/>
        <v>-71.284993650911929</v>
      </c>
      <c r="R24" s="71">
        <f t="shared" si="29"/>
        <v>182.84936207893043</v>
      </c>
      <c r="S24" s="71">
        <f t="shared" si="30"/>
        <v>2194.1923449471651</v>
      </c>
      <c r="T24" s="71">
        <f t="shared" si="31"/>
        <v>71.284993650911929</v>
      </c>
      <c r="U24" s="60"/>
      <c r="V24" s="60"/>
    </row>
    <row r="25" spans="1:22">
      <c r="A25" s="130"/>
      <c r="B25" s="43" t="s">
        <v>156</v>
      </c>
      <c r="C25" s="80" t="s">
        <v>146</v>
      </c>
      <c r="D25" s="151">
        <v>1</v>
      </c>
      <c r="E25" s="31">
        <v>12</v>
      </c>
      <c r="F25" s="162">
        <f t="shared" si="32"/>
        <v>12</v>
      </c>
      <c r="G25" s="119">
        <f>References!B32</f>
        <v>840</v>
      </c>
      <c r="H25" s="68">
        <f>G25*F25</f>
        <v>10080</v>
      </c>
      <c r="I25" s="47">
        <f t="shared" si="17"/>
        <v>8097.3973298572473</v>
      </c>
      <c r="J25" s="67">
        <f>(References!$C$49*I25)</f>
        <v>59.353922427853533</v>
      </c>
      <c r="K25" s="67">
        <f>J25/References!$G$52</f>
        <v>61.10142312935303</v>
      </c>
      <c r="L25" s="67">
        <f t="shared" si="18"/>
        <v>5.0917852607794192</v>
      </c>
      <c r="M25" s="164">
        <v>132.13372836751054</v>
      </c>
      <c r="N25" s="67">
        <f>L25+M25</f>
        <v>137.22551362828997</v>
      </c>
      <c r="O25" s="67">
        <f t="shared" si="20"/>
        <v>1585.6047404101264</v>
      </c>
      <c r="P25" s="67">
        <f t="shared" si="21"/>
        <v>1646.7061635394798</v>
      </c>
      <c r="Q25" s="67">
        <f t="shared" ref="Q25" si="33">O25-P25</f>
        <v>-61.101423129353407</v>
      </c>
      <c r="R25" s="71">
        <f t="shared" ref="R25" si="34">N25</f>
        <v>137.22551362828997</v>
      </c>
      <c r="S25" s="71">
        <f t="shared" ref="S25" si="35">R25*F25</f>
        <v>1646.7061635394798</v>
      </c>
      <c r="T25" s="71">
        <f t="shared" ref="T25" si="36">S25-O25</f>
        <v>61.101423129353407</v>
      </c>
      <c r="U25" s="60"/>
      <c r="V25" s="60"/>
    </row>
    <row r="26" spans="1:22" s="60" customFormat="1">
      <c r="A26" s="250"/>
      <c r="B26" s="107" t="s">
        <v>156</v>
      </c>
      <c r="C26" s="149" t="s">
        <v>119</v>
      </c>
      <c r="D26" s="161">
        <v>1</v>
      </c>
      <c r="E26" s="31">
        <v>12</v>
      </c>
      <c r="F26" s="162">
        <f t="shared" si="15"/>
        <v>12</v>
      </c>
      <c r="G26" s="114">
        <f>References!B33</f>
        <v>980</v>
      </c>
      <c r="H26" s="68">
        <f t="shared" si="26"/>
        <v>11760</v>
      </c>
      <c r="I26" s="47">
        <f t="shared" si="17"/>
        <v>9446.9635515001228</v>
      </c>
      <c r="J26" s="67">
        <f>(References!$C$49*I26)</f>
        <v>69.246242832495795</v>
      </c>
      <c r="K26" s="67">
        <f>J26/References!$G$52</f>
        <v>71.284993650911872</v>
      </c>
      <c r="L26" s="67">
        <f t="shared" si="18"/>
        <v>5.9404161375759896</v>
      </c>
      <c r="M26" s="165">
        <v>176.90894594135443</v>
      </c>
      <c r="N26" s="67">
        <f t="shared" si="27"/>
        <v>182.84936207893043</v>
      </c>
      <c r="O26" s="67">
        <f t="shared" si="20"/>
        <v>2122.9073512962532</v>
      </c>
      <c r="P26" s="67">
        <f t="shared" si="21"/>
        <v>2194.1923449471651</v>
      </c>
      <c r="Q26" s="67">
        <f t="shared" si="28"/>
        <v>-71.284993650911929</v>
      </c>
      <c r="R26" s="71">
        <f t="shared" si="29"/>
        <v>182.84936207893043</v>
      </c>
      <c r="S26" s="71">
        <f t="shared" si="30"/>
        <v>2194.1923449471651</v>
      </c>
      <c r="T26" s="71">
        <f t="shared" si="31"/>
        <v>71.284993650911929</v>
      </c>
    </row>
    <row r="27" spans="1:22" s="60" customFormat="1">
      <c r="A27" s="250"/>
      <c r="B27" s="107"/>
      <c r="C27" s="149"/>
      <c r="D27" s="161"/>
      <c r="E27" s="31"/>
      <c r="F27" s="162"/>
      <c r="G27" s="114"/>
      <c r="H27" s="68"/>
      <c r="I27" s="47"/>
      <c r="J27" s="67"/>
      <c r="K27" s="67"/>
      <c r="L27" s="67"/>
      <c r="M27" s="165"/>
      <c r="N27" s="67"/>
      <c r="O27" s="67"/>
      <c r="P27" s="67"/>
      <c r="Q27" s="67"/>
      <c r="R27" s="71"/>
      <c r="S27" s="71"/>
      <c r="T27" s="71"/>
    </row>
    <row r="28" spans="1:22" s="60" customFormat="1">
      <c r="A28" s="63"/>
      <c r="B28" s="107"/>
      <c r="C28" s="112"/>
      <c r="D28" s="57"/>
      <c r="E28" s="69"/>
      <c r="F28" s="113"/>
      <c r="G28" s="110"/>
      <c r="H28" s="68"/>
      <c r="I28" s="47"/>
      <c r="J28" s="67"/>
      <c r="K28" s="67"/>
      <c r="L28" s="67"/>
      <c r="M28" s="67"/>
      <c r="N28" s="67"/>
      <c r="O28" s="67"/>
      <c r="P28" s="67"/>
      <c r="Q28" s="67"/>
      <c r="R28" s="71"/>
      <c r="S28" s="71"/>
      <c r="T28" s="71"/>
    </row>
    <row r="29" spans="1:22" s="60" customFormat="1">
      <c r="A29" s="51"/>
      <c r="B29" s="78"/>
      <c r="C29" s="52" t="s">
        <v>17</v>
      </c>
      <c r="D29" s="53">
        <f>SUM(D15:D28)</f>
        <v>187.16540000000001</v>
      </c>
      <c r="E29" s="53"/>
      <c r="F29" s="53">
        <f>SUM(F15:F28)</f>
        <v>2245.9848000000002</v>
      </c>
      <c r="G29" s="99"/>
      <c r="H29" s="53">
        <f>SUM(H15:H28)</f>
        <v>1275922.8036000002</v>
      </c>
      <c r="I29" s="53">
        <f>SUM(I15:I28)</f>
        <v>1024965.6649776403</v>
      </c>
      <c r="J29" s="74"/>
      <c r="K29" s="74"/>
      <c r="L29" s="74"/>
      <c r="M29" s="74"/>
      <c r="N29" s="74"/>
      <c r="O29" s="116">
        <f>SUM(O15:O28)</f>
        <v>197406.05766573569</v>
      </c>
      <c r="P29" s="116">
        <f>SUM(P15:P28)</f>
        <v>205140.25400533428</v>
      </c>
      <c r="Q29" s="116">
        <f>SUM(Q15:Q28)</f>
        <v>-7734.1963395986095</v>
      </c>
      <c r="R29" s="116"/>
      <c r="S29" s="116">
        <f>SUM(S15:S28)</f>
        <v>205140.25400533428</v>
      </c>
      <c r="T29" s="116">
        <f>SUM(T15:T28)</f>
        <v>7734.1963395986095</v>
      </c>
    </row>
    <row r="30" spans="1:22" s="60" customFormat="1" ht="14.45" customHeight="1">
      <c r="A30" s="290" t="s">
        <v>98</v>
      </c>
      <c r="B30" s="107" t="s">
        <v>153</v>
      </c>
      <c r="C30" s="149" t="s">
        <v>109</v>
      </c>
      <c r="D30" s="151">
        <v>710.66120000000001</v>
      </c>
      <c r="E30" s="31">
        <v>12</v>
      </c>
      <c r="F30" s="162">
        <f t="shared" ref="F30:F34" si="37">D30*E30</f>
        <v>8527.9344000000001</v>
      </c>
      <c r="G30" s="119">
        <f>+References!B21</f>
        <v>47</v>
      </c>
      <c r="H30" s="68">
        <f t="shared" ref="H30" si="38">G30*F30</f>
        <v>400812.91680000001</v>
      </c>
      <c r="I30" s="47">
        <f>$D$130*H30</f>
        <v>321978.31768537848</v>
      </c>
      <c r="J30" s="67">
        <f>(References!$C$49*I30)</f>
        <v>2360.1010686338209</v>
      </c>
      <c r="K30" s="67">
        <f>J30/References!$G$52</f>
        <v>2429.5872643955331</v>
      </c>
      <c r="L30" s="67">
        <f t="shared" ref="L30:L34" si="39">K30/F30</f>
        <v>0.2848975086388485</v>
      </c>
      <c r="M30" s="164">
        <v>11.250553138285396</v>
      </c>
      <c r="N30" s="67">
        <f t="shared" ref="N30" si="40">L30+M30</f>
        <v>11.535450646924245</v>
      </c>
      <c r="O30" s="67">
        <f t="shared" ref="O30:O31" si="41">M30*F30</f>
        <v>95943.979127011989</v>
      </c>
      <c r="P30" s="67">
        <f t="shared" ref="P30:P31" si="42">N30*F30</f>
        <v>98373.566391407527</v>
      </c>
      <c r="Q30" s="67">
        <f t="shared" ref="Q30:Q31" si="43">O30-P30</f>
        <v>-2429.5872643955372</v>
      </c>
      <c r="R30" s="71">
        <f t="shared" ref="R30:R31" si="44">N30</f>
        <v>11.535450646924245</v>
      </c>
      <c r="S30" s="71">
        <f t="shared" ref="S30:S31" si="45">R30*F30</f>
        <v>98373.566391407527</v>
      </c>
      <c r="T30" s="71">
        <f t="shared" ref="T30:T31" si="46">S30-O30</f>
        <v>2429.5872643955372</v>
      </c>
    </row>
    <row r="31" spans="1:22" s="60" customFormat="1" ht="14.45" customHeight="1">
      <c r="A31" s="291"/>
      <c r="B31" s="107" t="s">
        <v>153</v>
      </c>
      <c r="C31" s="149" t="s">
        <v>110</v>
      </c>
      <c r="D31" s="161">
        <v>4.3333000000000004</v>
      </c>
      <c r="E31" s="31">
        <v>12</v>
      </c>
      <c r="F31" s="162">
        <f t="shared" si="37"/>
        <v>51.999600000000001</v>
      </c>
      <c r="G31" s="110">
        <f>References!B22</f>
        <v>68</v>
      </c>
      <c r="H31" s="68">
        <f t="shared" ref="H31:H33" si="47">G31*F31</f>
        <v>3535.9728</v>
      </c>
      <c r="I31" s="47">
        <f>$D$130*H31</f>
        <v>2840.4937211476044</v>
      </c>
      <c r="J31" s="67">
        <f>(References!$C$49*I31)</f>
        <v>20.82081897601191</v>
      </c>
      <c r="K31" s="67">
        <f>J31/References!$G$52</f>
        <v>21.4338264113773</v>
      </c>
      <c r="L31" s="67">
        <f t="shared" si="39"/>
        <v>0.41219214015833389</v>
      </c>
      <c r="M31" s="165">
        <v>14.886517775866981</v>
      </c>
      <c r="N31" s="67">
        <f t="shared" ref="N31:N32" si="48">L31+M31</f>
        <v>15.298709916025315</v>
      </c>
      <c r="O31" s="67">
        <f t="shared" si="41"/>
        <v>774.09296973797268</v>
      </c>
      <c r="P31" s="67">
        <f t="shared" si="42"/>
        <v>795.52679614934993</v>
      </c>
      <c r="Q31" s="67">
        <f t="shared" si="43"/>
        <v>-21.433826411377254</v>
      </c>
      <c r="R31" s="71">
        <f t="shared" si="44"/>
        <v>15.298709916025315</v>
      </c>
      <c r="S31" s="71">
        <f t="shared" si="45"/>
        <v>795.52679614934993</v>
      </c>
      <c r="T31" s="71">
        <f t="shared" si="46"/>
        <v>21.433826411377254</v>
      </c>
    </row>
    <row r="32" spans="1:22" s="60" customFormat="1">
      <c r="A32" s="291"/>
      <c r="B32" s="107" t="s">
        <v>153</v>
      </c>
      <c r="C32" s="149" t="s">
        <v>115</v>
      </c>
      <c r="D32" s="161">
        <v>64.999499999999998</v>
      </c>
      <c r="E32" s="31">
        <v>12</v>
      </c>
      <c r="F32" s="162">
        <f t="shared" si="37"/>
        <v>779.99399999999991</v>
      </c>
      <c r="G32" s="110">
        <f>+References!B31</f>
        <v>613</v>
      </c>
      <c r="H32" s="68">
        <f t="shared" si="47"/>
        <v>478136.32199999993</v>
      </c>
      <c r="I32" s="47">
        <f t="shared" ref="I32:I34" si="49">$D$130*H32</f>
        <v>384093.23185223853</v>
      </c>
      <c r="J32" s="67">
        <f>(References!$C$49*I32)</f>
        <v>2815.4033894769045</v>
      </c>
      <c r="K32" s="67">
        <f>J32/References!$G$52</f>
        <v>2898.2946154796214</v>
      </c>
      <c r="L32" s="67">
        <f t="shared" si="39"/>
        <v>3.7157909105449809</v>
      </c>
      <c r="M32" s="165">
        <v>109.68736652318763</v>
      </c>
      <c r="N32" s="67">
        <f t="shared" si="48"/>
        <v>113.40315743373262</v>
      </c>
      <c r="O32" s="67">
        <f>M32*F32</f>
        <v>85555.487763887213</v>
      </c>
      <c r="P32" s="67">
        <f t="shared" ref="P32:P33" si="50">N32*F32</f>
        <v>88453.782379366836</v>
      </c>
      <c r="Q32" s="67">
        <f t="shared" ref="Q32:Q33" si="51">O32-P32</f>
        <v>-2898.2946154796227</v>
      </c>
      <c r="R32" s="71">
        <f>N32</f>
        <v>113.40315743373262</v>
      </c>
      <c r="S32" s="71">
        <f>R32*F32</f>
        <v>88453.782379366836</v>
      </c>
      <c r="T32" s="71">
        <f>S32-O32</f>
        <v>2898.2946154796227</v>
      </c>
    </row>
    <row r="33" spans="1:22" s="60" customFormat="1">
      <c r="A33" s="291"/>
      <c r="B33" s="131" t="s">
        <v>153</v>
      </c>
      <c r="C33" s="134" t="s">
        <v>116</v>
      </c>
      <c r="D33" s="151">
        <v>8.6666000000000007</v>
      </c>
      <c r="E33" s="31">
        <v>12</v>
      </c>
      <c r="F33" s="162">
        <f t="shared" si="37"/>
        <v>103.9992</v>
      </c>
      <c r="G33" s="110">
        <f>+References!B32</f>
        <v>840</v>
      </c>
      <c r="H33" s="68">
        <f t="shared" si="47"/>
        <v>87359.328000000009</v>
      </c>
      <c r="I33" s="47">
        <f t="shared" si="49"/>
        <v>70176.903698940834</v>
      </c>
      <c r="J33" s="67">
        <f>(References!$C$49*I33)</f>
        <v>514.39670411323561</v>
      </c>
      <c r="K33" s="67">
        <f>J33/References!$G$52</f>
        <v>529.54159369285117</v>
      </c>
      <c r="L33" s="67">
        <f t="shared" si="39"/>
        <v>5.091785260779421</v>
      </c>
      <c r="M33" s="164">
        <v>149.90917569243155</v>
      </c>
      <c r="N33" s="67">
        <f t="shared" ref="N33" si="52">L33+M33</f>
        <v>155.00096095321098</v>
      </c>
      <c r="O33" s="67">
        <f>M33*F33</f>
        <v>15590.434344672327</v>
      </c>
      <c r="P33" s="67">
        <f t="shared" si="50"/>
        <v>16119.97593836518</v>
      </c>
      <c r="Q33" s="67">
        <f t="shared" si="51"/>
        <v>-529.54159369285298</v>
      </c>
      <c r="R33" s="71">
        <f>N33</f>
        <v>155.00096095321098</v>
      </c>
      <c r="S33" s="71">
        <f>R33*F33</f>
        <v>16119.97593836518</v>
      </c>
      <c r="T33" s="71">
        <f>S33-O33</f>
        <v>529.54159369285298</v>
      </c>
    </row>
    <row r="34" spans="1:22">
      <c r="A34" s="291"/>
      <c r="B34" s="131" t="s">
        <v>153</v>
      </c>
      <c r="C34" s="58" t="s">
        <v>318</v>
      </c>
      <c r="D34" s="151">
        <v>1</v>
      </c>
      <c r="E34" s="31">
        <v>12</v>
      </c>
      <c r="F34" s="162">
        <f t="shared" si="37"/>
        <v>12</v>
      </c>
      <c r="G34" s="119">
        <f>+G58</f>
        <v>473</v>
      </c>
      <c r="H34" s="68">
        <f>G34*F34</f>
        <v>5676</v>
      </c>
      <c r="I34" s="47">
        <f t="shared" si="49"/>
        <v>4559.6058774077119</v>
      </c>
      <c r="J34" s="67">
        <f>(References!$C$49*I34)</f>
        <v>33.421911081398477</v>
      </c>
      <c r="K34" s="67">
        <f>J34/References!$G$52</f>
        <v>34.405920404980932</v>
      </c>
      <c r="L34" s="67">
        <f t="shared" si="39"/>
        <v>2.8671600337484109</v>
      </c>
      <c r="M34" s="284">
        <v>83.91</v>
      </c>
      <c r="N34" s="67">
        <f>L34+M34</f>
        <v>86.777160033748402</v>
      </c>
      <c r="O34" s="67">
        <f>M34*F34</f>
        <v>1006.92</v>
      </c>
      <c r="P34" s="67">
        <f t="shared" ref="P34" si="53">N34*F34</f>
        <v>1041.3259204049809</v>
      </c>
      <c r="Q34" s="67">
        <f t="shared" ref="Q34" si="54">O34-P34</f>
        <v>-34.405920404980975</v>
      </c>
      <c r="R34" s="71">
        <f>N34</f>
        <v>86.777160033748402</v>
      </c>
      <c r="S34" s="71">
        <f>R34*F34</f>
        <v>1041.3259204049809</v>
      </c>
      <c r="T34" s="71">
        <f>S34-O34</f>
        <v>34.405920404980975</v>
      </c>
      <c r="U34" s="60"/>
      <c r="V34" s="60"/>
    </row>
    <row r="35" spans="1:22" s="60" customFormat="1">
      <c r="A35" s="291"/>
      <c r="B35" s="48"/>
      <c r="C35" s="112"/>
      <c r="D35" s="95"/>
      <c r="E35" s="69"/>
      <c r="F35" s="113"/>
      <c r="G35" s="110"/>
      <c r="H35" s="68"/>
      <c r="I35" s="47"/>
      <c r="J35" s="67"/>
      <c r="K35" s="67"/>
      <c r="L35" s="67"/>
      <c r="M35" s="67"/>
      <c r="N35" s="67"/>
      <c r="O35" s="67"/>
      <c r="P35" s="67"/>
      <c r="Q35" s="67"/>
      <c r="R35" s="71"/>
      <c r="S35" s="71"/>
      <c r="T35" s="71"/>
    </row>
    <row r="36" spans="1:22" s="60" customFormat="1">
      <c r="A36" s="51"/>
      <c r="B36" s="49"/>
      <c r="C36" s="52" t="s">
        <v>17</v>
      </c>
      <c r="D36" s="53">
        <f>SUM(D30:D34)</f>
        <v>789.66060000000004</v>
      </c>
      <c r="E36" s="53"/>
      <c r="F36" s="53">
        <f>SUM(F30:F34)</f>
        <v>9475.9272000000001</v>
      </c>
      <c r="G36" s="100"/>
      <c r="H36" s="53">
        <f>SUM(H30:H34)</f>
        <v>975520.5395999999</v>
      </c>
      <c r="I36" s="53">
        <f>SUM(I30:I34)</f>
        <v>783648.55283511314</v>
      </c>
      <c r="J36" s="73"/>
      <c r="K36" s="73"/>
      <c r="L36" s="73"/>
      <c r="M36" s="73"/>
      <c r="N36" s="73"/>
      <c r="O36" s="53">
        <f>SUM(O30:O34)</f>
        <v>198870.91420530953</v>
      </c>
      <c r="P36" s="53">
        <f>SUM(P30:P34)</f>
        <v>204784.17742569387</v>
      </c>
      <c r="Q36" s="116">
        <f>SUM(Q30:Q34)</f>
        <v>-5913.2632203843714</v>
      </c>
      <c r="R36" s="116"/>
      <c r="S36" s="53">
        <f>SUM(S30:S34)</f>
        <v>204784.17742569387</v>
      </c>
      <c r="T36" s="53">
        <f>SUM(T30:T34)</f>
        <v>5913.2632203843714</v>
      </c>
    </row>
    <row r="37" spans="1:22">
      <c r="C37" s="64" t="s">
        <v>3</v>
      </c>
      <c r="D37" s="65">
        <f>D12+D29+D36</f>
        <v>6190.076</v>
      </c>
      <c r="E37" s="65"/>
      <c r="F37" s="65">
        <f>F12+F29+F36</f>
        <v>279950.91199999989</v>
      </c>
      <c r="G37" s="101"/>
      <c r="H37" s="65">
        <f>H12+H29+H36</f>
        <v>12672516.343199998</v>
      </c>
      <c r="I37" s="65">
        <f>I12+I29+I36</f>
        <v>10180000.000000002</v>
      </c>
      <c r="J37" s="67"/>
      <c r="K37" s="75"/>
      <c r="L37" s="75"/>
      <c r="M37" s="75"/>
      <c r="N37" s="75"/>
      <c r="O37" s="65">
        <f>O12+O29+O36</f>
        <v>1997030.1314064325</v>
      </c>
      <c r="P37" s="65">
        <f>P12+P29+P36</f>
        <v>2073846.478946066</v>
      </c>
      <c r="Q37" s="65">
        <f>Q12+Q29+Q36</f>
        <v>-76816.347539633338</v>
      </c>
      <c r="R37" s="65"/>
      <c r="S37" s="65">
        <f>S12+S29+S36</f>
        <v>2073846.478946066</v>
      </c>
      <c r="T37" s="65">
        <f>T12+T29+T36</f>
        <v>76816.347539633338</v>
      </c>
    </row>
    <row r="38" spans="1:22">
      <c r="J38" s="56"/>
      <c r="T38" s="30">
        <f>T37/O37</f>
        <v>3.8465292201442403E-2</v>
      </c>
    </row>
    <row r="39" spans="1:22">
      <c r="A39" s="122"/>
      <c r="B39" s="123"/>
      <c r="C39" s="124" t="s">
        <v>147</v>
      </c>
      <c r="D39" s="125"/>
      <c r="E39" s="126"/>
      <c r="F39" s="126"/>
      <c r="G39" s="127"/>
      <c r="H39" s="126"/>
      <c r="I39" s="128"/>
      <c r="J39" s="129"/>
      <c r="K39" s="126"/>
      <c r="L39" s="126"/>
      <c r="M39" s="126"/>
      <c r="N39" s="126"/>
      <c r="O39" s="60"/>
      <c r="P39" s="60"/>
      <c r="Q39" s="60"/>
      <c r="R39" s="60"/>
      <c r="S39" s="60"/>
      <c r="T39" s="60"/>
      <c r="U39" s="60"/>
      <c r="V39" s="60"/>
    </row>
    <row r="40" spans="1:22" s="60" customFormat="1" ht="14.45" customHeight="1">
      <c r="A40" s="130"/>
      <c r="B40" s="131" t="s">
        <v>151</v>
      </c>
      <c r="C40" s="134" t="s">
        <v>107</v>
      </c>
      <c r="D40" s="151">
        <v>1</v>
      </c>
      <c r="E40" s="148">
        <v>1</v>
      </c>
      <c r="F40" s="118">
        <f>D40*E40*12</f>
        <v>12</v>
      </c>
      <c r="G40" s="119">
        <f>References!B17</f>
        <v>97</v>
      </c>
      <c r="H40" s="68">
        <f>G40*F40</f>
        <v>1164</v>
      </c>
      <c r="I40" s="47">
        <f t="shared" ref="I40:I79" si="55">$D$130*H40</f>
        <v>935.05659642399166</v>
      </c>
      <c r="J40" s="67">
        <f>(References!$C$49*I40)</f>
        <v>6.8539648517878486</v>
      </c>
      <c r="K40" s="67">
        <f>J40/References!$G$52</f>
        <v>7.0557595756514804</v>
      </c>
      <c r="L40" s="67">
        <f>K40/F40*E40</f>
        <v>0.58797996463762336</v>
      </c>
      <c r="M40" s="164">
        <v>68.83</v>
      </c>
      <c r="N40" s="67">
        <f>L40+M40</f>
        <v>69.417979964637624</v>
      </c>
      <c r="O40" s="67"/>
      <c r="P40" s="67"/>
      <c r="Q40" s="67"/>
      <c r="R40" s="67"/>
      <c r="S40" s="67"/>
      <c r="T40" s="67"/>
    </row>
    <row r="41" spans="1:22" s="60" customFormat="1">
      <c r="A41" s="130"/>
      <c r="B41" s="131" t="s">
        <v>151</v>
      </c>
      <c r="C41" s="134" t="s">
        <v>120</v>
      </c>
      <c r="D41" s="151">
        <v>1</v>
      </c>
      <c r="E41" s="148">
        <v>1</v>
      </c>
      <c r="F41" s="118">
        <f>D41*E41*12</f>
        <v>12</v>
      </c>
      <c r="G41" s="119">
        <f>References!B18</f>
        <v>117</v>
      </c>
      <c r="H41" s="68">
        <f t="shared" ref="H41:H70" si="56">G41*F41</f>
        <v>1404</v>
      </c>
      <c r="I41" s="47">
        <f t="shared" si="55"/>
        <v>1127.8517709444022</v>
      </c>
      <c r="J41" s="67">
        <f>(References!$C$49*I41)</f>
        <v>8.2671534810224561</v>
      </c>
      <c r="K41" s="67">
        <f>J41/References!$G$52</f>
        <v>8.5105553644455991</v>
      </c>
      <c r="L41" s="67">
        <f t="shared" ref="L41:L70" si="57">K41/F41*E41</f>
        <v>0.70921294703713322</v>
      </c>
      <c r="M41" s="164">
        <v>83.89</v>
      </c>
      <c r="N41" s="67">
        <f t="shared" ref="N41:N106" si="58">L41+M41</f>
        <v>84.599212947037131</v>
      </c>
      <c r="O41" s="67"/>
      <c r="P41" s="67"/>
      <c r="Q41" s="67"/>
      <c r="R41" s="67"/>
      <c r="S41" s="67"/>
      <c r="T41" s="67"/>
    </row>
    <row r="42" spans="1:22" s="60" customFormat="1">
      <c r="A42" s="130"/>
      <c r="B42" s="131" t="s">
        <v>152</v>
      </c>
      <c r="C42" s="134" t="s">
        <v>121</v>
      </c>
      <c r="D42" s="151">
        <v>1</v>
      </c>
      <c r="E42" s="148">
        <v>1</v>
      </c>
      <c r="F42" s="118">
        <f t="shared" ref="F42:F78" si="59">D42*E42*12</f>
        <v>12</v>
      </c>
      <c r="G42" s="119">
        <f>References!B24</f>
        <v>34</v>
      </c>
      <c r="H42" s="68">
        <f t="shared" si="56"/>
        <v>408</v>
      </c>
      <c r="I42" s="47">
        <f t="shared" si="55"/>
        <v>327.75179668469809</v>
      </c>
      <c r="J42" s="67">
        <f>(References!$C$49*I42)</f>
        <v>2.4024206696988335</v>
      </c>
      <c r="K42" s="67">
        <f>J42/References!$G$52</f>
        <v>2.4731528409500037</v>
      </c>
      <c r="L42" s="67">
        <f t="shared" si="57"/>
        <v>0.20609607007916697</v>
      </c>
      <c r="M42" s="164">
        <v>5.1100000000000003</v>
      </c>
      <c r="N42" s="67">
        <f t="shared" si="58"/>
        <v>5.3160960700791673</v>
      </c>
      <c r="O42" s="67"/>
      <c r="P42" s="67"/>
      <c r="Q42" s="67"/>
      <c r="R42" s="67"/>
      <c r="S42" s="67"/>
      <c r="T42" s="67"/>
    </row>
    <row r="43" spans="1:22" s="60" customFormat="1">
      <c r="A43" s="130"/>
      <c r="B43" s="131" t="s">
        <v>153</v>
      </c>
      <c r="C43" s="134" t="s">
        <v>122</v>
      </c>
      <c r="D43" s="151">
        <v>1</v>
      </c>
      <c r="E43" s="69">
        <v>1</v>
      </c>
      <c r="F43" s="118">
        <f t="shared" si="59"/>
        <v>12</v>
      </c>
      <c r="G43" s="119">
        <f>References!B13</f>
        <v>20</v>
      </c>
      <c r="H43" s="68">
        <f t="shared" si="56"/>
        <v>240</v>
      </c>
      <c r="I43" s="47">
        <f t="shared" si="55"/>
        <v>192.79517452041065</v>
      </c>
      <c r="J43" s="67">
        <f>(References!$C$49*I43)</f>
        <v>1.4131886292346081</v>
      </c>
      <c r="K43" s="67">
        <f>J43/References!$G$52</f>
        <v>1.4547957887941199</v>
      </c>
      <c r="L43" s="67">
        <f t="shared" si="57"/>
        <v>0.12123298239950998</v>
      </c>
      <c r="M43" s="164">
        <v>6.5968541112001287</v>
      </c>
      <c r="N43" s="67">
        <f t="shared" si="58"/>
        <v>6.7180870935996388</v>
      </c>
      <c r="O43" s="67"/>
      <c r="P43" s="67"/>
      <c r="Q43" s="67"/>
      <c r="R43" s="67"/>
      <c r="S43" s="67"/>
      <c r="T43" s="67"/>
    </row>
    <row r="44" spans="1:22" s="60" customFormat="1" ht="14.45" customHeight="1">
      <c r="A44" s="132"/>
      <c r="B44" s="107" t="s">
        <v>153</v>
      </c>
      <c r="C44" s="149" t="s">
        <v>163</v>
      </c>
      <c r="D44" s="151">
        <v>1</v>
      </c>
      <c r="E44" s="148">
        <v>1</v>
      </c>
      <c r="F44" s="118">
        <f t="shared" si="59"/>
        <v>12</v>
      </c>
      <c r="G44" s="110">
        <f>References!B20</f>
        <v>37</v>
      </c>
      <c r="H44" s="68">
        <f t="shared" ref="H44" si="60">G44*F44</f>
        <v>444</v>
      </c>
      <c r="I44" s="47">
        <f t="shared" si="55"/>
        <v>356.67107286275973</v>
      </c>
      <c r="J44" s="67">
        <f>(References!$C$49*I44)</f>
        <v>2.6143989640840251</v>
      </c>
      <c r="K44" s="67">
        <f>J44/References!$G$52</f>
        <v>2.6913722092691219</v>
      </c>
      <c r="L44" s="67">
        <f t="shared" ref="L44" si="61">K44/F44</f>
        <v>0.22428101743909348</v>
      </c>
      <c r="M44" s="165">
        <v>6.69</v>
      </c>
      <c r="N44" s="67">
        <f t="shared" ref="N44" si="62">L44+M44</f>
        <v>6.9142810174390936</v>
      </c>
      <c r="O44" s="67"/>
      <c r="P44" s="67"/>
      <c r="Q44" s="67"/>
      <c r="R44" s="67"/>
      <c r="S44" s="67"/>
      <c r="T44" s="67"/>
    </row>
    <row r="45" spans="1:22" s="60" customFormat="1" ht="14.45" customHeight="1">
      <c r="A45" s="132"/>
      <c r="B45" s="131" t="s">
        <v>153</v>
      </c>
      <c r="C45" s="134" t="s">
        <v>108</v>
      </c>
      <c r="D45" s="151">
        <v>1</v>
      </c>
      <c r="E45" s="148">
        <v>1</v>
      </c>
      <c r="F45" s="118">
        <f t="shared" si="59"/>
        <v>12</v>
      </c>
      <c r="G45" s="110">
        <f>References!B21</f>
        <v>47</v>
      </c>
      <c r="H45" s="68">
        <f t="shared" ref="H45" si="63">G45*F45</f>
        <v>564</v>
      </c>
      <c r="I45" s="47">
        <f t="shared" si="55"/>
        <v>453.06866012296501</v>
      </c>
      <c r="J45" s="67">
        <f>(References!$C$49*I45)</f>
        <v>3.3209932787013288</v>
      </c>
      <c r="K45" s="67">
        <f>J45/References!$G$52</f>
        <v>3.4187701036661813</v>
      </c>
      <c r="L45" s="67">
        <f t="shared" ref="L45" si="64">K45/F45</f>
        <v>0.28489750863884844</v>
      </c>
      <c r="M45" s="165">
        <v>6.742309898357739</v>
      </c>
      <c r="N45" s="67">
        <f t="shared" ref="N45" si="65">L45+M45</f>
        <v>7.0272074069965873</v>
      </c>
      <c r="O45" s="67"/>
      <c r="P45" s="67"/>
      <c r="Q45" s="67"/>
      <c r="R45" s="67"/>
      <c r="S45" s="67"/>
      <c r="T45" s="67"/>
    </row>
    <row r="46" spans="1:22" s="60" customFormat="1">
      <c r="A46" s="130"/>
      <c r="B46" s="131" t="s">
        <v>153</v>
      </c>
      <c r="C46" s="134" t="s">
        <v>127</v>
      </c>
      <c r="D46" s="151">
        <v>1</v>
      </c>
      <c r="E46" s="69">
        <v>1</v>
      </c>
      <c r="F46" s="118">
        <f t="shared" si="59"/>
        <v>12</v>
      </c>
      <c r="G46" s="119">
        <f>References!B27</f>
        <v>175</v>
      </c>
      <c r="H46" s="68">
        <f t="shared" si="56"/>
        <v>2100</v>
      </c>
      <c r="I46" s="47">
        <f t="shared" si="55"/>
        <v>1686.9577770535932</v>
      </c>
      <c r="J46" s="67">
        <f>(References!$C$49*I46)</f>
        <v>12.365400505802819</v>
      </c>
      <c r="K46" s="67">
        <f>J46/References!$G$52</f>
        <v>12.729463151948547</v>
      </c>
      <c r="L46" s="67">
        <f t="shared" si="57"/>
        <v>1.0607885959957122</v>
      </c>
      <c r="M46" s="164">
        <v>30.175884169772679</v>
      </c>
      <c r="N46" s="67">
        <f t="shared" si="58"/>
        <v>31.236672765768393</v>
      </c>
      <c r="O46" s="67"/>
      <c r="P46" s="67"/>
      <c r="Q46" s="67"/>
      <c r="R46" s="67"/>
      <c r="S46" s="67"/>
      <c r="T46" s="67"/>
    </row>
    <row r="47" spans="1:22" s="60" customFormat="1">
      <c r="A47" s="130"/>
      <c r="B47" s="107" t="s">
        <v>153</v>
      </c>
      <c r="C47" s="149" t="s">
        <v>112</v>
      </c>
      <c r="D47" s="151">
        <v>1</v>
      </c>
      <c r="E47" s="148">
        <v>1</v>
      </c>
      <c r="F47" s="118">
        <f t="shared" si="59"/>
        <v>12</v>
      </c>
      <c r="G47" s="119">
        <f>References!B28</f>
        <v>250</v>
      </c>
      <c r="H47" s="68">
        <f t="shared" ref="H47:H49" si="66">G47*F47</f>
        <v>3000</v>
      </c>
      <c r="I47" s="47">
        <f t="shared" si="55"/>
        <v>2409.9396815051332</v>
      </c>
      <c r="J47" s="67">
        <f>(References!$C$49*I47)</f>
        <v>17.664857865432602</v>
      </c>
      <c r="K47" s="67">
        <f>J47/References!$G$52</f>
        <v>18.1849473599265</v>
      </c>
      <c r="L47" s="67">
        <f t="shared" ref="L47:L49" si="67">K47/F47*E47</f>
        <v>1.515412279993875</v>
      </c>
      <c r="M47" s="164">
        <v>41.491482736298188</v>
      </c>
      <c r="N47" s="67">
        <f t="shared" ref="N47:N49" si="68">L47+M47</f>
        <v>43.006895016292063</v>
      </c>
      <c r="O47" s="67"/>
      <c r="P47" s="67"/>
      <c r="Q47" s="67"/>
      <c r="R47" s="67"/>
      <c r="S47" s="67"/>
      <c r="T47" s="67"/>
    </row>
    <row r="48" spans="1:22" s="60" customFormat="1">
      <c r="A48" s="130"/>
      <c r="B48" s="107" t="s">
        <v>153</v>
      </c>
      <c r="C48" s="149" t="s">
        <v>113</v>
      </c>
      <c r="D48" s="151">
        <v>1</v>
      </c>
      <c r="E48" s="148">
        <v>1</v>
      </c>
      <c r="F48" s="118">
        <f t="shared" si="59"/>
        <v>12</v>
      </c>
      <c r="G48" s="119">
        <f>References!B29</f>
        <v>324</v>
      </c>
      <c r="H48" s="68">
        <f t="shared" si="66"/>
        <v>3888</v>
      </c>
      <c r="I48" s="47">
        <f t="shared" si="55"/>
        <v>3123.2818272306527</v>
      </c>
      <c r="J48" s="67">
        <f>(References!$C$49*I48)</f>
        <v>22.893655793600651</v>
      </c>
      <c r="K48" s="67">
        <f>J48/References!$G$52</f>
        <v>23.567691778464742</v>
      </c>
      <c r="L48" s="67">
        <f t="shared" si="67"/>
        <v>1.9639743148720619</v>
      </c>
      <c r="M48" s="164">
        <v>54.33295246558226</v>
      </c>
      <c r="N48" s="67">
        <f t="shared" si="68"/>
        <v>56.296926780454321</v>
      </c>
      <c r="O48" s="67"/>
      <c r="P48" s="67"/>
      <c r="Q48" s="67"/>
      <c r="R48" s="67"/>
      <c r="S48" s="67"/>
      <c r="T48" s="67"/>
    </row>
    <row r="49" spans="1:22" s="60" customFormat="1">
      <c r="A49" s="130"/>
      <c r="B49" s="107" t="s">
        <v>153</v>
      </c>
      <c r="C49" s="149" t="s">
        <v>114</v>
      </c>
      <c r="D49" s="151">
        <v>1</v>
      </c>
      <c r="E49" s="148">
        <v>1</v>
      </c>
      <c r="F49" s="118">
        <f t="shared" si="59"/>
        <v>12</v>
      </c>
      <c r="G49" s="119">
        <f>References!B30</f>
        <v>473</v>
      </c>
      <c r="H49" s="68">
        <f t="shared" si="66"/>
        <v>5676</v>
      </c>
      <c r="I49" s="47">
        <f t="shared" si="55"/>
        <v>4559.6058774077119</v>
      </c>
      <c r="J49" s="67">
        <f>(References!$C$49*I49)</f>
        <v>33.421911081398477</v>
      </c>
      <c r="K49" s="67">
        <f>J49/References!$G$52</f>
        <v>34.405920404980932</v>
      </c>
      <c r="L49" s="67">
        <f t="shared" si="67"/>
        <v>2.8671600337484109</v>
      </c>
      <c r="M49" s="164">
        <v>77.28000537120144</v>
      </c>
      <c r="N49" s="67">
        <f t="shared" si="68"/>
        <v>80.147165404949845</v>
      </c>
      <c r="O49" s="67"/>
      <c r="P49" s="67"/>
      <c r="Q49" s="67"/>
      <c r="R49" s="67"/>
      <c r="S49" s="67"/>
      <c r="T49" s="67"/>
    </row>
    <row r="50" spans="1:22" s="60" customFormat="1">
      <c r="A50" s="250"/>
      <c r="B50" s="107" t="s">
        <v>153</v>
      </c>
      <c r="C50" s="149" t="s">
        <v>117</v>
      </c>
      <c r="D50" s="161">
        <v>1</v>
      </c>
      <c r="E50" s="148">
        <v>1</v>
      </c>
      <c r="F50" s="118">
        <f t="shared" si="59"/>
        <v>12</v>
      </c>
      <c r="G50" s="110">
        <f>+References!B33</f>
        <v>980</v>
      </c>
      <c r="H50" s="68">
        <f>G50*F50</f>
        <v>11760</v>
      </c>
      <c r="I50" s="47">
        <f t="shared" si="55"/>
        <v>9446.9635515001228</v>
      </c>
      <c r="J50" s="67">
        <f>(References!$C$49*I50)</f>
        <v>69.246242832495795</v>
      </c>
      <c r="K50" s="67">
        <f>J50/References!$G$52</f>
        <v>71.284993650911872</v>
      </c>
      <c r="L50" s="67">
        <f>K50/F50</f>
        <v>5.9404161375759896</v>
      </c>
      <c r="M50" s="165">
        <v>200.10269227013686</v>
      </c>
      <c r="N50" s="67">
        <f>L50+M50</f>
        <v>206.04310840771285</v>
      </c>
      <c r="O50" s="67"/>
      <c r="P50" s="67"/>
      <c r="Q50" s="67"/>
      <c r="R50" s="67"/>
      <c r="S50" s="67"/>
      <c r="T50" s="67"/>
    </row>
    <row r="51" spans="1:22">
      <c r="A51" s="130"/>
      <c r="B51" s="131" t="s">
        <v>153</v>
      </c>
      <c r="C51" s="58" t="s">
        <v>123</v>
      </c>
      <c r="D51" s="151">
        <v>1</v>
      </c>
      <c r="E51" s="69">
        <v>1</v>
      </c>
      <c r="F51" s="118">
        <f t="shared" si="59"/>
        <v>12</v>
      </c>
      <c r="G51" s="119">
        <f>References!B13</f>
        <v>20</v>
      </c>
      <c r="H51" s="68">
        <f t="shared" si="56"/>
        <v>240</v>
      </c>
      <c r="I51" s="47">
        <f t="shared" si="55"/>
        <v>192.79517452041065</v>
      </c>
      <c r="J51" s="67">
        <f>(References!$C$49*I51)</f>
        <v>1.4131886292346081</v>
      </c>
      <c r="K51" s="67">
        <f>J51/References!$G$52</f>
        <v>1.4547957887941199</v>
      </c>
      <c r="L51" s="67">
        <f t="shared" si="57"/>
        <v>0.12123298239950998</v>
      </c>
      <c r="M51" s="164">
        <v>7.3357130662721453</v>
      </c>
      <c r="N51" s="67">
        <f t="shared" si="58"/>
        <v>7.4569460486716554</v>
      </c>
      <c r="O51" s="67"/>
      <c r="P51" s="67"/>
      <c r="Q51" s="67"/>
      <c r="R51" s="67"/>
      <c r="S51" s="67"/>
      <c r="T51" s="67"/>
      <c r="U51" s="60"/>
      <c r="V51" s="60"/>
    </row>
    <row r="52" spans="1:22">
      <c r="A52" s="130"/>
      <c r="B52" s="131" t="s">
        <v>153</v>
      </c>
      <c r="C52" s="58" t="s">
        <v>124</v>
      </c>
      <c r="D52" s="151">
        <v>1</v>
      </c>
      <c r="E52" s="69">
        <v>1</v>
      </c>
      <c r="F52" s="118">
        <f t="shared" si="59"/>
        <v>12</v>
      </c>
      <c r="G52" s="119">
        <f>References!B26</f>
        <v>29</v>
      </c>
      <c r="H52" s="68">
        <f t="shared" si="56"/>
        <v>348</v>
      </c>
      <c r="I52" s="47">
        <f t="shared" si="55"/>
        <v>279.55300305459542</v>
      </c>
      <c r="J52" s="67">
        <f>(References!$C$49*I52)</f>
        <v>2.0491235123901816</v>
      </c>
      <c r="K52" s="67">
        <f>J52/References!$G$52</f>
        <v>2.1094538937514735</v>
      </c>
      <c r="L52" s="67">
        <f t="shared" si="57"/>
        <v>0.17578782447928945</v>
      </c>
      <c r="M52" s="164">
        <v>7.384198328658016</v>
      </c>
      <c r="N52" s="67">
        <f t="shared" si="58"/>
        <v>7.5599861531373058</v>
      </c>
      <c r="O52" s="67"/>
      <c r="P52" s="67"/>
      <c r="Q52" s="67"/>
      <c r="R52" s="67"/>
      <c r="S52" s="67"/>
      <c r="T52" s="67"/>
      <c r="U52" s="60"/>
      <c r="V52" s="60"/>
    </row>
    <row r="53" spans="1:22">
      <c r="A53" s="130"/>
      <c r="B53" s="131" t="s">
        <v>153</v>
      </c>
      <c r="C53" s="58" t="s">
        <v>125</v>
      </c>
      <c r="D53" s="151">
        <v>1</v>
      </c>
      <c r="E53" s="69">
        <v>1</v>
      </c>
      <c r="F53" s="118">
        <f t="shared" si="59"/>
        <v>12</v>
      </c>
      <c r="G53" s="119">
        <f>References!B21</f>
        <v>47</v>
      </c>
      <c r="H53" s="68">
        <f t="shared" si="56"/>
        <v>564</v>
      </c>
      <c r="I53" s="47">
        <f t="shared" si="55"/>
        <v>453.06866012296501</v>
      </c>
      <c r="J53" s="67">
        <f>(References!$C$49*I53)</f>
        <v>3.3209932787013288</v>
      </c>
      <c r="K53" s="67">
        <f>J53/References!$G$52</f>
        <v>3.4187701036661813</v>
      </c>
      <c r="L53" s="67">
        <f t="shared" si="57"/>
        <v>0.28489750863884844</v>
      </c>
      <c r="M53" s="164">
        <v>10.897053008038064</v>
      </c>
      <c r="N53" s="67">
        <f t="shared" si="58"/>
        <v>11.181950516676913</v>
      </c>
      <c r="O53" s="67"/>
      <c r="P53" s="67"/>
      <c r="Q53" s="67"/>
      <c r="R53" s="67"/>
      <c r="S53" s="67"/>
      <c r="T53" s="67"/>
      <c r="U53" s="60"/>
      <c r="V53" s="60"/>
    </row>
    <row r="54" spans="1:22">
      <c r="A54" s="130"/>
      <c r="B54" s="131" t="s">
        <v>153</v>
      </c>
      <c r="C54" s="58" t="s">
        <v>126</v>
      </c>
      <c r="D54" s="151">
        <v>1</v>
      </c>
      <c r="E54" s="69">
        <v>1</v>
      </c>
      <c r="F54" s="118">
        <f t="shared" si="59"/>
        <v>12</v>
      </c>
      <c r="G54" s="119">
        <f>References!B22</f>
        <v>68</v>
      </c>
      <c r="H54" s="68">
        <f t="shared" si="56"/>
        <v>816</v>
      </c>
      <c r="I54" s="47">
        <f t="shared" si="55"/>
        <v>655.50359336939619</v>
      </c>
      <c r="J54" s="67">
        <f>(References!$C$49*I54)</f>
        <v>4.804841339397667</v>
      </c>
      <c r="K54" s="67">
        <f>J54/References!$G$52</f>
        <v>4.9463056819000073</v>
      </c>
      <c r="L54" s="67">
        <f t="shared" si="57"/>
        <v>0.41219214015833394</v>
      </c>
      <c r="M54" s="164">
        <v>14.92935017905956</v>
      </c>
      <c r="N54" s="67">
        <f t="shared" si="58"/>
        <v>15.341542319217893</v>
      </c>
      <c r="O54" s="67"/>
      <c r="P54" s="67"/>
      <c r="Q54" s="67"/>
      <c r="R54" s="67"/>
      <c r="S54" s="67"/>
      <c r="T54" s="67"/>
      <c r="U54" s="60"/>
      <c r="V54" s="60"/>
    </row>
    <row r="55" spans="1:22">
      <c r="A55" s="130"/>
      <c r="B55" s="131" t="s">
        <v>153</v>
      </c>
      <c r="C55" s="58" t="s">
        <v>128</v>
      </c>
      <c r="D55" s="151">
        <v>1</v>
      </c>
      <c r="E55" s="69">
        <v>1</v>
      </c>
      <c r="F55" s="118">
        <f t="shared" si="59"/>
        <v>12</v>
      </c>
      <c r="G55" s="119">
        <f>References!B27</f>
        <v>175</v>
      </c>
      <c r="H55" s="68">
        <f t="shared" si="56"/>
        <v>2100</v>
      </c>
      <c r="I55" s="47">
        <f t="shared" si="55"/>
        <v>1686.9577770535932</v>
      </c>
      <c r="J55" s="67">
        <f>(References!$C$49*I55)</f>
        <v>12.365400505802819</v>
      </c>
      <c r="K55" s="67">
        <f>J55/References!$G$52</f>
        <v>12.729463151948547</v>
      </c>
      <c r="L55" s="67">
        <f t="shared" si="57"/>
        <v>1.0607885959957122</v>
      </c>
      <c r="M55" s="164">
        <v>33.399022510014376</v>
      </c>
      <c r="N55" s="67">
        <f t="shared" si="58"/>
        <v>34.459811106010086</v>
      </c>
      <c r="O55" s="67"/>
      <c r="P55" s="67"/>
      <c r="Q55" s="67"/>
      <c r="R55" s="67"/>
      <c r="S55" s="67"/>
      <c r="T55" s="67"/>
      <c r="U55" s="60"/>
      <c r="V55" s="60"/>
    </row>
    <row r="56" spans="1:22">
      <c r="A56" s="130"/>
      <c r="B56" s="131" t="s">
        <v>153</v>
      </c>
      <c r="C56" s="58" t="s">
        <v>129</v>
      </c>
      <c r="D56" s="151">
        <v>1</v>
      </c>
      <c r="E56" s="69">
        <v>1</v>
      </c>
      <c r="F56" s="118">
        <f t="shared" si="59"/>
        <v>12</v>
      </c>
      <c r="G56" s="119">
        <f>References!B28</f>
        <v>250</v>
      </c>
      <c r="H56" s="68">
        <f t="shared" si="56"/>
        <v>3000</v>
      </c>
      <c r="I56" s="47">
        <f t="shared" si="55"/>
        <v>2409.9396815051332</v>
      </c>
      <c r="J56" s="67">
        <f>(References!$C$49*I56)</f>
        <v>17.664857865432602</v>
      </c>
      <c r="K56" s="67">
        <f>J56/References!$G$52</f>
        <v>18.1849473599265</v>
      </c>
      <c r="L56" s="67">
        <f t="shared" si="57"/>
        <v>1.515412279993875</v>
      </c>
      <c r="M56" s="164">
        <v>44.800285882925046</v>
      </c>
      <c r="N56" s="67">
        <f t="shared" si="58"/>
        <v>46.31569816291892</v>
      </c>
      <c r="O56" s="67"/>
      <c r="P56" s="67"/>
      <c r="Q56" s="67"/>
      <c r="R56" s="67"/>
      <c r="S56" s="67"/>
      <c r="T56" s="67"/>
      <c r="U56" s="60"/>
      <c r="V56" s="60"/>
    </row>
    <row r="57" spans="1:22">
      <c r="A57" s="130"/>
      <c r="B57" s="131" t="s">
        <v>153</v>
      </c>
      <c r="C57" s="58" t="s">
        <v>130</v>
      </c>
      <c r="D57" s="151">
        <v>1</v>
      </c>
      <c r="E57" s="69">
        <v>1</v>
      </c>
      <c r="F57" s="118">
        <f t="shared" si="59"/>
        <v>12</v>
      </c>
      <c r="G57" s="119">
        <f>References!B29</f>
        <v>324</v>
      </c>
      <c r="H57" s="68">
        <f t="shared" si="56"/>
        <v>3888</v>
      </c>
      <c r="I57" s="47">
        <f t="shared" si="55"/>
        <v>3123.2818272306527</v>
      </c>
      <c r="J57" s="67">
        <f>(References!$C$49*I57)</f>
        <v>22.893655793600651</v>
      </c>
      <c r="K57" s="67">
        <f>J57/References!$G$52</f>
        <v>23.567691778464742</v>
      </c>
      <c r="L57" s="67">
        <f t="shared" si="57"/>
        <v>1.9639743148720619</v>
      </c>
      <c r="M57" s="164">
        <v>59.301511235921616</v>
      </c>
      <c r="N57" s="67">
        <f t="shared" si="58"/>
        <v>61.265485550793677</v>
      </c>
      <c r="O57" s="67"/>
      <c r="P57" s="67"/>
      <c r="Q57" s="67"/>
      <c r="R57" s="67"/>
      <c r="S57" s="67"/>
      <c r="T57" s="67"/>
      <c r="U57" s="60"/>
      <c r="V57" s="60"/>
    </row>
    <row r="58" spans="1:22">
      <c r="A58" s="130"/>
      <c r="B58" s="131" t="s">
        <v>153</v>
      </c>
      <c r="C58" s="58" t="s">
        <v>131</v>
      </c>
      <c r="D58" s="151">
        <v>1</v>
      </c>
      <c r="E58" s="69">
        <v>1</v>
      </c>
      <c r="F58" s="118">
        <f t="shared" si="59"/>
        <v>12</v>
      </c>
      <c r="G58" s="119">
        <f>References!B30</f>
        <v>473</v>
      </c>
      <c r="H58" s="68">
        <f t="shared" si="56"/>
        <v>5676</v>
      </c>
      <c r="I58" s="47">
        <f t="shared" si="55"/>
        <v>4559.6058774077119</v>
      </c>
      <c r="J58" s="67">
        <f>(References!$C$49*I58)</f>
        <v>33.421911081398477</v>
      </c>
      <c r="K58" s="67">
        <f>J58/References!$G$52</f>
        <v>34.405920404980932</v>
      </c>
      <c r="L58" s="67">
        <f t="shared" si="57"/>
        <v>2.8671600337484109</v>
      </c>
      <c r="M58" s="164">
        <v>83.908319765253296</v>
      </c>
      <c r="N58" s="67">
        <f t="shared" si="58"/>
        <v>86.775479799001701</v>
      </c>
      <c r="O58" s="67"/>
      <c r="P58" s="67"/>
      <c r="Q58" s="67"/>
      <c r="R58" s="67"/>
      <c r="S58" s="67"/>
      <c r="T58" s="67"/>
      <c r="U58" s="60"/>
      <c r="V58" s="60"/>
    </row>
    <row r="59" spans="1:22">
      <c r="A59" s="130"/>
      <c r="B59" s="131" t="s">
        <v>153</v>
      </c>
      <c r="C59" s="58" t="s">
        <v>132</v>
      </c>
      <c r="D59" s="151">
        <v>1</v>
      </c>
      <c r="E59" s="69">
        <v>1</v>
      </c>
      <c r="F59" s="118">
        <f t="shared" si="59"/>
        <v>12</v>
      </c>
      <c r="G59" s="119">
        <f>References!B31</f>
        <v>613</v>
      </c>
      <c r="H59" s="68">
        <f t="shared" si="56"/>
        <v>7356</v>
      </c>
      <c r="I59" s="47">
        <f t="shared" si="55"/>
        <v>5909.1720990505864</v>
      </c>
      <c r="J59" s="67">
        <f>(References!$C$49*I59)</f>
        <v>43.314231486040732</v>
      </c>
      <c r="K59" s="67">
        <f>J59/References!$G$52</f>
        <v>44.589490926539767</v>
      </c>
      <c r="L59" s="67">
        <f t="shared" si="57"/>
        <v>3.7157909105449805</v>
      </c>
      <c r="M59" s="164">
        <v>109.68736652318763</v>
      </c>
      <c r="N59" s="67">
        <f t="shared" si="58"/>
        <v>113.40315743373262</v>
      </c>
      <c r="O59" s="67"/>
      <c r="P59" s="67"/>
      <c r="Q59" s="67"/>
      <c r="R59" s="67"/>
      <c r="S59" s="67"/>
      <c r="T59" s="67"/>
      <c r="U59" s="60"/>
      <c r="V59" s="60"/>
    </row>
    <row r="60" spans="1:22">
      <c r="A60" s="130"/>
      <c r="B60" s="131" t="s">
        <v>153</v>
      </c>
      <c r="C60" s="58" t="s">
        <v>170</v>
      </c>
      <c r="D60" s="151">
        <v>1</v>
      </c>
      <c r="E60" s="69">
        <v>1</v>
      </c>
      <c r="F60" s="118">
        <f t="shared" si="59"/>
        <v>12</v>
      </c>
      <c r="G60" s="119">
        <f>References!B32</f>
        <v>840</v>
      </c>
      <c r="H60" s="68">
        <f t="shared" si="56"/>
        <v>10080</v>
      </c>
      <c r="I60" s="47">
        <f t="shared" si="55"/>
        <v>8097.3973298572473</v>
      </c>
      <c r="J60" s="67">
        <f>(References!$C$49*I60)</f>
        <v>59.353922427853533</v>
      </c>
      <c r="K60" s="67">
        <f>J60/References!$G$52</f>
        <v>61.10142312935303</v>
      </c>
      <c r="L60" s="67">
        <f t="shared" si="57"/>
        <v>5.0917852607794192</v>
      </c>
      <c r="M60" s="164">
        <v>159.82487703151395</v>
      </c>
      <c r="N60" s="67">
        <f t="shared" si="58"/>
        <v>164.91666229229338</v>
      </c>
      <c r="O60" s="67"/>
      <c r="P60" s="67"/>
      <c r="Q60" s="67"/>
      <c r="R60" s="67"/>
      <c r="S60" s="67"/>
      <c r="T60" s="67"/>
      <c r="U60" s="60"/>
      <c r="V60" s="60"/>
    </row>
    <row r="61" spans="1:22">
      <c r="A61" s="132"/>
      <c r="B61" s="131" t="s">
        <v>153</v>
      </c>
      <c r="C61" s="58" t="s">
        <v>134</v>
      </c>
      <c r="D61" s="151">
        <v>1</v>
      </c>
      <c r="E61" s="69">
        <v>1</v>
      </c>
      <c r="F61" s="118">
        <f t="shared" si="59"/>
        <v>12</v>
      </c>
      <c r="G61" s="119">
        <f>References!B33</f>
        <v>980</v>
      </c>
      <c r="H61" s="68">
        <f t="shared" si="56"/>
        <v>11760</v>
      </c>
      <c r="I61" s="47">
        <f t="shared" si="55"/>
        <v>9446.9635515001228</v>
      </c>
      <c r="J61" s="67">
        <f>(References!$C$49*I61)</f>
        <v>69.246242832495795</v>
      </c>
      <c r="K61" s="67">
        <f>J61/References!$G$52</f>
        <v>71.284993650911872</v>
      </c>
      <c r="L61" s="67">
        <f t="shared" si="57"/>
        <v>5.9404161375759896</v>
      </c>
      <c r="M61" s="164">
        <v>213.84118559415711</v>
      </c>
      <c r="N61" s="67">
        <f t="shared" si="58"/>
        <v>219.7816017317331</v>
      </c>
      <c r="O61" s="67"/>
      <c r="P61" s="67"/>
      <c r="Q61" s="67"/>
      <c r="R61" s="67"/>
      <c r="S61" s="67"/>
      <c r="T61" s="67"/>
      <c r="U61" s="60"/>
      <c r="V61" s="60"/>
    </row>
    <row r="62" spans="1:22">
      <c r="A62" s="132"/>
      <c r="B62" s="131" t="s">
        <v>153</v>
      </c>
      <c r="C62" s="58" t="s">
        <v>164</v>
      </c>
      <c r="D62" s="151">
        <v>1</v>
      </c>
      <c r="E62" s="148">
        <v>1</v>
      </c>
      <c r="F62" s="118">
        <f t="shared" si="59"/>
        <v>12</v>
      </c>
      <c r="G62" s="119">
        <f>+G55</f>
        <v>175</v>
      </c>
      <c r="H62" s="68">
        <f t="shared" ref="H62:H67" si="69">G62*F62</f>
        <v>2100</v>
      </c>
      <c r="I62" s="47">
        <f t="shared" si="55"/>
        <v>1686.9577770535932</v>
      </c>
      <c r="J62" s="67">
        <f>(References!$C$49*I62)</f>
        <v>12.365400505802819</v>
      </c>
      <c r="K62" s="67">
        <f>J62/References!$G$52</f>
        <v>12.729463151948547</v>
      </c>
      <c r="L62" s="67">
        <f t="shared" ref="L62:L67" si="70">K62/F62*E62</f>
        <v>1.0607885959957122</v>
      </c>
      <c r="M62" s="164">
        <v>33.399022510014376</v>
      </c>
      <c r="N62" s="67">
        <f t="shared" ref="N62:N67" si="71">L62+M62</f>
        <v>34.459811106010086</v>
      </c>
      <c r="O62" s="67"/>
      <c r="P62" s="67"/>
      <c r="Q62" s="67"/>
      <c r="R62" s="67"/>
      <c r="S62" s="67"/>
      <c r="T62" s="67"/>
      <c r="U62" s="60"/>
      <c r="V62" s="60"/>
    </row>
    <row r="63" spans="1:22">
      <c r="A63" s="132"/>
      <c r="B63" s="131" t="s">
        <v>153</v>
      </c>
      <c r="C63" s="58" t="s">
        <v>165</v>
      </c>
      <c r="D63" s="151">
        <v>1</v>
      </c>
      <c r="E63" s="148">
        <v>1</v>
      </c>
      <c r="F63" s="118">
        <f t="shared" si="59"/>
        <v>12</v>
      </c>
      <c r="G63" s="119">
        <f t="shared" ref="G63:G64" si="72">+G56</f>
        <v>250</v>
      </c>
      <c r="H63" s="68">
        <f t="shared" si="69"/>
        <v>3000</v>
      </c>
      <c r="I63" s="47">
        <f t="shared" si="55"/>
        <v>2409.9396815051332</v>
      </c>
      <c r="J63" s="67">
        <f>(References!$C$49*I63)</f>
        <v>17.664857865432602</v>
      </c>
      <c r="K63" s="67">
        <f>J63/References!$G$52</f>
        <v>18.1849473599265</v>
      </c>
      <c r="L63" s="67">
        <f t="shared" si="70"/>
        <v>1.515412279993875</v>
      </c>
      <c r="M63" s="164">
        <v>44.800285882925046</v>
      </c>
      <c r="N63" s="67">
        <f t="shared" si="71"/>
        <v>46.31569816291892</v>
      </c>
      <c r="O63" s="67"/>
      <c r="P63" s="67"/>
      <c r="Q63" s="67"/>
      <c r="R63" s="67"/>
      <c r="S63" s="67"/>
      <c r="T63" s="67"/>
      <c r="U63" s="60"/>
      <c r="V63" s="60"/>
    </row>
    <row r="64" spans="1:22">
      <c r="A64" s="132"/>
      <c r="B64" s="131" t="s">
        <v>153</v>
      </c>
      <c r="C64" s="58" t="s">
        <v>166</v>
      </c>
      <c r="D64" s="151">
        <v>1</v>
      </c>
      <c r="E64" s="148">
        <v>1</v>
      </c>
      <c r="F64" s="118">
        <f t="shared" si="59"/>
        <v>12</v>
      </c>
      <c r="G64" s="119">
        <f t="shared" si="72"/>
        <v>324</v>
      </c>
      <c r="H64" s="68">
        <f t="shared" si="69"/>
        <v>3888</v>
      </c>
      <c r="I64" s="47">
        <f t="shared" si="55"/>
        <v>3123.2818272306527</v>
      </c>
      <c r="J64" s="67">
        <f>(References!$C$49*I64)</f>
        <v>22.893655793600651</v>
      </c>
      <c r="K64" s="67">
        <f>J64/References!$G$52</f>
        <v>23.567691778464742</v>
      </c>
      <c r="L64" s="67">
        <f t="shared" si="70"/>
        <v>1.9639743148720619</v>
      </c>
      <c r="M64" s="164">
        <v>59.301511235921616</v>
      </c>
      <c r="N64" s="67">
        <f t="shared" si="71"/>
        <v>61.265485550793677</v>
      </c>
      <c r="O64" s="67"/>
      <c r="P64" s="67"/>
      <c r="Q64" s="67"/>
      <c r="R64" s="67"/>
      <c r="S64" s="67"/>
      <c r="T64" s="67"/>
      <c r="U64" s="60"/>
      <c r="V64" s="60"/>
    </row>
    <row r="65" spans="1:22">
      <c r="A65" s="132"/>
      <c r="B65" s="131" t="s">
        <v>153</v>
      </c>
      <c r="C65" s="58" t="s">
        <v>167</v>
      </c>
      <c r="D65" s="151">
        <v>1</v>
      </c>
      <c r="E65" s="148">
        <v>1</v>
      </c>
      <c r="F65" s="118">
        <f t="shared" si="59"/>
        <v>12</v>
      </c>
      <c r="G65" s="119">
        <f>+G59</f>
        <v>613</v>
      </c>
      <c r="H65" s="68">
        <f t="shared" si="69"/>
        <v>7356</v>
      </c>
      <c r="I65" s="47">
        <f t="shared" si="55"/>
        <v>5909.1720990505864</v>
      </c>
      <c r="J65" s="67">
        <f>(References!$C$49*I65)</f>
        <v>43.314231486040732</v>
      </c>
      <c r="K65" s="67">
        <f>J65/References!$G$52</f>
        <v>44.589490926539767</v>
      </c>
      <c r="L65" s="67">
        <f t="shared" si="70"/>
        <v>3.7157909105449805</v>
      </c>
      <c r="M65" s="164">
        <v>109.68736652318763</v>
      </c>
      <c r="N65" s="67">
        <f t="shared" si="71"/>
        <v>113.40315743373262</v>
      </c>
      <c r="O65" s="67"/>
      <c r="P65" s="67"/>
      <c r="Q65" s="67"/>
      <c r="R65" s="67"/>
      <c r="S65" s="67"/>
      <c r="T65" s="67"/>
      <c r="U65" s="60"/>
      <c r="V65" s="60"/>
    </row>
    <row r="66" spans="1:22">
      <c r="A66" s="132"/>
      <c r="B66" s="131" t="s">
        <v>153</v>
      </c>
      <c r="C66" s="58" t="s">
        <v>177</v>
      </c>
      <c r="D66" s="151">
        <v>1</v>
      </c>
      <c r="E66" s="148">
        <v>1</v>
      </c>
      <c r="F66" s="118">
        <f t="shared" si="59"/>
        <v>12</v>
      </c>
      <c r="G66" s="119">
        <f>+G60</f>
        <v>840</v>
      </c>
      <c r="H66" s="68">
        <f t="shared" si="69"/>
        <v>10080</v>
      </c>
      <c r="I66" s="47">
        <f t="shared" si="55"/>
        <v>8097.3973298572473</v>
      </c>
      <c r="J66" s="67">
        <f>(References!$C$49*I66)</f>
        <v>59.353922427853533</v>
      </c>
      <c r="K66" s="67">
        <f>J66/References!$G$52</f>
        <v>61.10142312935303</v>
      </c>
      <c r="L66" s="67">
        <f t="shared" si="70"/>
        <v>5.0917852607794192</v>
      </c>
      <c r="M66" s="164">
        <v>159.82487703151395</v>
      </c>
      <c r="N66" s="67">
        <f t="shared" si="71"/>
        <v>164.91666229229338</v>
      </c>
      <c r="O66" s="67"/>
      <c r="P66" s="67"/>
      <c r="Q66" s="67"/>
      <c r="R66" s="67"/>
      <c r="S66" s="67"/>
      <c r="T66" s="67"/>
      <c r="U66" s="60"/>
      <c r="V66" s="60"/>
    </row>
    <row r="67" spans="1:22">
      <c r="A67" s="132"/>
      <c r="B67" s="131" t="s">
        <v>153</v>
      </c>
      <c r="C67" s="58" t="s">
        <v>168</v>
      </c>
      <c r="D67" s="151">
        <v>1</v>
      </c>
      <c r="E67" s="148">
        <v>1</v>
      </c>
      <c r="F67" s="118">
        <f t="shared" si="59"/>
        <v>12</v>
      </c>
      <c r="G67" s="119">
        <f>+G61</f>
        <v>980</v>
      </c>
      <c r="H67" s="68">
        <f t="shared" si="69"/>
        <v>11760</v>
      </c>
      <c r="I67" s="47">
        <f t="shared" si="55"/>
        <v>9446.9635515001228</v>
      </c>
      <c r="J67" s="67">
        <f>(References!$C$49*I67)</f>
        <v>69.246242832495795</v>
      </c>
      <c r="K67" s="67">
        <f>J67/References!$G$52</f>
        <v>71.284993650911872</v>
      </c>
      <c r="L67" s="67">
        <f t="shared" si="70"/>
        <v>5.9404161375759896</v>
      </c>
      <c r="M67" s="164">
        <v>213.84118559415711</v>
      </c>
      <c r="N67" s="67">
        <f t="shared" si="71"/>
        <v>219.7816017317331</v>
      </c>
      <c r="O67" s="67"/>
      <c r="P67" s="67"/>
      <c r="Q67" s="67"/>
      <c r="R67" s="67"/>
      <c r="S67" s="67"/>
      <c r="T67" s="67"/>
      <c r="U67" s="60"/>
      <c r="V67" s="60"/>
    </row>
    <row r="68" spans="1:22">
      <c r="A68" s="132"/>
      <c r="B68" s="43" t="s">
        <v>154</v>
      </c>
      <c r="C68" s="58" t="s">
        <v>135</v>
      </c>
      <c r="D68" s="151">
        <v>1</v>
      </c>
      <c r="E68" s="69">
        <v>1</v>
      </c>
      <c r="F68" s="118">
        <f t="shared" si="59"/>
        <v>12</v>
      </c>
      <c r="G68" s="119">
        <f>References!B37</f>
        <v>1301</v>
      </c>
      <c r="H68" s="68">
        <f t="shared" si="56"/>
        <v>15612</v>
      </c>
      <c r="I68" s="47">
        <f t="shared" si="55"/>
        <v>12541.326102552714</v>
      </c>
      <c r="J68" s="67">
        <f>(References!$C$49*I68)</f>
        <v>91.927920331711263</v>
      </c>
      <c r="K68" s="67">
        <f>J68/References!$G$52</f>
        <v>94.634466061057509</v>
      </c>
      <c r="L68" s="67">
        <f t="shared" si="57"/>
        <v>7.8862055050881255</v>
      </c>
      <c r="M68" s="164">
        <v>333.92713140781837</v>
      </c>
      <c r="N68" s="67">
        <f t="shared" si="58"/>
        <v>341.81333691290649</v>
      </c>
      <c r="O68" s="67"/>
      <c r="P68" s="67"/>
      <c r="Q68" s="67"/>
      <c r="R68" s="67"/>
      <c r="S68" s="67"/>
      <c r="T68" s="67"/>
      <c r="U68" s="60"/>
      <c r="V68" s="60"/>
    </row>
    <row r="69" spans="1:22">
      <c r="A69" s="132"/>
      <c r="B69" s="43" t="s">
        <v>154</v>
      </c>
      <c r="C69" s="58" t="s">
        <v>136</v>
      </c>
      <c r="D69" s="151">
        <v>1</v>
      </c>
      <c r="E69" s="69">
        <v>1</v>
      </c>
      <c r="F69" s="118">
        <f t="shared" si="59"/>
        <v>12</v>
      </c>
      <c r="G69" s="119">
        <f>References!B38</f>
        <v>1686</v>
      </c>
      <c r="H69" s="68">
        <f t="shared" si="56"/>
        <v>20232</v>
      </c>
      <c r="I69" s="47">
        <f t="shared" si="55"/>
        <v>16252.633212070617</v>
      </c>
      <c r="J69" s="67">
        <f>(References!$C$49*I69)</f>
        <v>119.13180144447745</v>
      </c>
      <c r="K69" s="67">
        <f>J69/References!$G$52</f>
        <v>122.63928499534428</v>
      </c>
      <c r="L69" s="67">
        <f t="shared" si="57"/>
        <v>10.219940416278691</v>
      </c>
      <c r="M69" s="164">
        <v>415.61595262186768</v>
      </c>
      <c r="N69" s="67">
        <f t="shared" si="58"/>
        <v>425.83589303814637</v>
      </c>
      <c r="O69" s="67"/>
      <c r="P69" s="67"/>
      <c r="Q69" s="67"/>
      <c r="R69" s="67"/>
      <c r="S69" s="67"/>
      <c r="T69" s="67"/>
      <c r="U69" s="60"/>
      <c r="V69" s="60"/>
    </row>
    <row r="70" spans="1:22">
      <c r="A70" s="132"/>
      <c r="B70" s="43" t="s">
        <v>154</v>
      </c>
      <c r="C70" s="58" t="s">
        <v>137</v>
      </c>
      <c r="D70" s="151">
        <v>1</v>
      </c>
      <c r="E70" s="69">
        <v>1</v>
      </c>
      <c r="F70" s="118">
        <f t="shared" si="59"/>
        <v>12</v>
      </c>
      <c r="G70" s="119">
        <f>References!B39</f>
        <v>2046</v>
      </c>
      <c r="H70" s="68">
        <f t="shared" si="56"/>
        <v>24552</v>
      </c>
      <c r="I70" s="47">
        <f t="shared" si="55"/>
        <v>19722.946353438008</v>
      </c>
      <c r="J70" s="67">
        <f>(References!$C$49*I70)</f>
        <v>144.56919677070039</v>
      </c>
      <c r="K70" s="67">
        <f>J70/References!$G$52</f>
        <v>148.82560919363843</v>
      </c>
      <c r="L70" s="67">
        <f t="shared" si="57"/>
        <v>12.402134099469869</v>
      </c>
      <c r="M70" s="164">
        <v>478.80569968269293</v>
      </c>
      <c r="N70" s="67">
        <f t="shared" si="58"/>
        <v>491.20783378216282</v>
      </c>
      <c r="O70" s="67"/>
      <c r="P70" s="67"/>
      <c r="Q70" s="67"/>
      <c r="R70" s="67"/>
      <c r="S70" s="67"/>
      <c r="T70" s="67"/>
      <c r="U70" s="60"/>
      <c r="V70" s="60"/>
    </row>
    <row r="71" spans="1:22" s="60" customFormat="1">
      <c r="A71" s="130"/>
      <c r="B71" s="43" t="s">
        <v>154</v>
      </c>
      <c r="C71" s="58" t="s">
        <v>133</v>
      </c>
      <c r="D71" s="151">
        <v>1</v>
      </c>
      <c r="E71" s="69">
        <v>1</v>
      </c>
      <c r="F71" s="118">
        <f t="shared" si="59"/>
        <v>12</v>
      </c>
      <c r="G71" s="119">
        <f>References!B40</f>
        <v>2310</v>
      </c>
      <c r="H71" s="68">
        <f t="shared" ref="H71:H99" si="73">G71*F71</f>
        <v>27720</v>
      </c>
      <c r="I71" s="47">
        <f t="shared" si="55"/>
        <v>22267.842657107431</v>
      </c>
      <c r="J71" s="67">
        <f>(References!$C$49*I71)</f>
        <v>163.22328667659724</v>
      </c>
      <c r="K71" s="67">
        <f>J71/References!$G$52</f>
        <v>168.02891360572085</v>
      </c>
      <c r="L71" s="67">
        <f t="shared" ref="L71:L99" si="74">K71/F71*E71</f>
        <v>14.002409467143403</v>
      </c>
      <c r="M71" s="164">
        <v>567.00638291418022</v>
      </c>
      <c r="N71" s="67">
        <f t="shared" si="58"/>
        <v>581.00879238132359</v>
      </c>
      <c r="O71" s="67"/>
      <c r="P71" s="67"/>
      <c r="Q71" s="67"/>
      <c r="R71" s="67"/>
      <c r="S71" s="67"/>
      <c r="T71" s="67"/>
    </row>
    <row r="72" spans="1:22">
      <c r="A72" s="130"/>
      <c r="B72" s="43" t="s">
        <v>155</v>
      </c>
      <c r="C72" s="58" t="s">
        <v>127</v>
      </c>
      <c r="D72" s="151">
        <v>1</v>
      </c>
      <c r="E72" s="69">
        <v>1</v>
      </c>
      <c r="F72" s="118">
        <f t="shared" si="59"/>
        <v>12</v>
      </c>
      <c r="G72" s="119">
        <f>References!B34</f>
        <v>482</v>
      </c>
      <c r="H72" s="68">
        <f t="shared" si="73"/>
        <v>5784</v>
      </c>
      <c r="I72" s="47">
        <f t="shared" si="55"/>
        <v>4646.363705941897</v>
      </c>
      <c r="J72" s="67">
        <f>(References!$C$49*I72)</f>
        <v>34.057845964554055</v>
      </c>
      <c r="K72" s="67">
        <f>J72/References!$G$52</f>
        <v>35.060578509938289</v>
      </c>
      <c r="L72" s="67">
        <f t="shared" si="74"/>
        <v>2.9217148758281906</v>
      </c>
      <c r="M72" s="164">
        <v>189.02469005903956</v>
      </c>
      <c r="N72" s="67">
        <f t="shared" si="58"/>
        <v>191.94640493486776</v>
      </c>
      <c r="O72" s="67"/>
      <c r="P72" s="67"/>
      <c r="Q72" s="67"/>
      <c r="R72" s="67"/>
      <c r="S72" s="67"/>
      <c r="T72" s="67"/>
      <c r="U72" s="60"/>
      <c r="V72" s="60"/>
    </row>
    <row r="73" spans="1:22">
      <c r="A73" s="130"/>
      <c r="B73" s="43" t="s">
        <v>155</v>
      </c>
      <c r="C73" s="58" t="s">
        <v>138</v>
      </c>
      <c r="D73" s="151">
        <v>1</v>
      </c>
      <c r="E73" s="69">
        <v>1</v>
      </c>
      <c r="F73" s="118">
        <f t="shared" si="59"/>
        <v>12</v>
      </c>
      <c r="G73" s="119">
        <f>References!B36</f>
        <v>892</v>
      </c>
      <c r="H73" s="68">
        <f t="shared" si="73"/>
        <v>10704</v>
      </c>
      <c r="I73" s="47">
        <f t="shared" si="55"/>
        <v>8598.6647836103148</v>
      </c>
      <c r="J73" s="67">
        <f>(References!$C$49*I73)</f>
        <v>63.028212863863516</v>
      </c>
      <c r="K73" s="67">
        <f>J73/References!$G$52</f>
        <v>64.883892180217742</v>
      </c>
      <c r="L73" s="67">
        <f t="shared" si="74"/>
        <v>5.4069910150181455</v>
      </c>
      <c r="M73" s="164">
        <v>306.67749782808784</v>
      </c>
      <c r="N73" s="67">
        <f t="shared" si="58"/>
        <v>312.08448884310599</v>
      </c>
      <c r="O73" s="67"/>
      <c r="P73" s="67"/>
      <c r="Q73" s="67"/>
      <c r="R73" s="67"/>
      <c r="S73" s="67"/>
      <c r="T73" s="67"/>
      <c r="U73" s="60"/>
      <c r="V73" s="60"/>
    </row>
    <row r="74" spans="1:22">
      <c r="A74" s="130"/>
      <c r="B74" s="43" t="s">
        <v>155</v>
      </c>
      <c r="C74" s="58" t="s">
        <v>135</v>
      </c>
      <c r="D74" s="151">
        <v>1</v>
      </c>
      <c r="E74" s="69">
        <v>1</v>
      </c>
      <c r="F74" s="118">
        <f t="shared" si="59"/>
        <v>12</v>
      </c>
      <c r="G74" s="119">
        <f>References!B37</f>
        <v>1301</v>
      </c>
      <c r="H74" s="68">
        <f t="shared" si="73"/>
        <v>15612</v>
      </c>
      <c r="I74" s="47">
        <f t="shared" si="55"/>
        <v>12541.326102552714</v>
      </c>
      <c r="J74" s="67">
        <f>(References!$C$49*I74)</f>
        <v>91.927920331711263</v>
      </c>
      <c r="K74" s="67">
        <f>J74/References!$G$52</f>
        <v>94.634466061057509</v>
      </c>
      <c r="L74" s="67">
        <f t="shared" si="74"/>
        <v>7.8862055050881255</v>
      </c>
      <c r="M74" s="164">
        <v>402.4482684151493</v>
      </c>
      <c r="N74" s="67">
        <f t="shared" si="58"/>
        <v>410.33447392023743</v>
      </c>
      <c r="O74" s="67"/>
      <c r="P74" s="67"/>
      <c r="Q74" s="67"/>
      <c r="R74" s="67"/>
      <c r="S74" s="67"/>
      <c r="T74" s="67"/>
      <c r="U74" s="60"/>
      <c r="V74" s="60"/>
    </row>
    <row r="75" spans="1:22">
      <c r="A75" s="130"/>
      <c r="B75" s="43" t="s">
        <v>155</v>
      </c>
      <c r="C75" s="58" t="s">
        <v>136</v>
      </c>
      <c r="D75" s="151">
        <v>1</v>
      </c>
      <c r="E75" s="69">
        <v>1</v>
      </c>
      <c r="F75" s="118">
        <f t="shared" si="59"/>
        <v>12</v>
      </c>
      <c r="G75" s="119">
        <f>References!B38</f>
        <v>1686</v>
      </c>
      <c r="H75" s="68">
        <f t="shared" si="73"/>
        <v>20232</v>
      </c>
      <c r="I75" s="47">
        <f t="shared" si="55"/>
        <v>16252.633212070617</v>
      </c>
      <c r="J75" s="67">
        <f>(References!$C$49*I75)</f>
        <v>119.13180144447745</v>
      </c>
      <c r="K75" s="67">
        <f>J75/References!$G$52</f>
        <v>122.63928499534428</v>
      </c>
      <c r="L75" s="67">
        <f t="shared" si="74"/>
        <v>10.219940416278691</v>
      </c>
      <c r="M75" s="164">
        <v>509.71874243596744</v>
      </c>
      <c r="N75" s="67">
        <f t="shared" si="58"/>
        <v>519.93868285224619</v>
      </c>
      <c r="O75" s="67"/>
      <c r="P75" s="67"/>
      <c r="Q75" s="67"/>
      <c r="R75" s="67"/>
      <c r="S75" s="67"/>
      <c r="T75" s="67"/>
      <c r="U75" s="60"/>
      <c r="V75" s="60"/>
    </row>
    <row r="76" spans="1:22">
      <c r="A76" s="130"/>
      <c r="B76" s="43" t="s">
        <v>155</v>
      </c>
      <c r="C76" s="58" t="s">
        <v>137</v>
      </c>
      <c r="D76" s="151">
        <v>1</v>
      </c>
      <c r="E76" s="69">
        <v>1</v>
      </c>
      <c r="F76" s="118">
        <f t="shared" si="59"/>
        <v>12</v>
      </c>
      <c r="G76" s="119">
        <f>References!B39</f>
        <v>2046</v>
      </c>
      <c r="H76" s="68">
        <f t="shared" si="73"/>
        <v>24552</v>
      </c>
      <c r="I76" s="47">
        <f t="shared" si="55"/>
        <v>19722.946353438008</v>
      </c>
      <c r="J76" s="67">
        <f>(References!$C$49*I76)</f>
        <v>144.56919677070039</v>
      </c>
      <c r="K76" s="67">
        <f>J76/References!$G$52</f>
        <v>148.82560919363843</v>
      </c>
      <c r="L76" s="67">
        <f t="shared" si="74"/>
        <v>12.402134099469869</v>
      </c>
      <c r="M76" s="164">
        <v>587.18238786072004</v>
      </c>
      <c r="N76" s="67">
        <f t="shared" si="58"/>
        <v>599.58452196018993</v>
      </c>
      <c r="O76" s="67"/>
      <c r="P76" s="67"/>
      <c r="Q76" s="67"/>
      <c r="R76" s="67"/>
      <c r="S76" s="67"/>
      <c r="T76" s="67"/>
      <c r="U76" s="60"/>
      <c r="V76" s="60"/>
    </row>
    <row r="77" spans="1:22">
      <c r="A77" s="130"/>
      <c r="B77" s="43" t="s">
        <v>155</v>
      </c>
      <c r="C77" s="58" t="s">
        <v>133</v>
      </c>
      <c r="D77" s="151">
        <v>1</v>
      </c>
      <c r="E77" s="69">
        <v>1</v>
      </c>
      <c r="F77" s="118">
        <f t="shared" si="59"/>
        <v>12</v>
      </c>
      <c r="G77" s="119">
        <f>References!B40</f>
        <v>2310</v>
      </c>
      <c r="H77" s="68">
        <f t="shared" si="73"/>
        <v>27720</v>
      </c>
      <c r="I77" s="47">
        <f t="shared" si="55"/>
        <v>22267.842657107431</v>
      </c>
      <c r="J77" s="67">
        <f>(References!$C$49*I77)</f>
        <v>163.22328667659724</v>
      </c>
      <c r="K77" s="67">
        <f>J77/References!$G$52</f>
        <v>168.02891360572085</v>
      </c>
      <c r="L77" s="67">
        <f t="shared" si="74"/>
        <v>14.002409467143403</v>
      </c>
      <c r="M77" s="164">
        <v>677.77097757019385</v>
      </c>
      <c r="N77" s="67">
        <f t="shared" si="58"/>
        <v>691.77338703733722</v>
      </c>
      <c r="O77" s="67"/>
      <c r="P77" s="67"/>
      <c r="Q77" s="67"/>
      <c r="R77" s="67"/>
      <c r="S77" s="67"/>
      <c r="T77" s="67"/>
      <c r="U77" s="60"/>
      <c r="V77" s="60"/>
    </row>
    <row r="78" spans="1:22">
      <c r="A78" s="130"/>
      <c r="B78" s="43" t="s">
        <v>139</v>
      </c>
      <c r="C78" s="58" t="s">
        <v>140</v>
      </c>
      <c r="D78" s="151">
        <v>1</v>
      </c>
      <c r="E78" s="69">
        <v>1</v>
      </c>
      <c r="F78" s="118">
        <f t="shared" si="59"/>
        <v>12</v>
      </c>
      <c r="G78" s="119">
        <f>References!B42</f>
        <v>125</v>
      </c>
      <c r="H78" s="68">
        <f t="shared" si="73"/>
        <v>1500</v>
      </c>
      <c r="I78" s="47">
        <f t="shared" si="55"/>
        <v>1204.9698407525666</v>
      </c>
      <c r="J78" s="67">
        <f>(References!$C$49*I78)</f>
        <v>8.8324289327163008</v>
      </c>
      <c r="K78" s="67">
        <f>J78/References!$G$52</f>
        <v>9.0924736799632502</v>
      </c>
      <c r="L78" s="67">
        <f t="shared" si="74"/>
        <v>0.75770613999693748</v>
      </c>
      <c r="M78" s="164">
        <v>21.52</v>
      </c>
      <c r="N78" s="67">
        <f t="shared" si="58"/>
        <v>22.277706139996937</v>
      </c>
      <c r="O78" s="67"/>
      <c r="P78" s="67"/>
      <c r="Q78" s="67"/>
      <c r="R78" s="67"/>
      <c r="S78" s="67"/>
      <c r="T78" s="67"/>
      <c r="U78" s="60"/>
      <c r="V78" s="60"/>
    </row>
    <row r="79" spans="1:22" ht="15.6" customHeight="1">
      <c r="A79" s="130"/>
      <c r="B79" s="43" t="s">
        <v>139</v>
      </c>
      <c r="C79" s="58" t="s">
        <v>141</v>
      </c>
      <c r="D79" s="151">
        <v>1</v>
      </c>
      <c r="E79" s="69">
        <v>1</v>
      </c>
      <c r="F79" s="118">
        <f t="shared" ref="F79:F99" si="75">D79*E79*12</f>
        <v>12</v>
      </c>
      <c r="G79" s="119">
        <f>References!B42</f>
        <v>125</v>
      </c>
      <c r="H79" s="68">
        <f t="shared" si="73"/>
        <v>1500</v>
      </c>
      <c r="I79" s="47">
        <f t="shared" si="55"/>
        <v>1204.9698407525666</v>
      </c>
      <c r="J79" s="67">
        <f>(References!$C$49*I79)</f>
        <v>8.8324289327163008</v>
      </c>
      <c r="K79" s="67">
        <f>J79/References!$G$52</f>
        <v>9.0924736799632502</v>
      </c>
      <c r="L79" s="67">
        <f t="shared" si="74"/>
        <v>0.75770613999693748</v>
      </c>
      <c r="M79" s="164">
        <v>21.52</v>
      </c>
      <c r="N79" s="67">
        <f t="shared" si="58"/>
        <v>22.277706139996937</v>
      </c>
      <c r="O79" s="67"/>
      <c r="P79" s="67"/>
      <c r="Q79" s="67"/>
      <c r="R79" s="67"/>
      <c r="S79" s="67"/>
      <c r="T79" s="67"/>
      <c r="U79" s="60"/>
      <c r="V79" s="60"/>
    </row>
    <row r="80" spans="1:22">
      <c r="D80" s="151"/>
      <c r="O80" s="67"/>
      <c r="P80" s="67"/>
      <c r="Q80" s="67"/>
      <c r="R80" s="67"/>
      <c r="S80" s="67"/>
      <c r="T80" s="67"/>
    </row>
    <row r="81" spans="1:22">
      <c r="D81" s="151"/>
      <c r="O81" s="67"/>
      <c r="P81" s="67"/>
      <c r="Q81" s="67"/>
      <c r="R81" s="67"/>
      <c r="S81" s="67"/>
      <c r="T81" s="67"/>
    </row>
    <row r="82" spans="1:22">
      <c r="A82" s="130"/>
      <c r="B82" s="43" t="s">
        <v>156</v>
      </c>
      <c r="C82" s="58" t="s">
        <v>108</v>
      </c>
      <c r="D82" s="151">
        <v>1</v>
      </c>
      <c r="E82" s="148">
        <v>1</v>
      </c>
      <c r="F82" s="118">
        <f t="shared" ref="F82:F85" si="76">D82*E82*12</f>
        <v>12</v>
      </c>
      <c r="G82" s="119">
        <f>+References!B20</f>
        <v>37</v>
      </c>
      <c r="H82" s="68">
        <f t="shared" ref="H82" si="77">G82*F82</f>
        <v>444</v>
      </c>
      <c r="I82" s="47">
        <f t="shared" ref="I82:I90" si="78">$D$130*H82</f>
        <v>356.67107286275973</v>
      </c>
      <c r="J82" s="67">
        <f>(References!$C$49*I82)</f>
        <v>2.6143989640840251</v>
      </c>
      <c r="K82" s="67">
        <f>J82/References!$G$52</f>
        <v>2.6913722092691219</v>
      </c>
      <c r="L82" s="67">
        <f t="shared" ref="L82" si="79">K82/F82</f>
        <v>0.22428101743909348</v>
      </c>
      <c r="M82" s="164">
        <v>5.9388703287254998</v>
      </c>
      <c r="N82" s="67">
        <f t="shared" ref="N82" si="80">L82+M82</f>
        <v>6.163151346164593</v>
      </c>
      <c r="O82" s="67"/>
      <c r="P82" s="67"/>
      <c r="Q82" s="67"/>
      <c r="R82" s="67"/>
      <c r="S82" s="67"/>
      <c r="T82" s="67"/>
      <c r="U82" s="60"/>
      <c r="V82" s="60"/>
    </row>
    <row r="83" spans="1:22">
      <c r="A83" s="130"/>
      <c r="B83" s="43" t="s">
        <v>156</v>
      </c>
      <c r="C83" s="58" t="s">
        <v>148</v>
      </c>
      <c r="D83" s="151">
        <v>1</v>
      </c>
      <c r="E83" s="69">
        <v>1</v>
      </c>
      <c r="F83" s="118">
        <f t="shared" si="76"/>
        <v>12</v>
      </c>
      <c r="G83" s="119">
        <f>References!B24</f>
        <v>34</v>
      </c>
      <c r="H83" s="68">
        <f t="shared" ref="H83:H85" si="81">G83*F83</f>
        <v>408</v>
      </c>
      <c r="I83" s="47">
        <f t="shared" si="78"/>
        <v>327.75179668469809</v>
      </c>
      <c r="J83" s="67">
        <f>(References!$C$49*I83)</f>
        <v>2.4024206696988335</v>
      </c>
      <c r="K83" s="67">
        <f>J83/References!$G$52</f>
        <v>2.4731528409500037</v>
      </c>
      <c r="L83" s="67">
        <f t="shared" ref="L83:L85" si="82">K83/F83*E83</f>
        <v>0.20609607007916697</v>
      </c>
      <c r="M83" s="164">
        <v>6.6722756304670376</v>
      </c>
      <c r="N83" s="67">
        <f t="shared" ref="N83:N85" si="83">L83+M83</f>
        <v>6.8783717005462046</v>
      </c>
      <c r="O83" s="67"/>
      <c r="P83" s="67"/>
      <c r="Q83" s="67"/>
      <c r="R83" s="67"/>
      <c r="S83" s="67"/>
      <c r="T83" s="67"/>
      <c r="U83" s="60"/>
      <c r="V83" s="60"/>
    </row>
    <row r="84" spans="1:22">
      <c r="A84" s="132"/>
      <c r="B84" s="43" t="s">
        <v>156</v>
      </c>
      <c r="C84" s="58" t="s">
        <v>149</v>
      </c>
      <c r="D84" s="151">
        <v>1</v>
      </c>
      <c r="E84" s="69">
        <v>1</v>
      </c>
      <c r="F84" s="118">
        <f t="shared" si="76"/>
        <v>12</v>
      </c>
      <c r="G84" s="119">
        <f>References!B21</f>
        <v>47</v>
      </c>
      <c r="H84" s="68">
        <f t="shared" si="81"/>
        <v>564</v>
      </c>
      <c r="I84" s="47">
        <f t="shared" si="78"/>
        <v>453.06866012296501</v>
      </c>
      <c r="J84" s="67">
        <f>(References!$C$49*I84)</f>
        <v>3.3209932787013288</v>
      </c>
      <c r="K84" s="67">
        <f>J84/References!$G$52</f>
        <v>3.4187701036661813</v>
      </c>
      <c r="L84" s="67">
        <f t="shared" si="82"/>
        <v>0.28489750863884844</v>
      </c>
      <c r="M84" s="164">
        <v>9.4193350978940327</v>
      </c>
      <c r="N84" s="67">
        <f t="shared" si="83"/>
        <v>9.7042326065328819</v>
      </c>
      <c r="O84" s="67"/>
      <c r="P84" s="67"/>
      <c r="Q84" s="67"/>
      <c r="R84" s="67"/>
      <c r="S84" s="67"/>
      <c r="T84" s="67"/>
      <c r="U84" s="60"/>
      <c r="V84" s="60"/>
    </row>
    <row r="85" spans="1:22">
      <c r="A85" s="132"/>
      <c r="B85" s="43" t="s">
        <v>156</v>
      </c>
      <c r="C85" s="58" t="s">
        <v>150</v>
      </c>
      <c r="D85" s="151">
        <v>1</v>
      </c>
      <c r="E85" s="69">
        <v>1</v>
      </c>
      <c r="F85" s="118">
        <f t="shared" si="76"/>
        <v>12</v>
      </c>
      <c r="G85" s="119">
        <f>References!B22</f>
        <v>68</v>
      </c>
      <c r="H85" s="68">
        <f t="shared" si="81"/>
        <v>816</v>
      </c>
      <c r="I85" s="47">
        <f t="shared" si="78"/>
        <v>655.50359336939619</v>
      </c>
      <c r="J85" s="67">
        <f>(References!$C$49*I85)</f>
        <v>4.804841339397667</v>
      </c>
      <c r="K85" s="67">
        <f>J85/References!$G$52</f>
        <v>4.9463056819000073</v>
      </c>
      <c r="L85" s="67">
        <f t="shared" si="82"/>
        <v>0.41219214015833394</v>
      </c>
      <c r="M85" s="164">
        <v>12.723481414641654</v>
      </c>
      <c r="N85" s="67">
        <f t="shared" si="83"/>
        <v>13.135673554799988</v>
      </c>
      <c r="O85" s="67"/>
      <c r="P85" s="67"/>
      <c r="Q85" s="67"/>
      <c r="R85" s="67"/>
      <c r="S85" s="67"/>
      <c r="T85" s="67"/>
      <c r="U85" s="60"/>
      <c r="V85" s="60"/>
    </row>
    <row r="86" spans="1:22">
      <c r="A86" s="130"/>
      <c r="B86" s="43" t="s">
        <v>156</v>
      </c>
      <c r="C86" s="58" t="s">
        <v>142</v>
      </c>
      <c r="D86" s="151">
        <v>1</v>
      </c>
      <c r="E86" s="69">
        <v>1</v>
      </c>
      <c r="F86" s="118">
        <f t="shared" si="75"/>
        <v>12</v>
      </c>
      <c r="G86" s="119">
        <f>References!B27</f>
        <v>175</v>
      </c>
      <c r="H86" s="68">
        <f t="shared" si="73"/>
        <v>2100</v>
      </c>
      <c r="I86" s="47">
        <f t="shared" si="78"/>
        <v>1686.9577770535932</v>
      </c>
      <c r="J86" s="67">
        <f>(References!$C$49*I86)</f>
        <v>12.365400505802819</v>
      </c>
      <c r="K86" s="67">
        <f>J86/References!$G$52</f>
        <v>12.729463151948547</v>
      </c>
      <c r="L86" s="67">
        <f t="shared" si="74"/>
        <v>1.0607885959957122</v>
      </c>
      <c r="M86" s="164">
        <v>28.773122965215659</v>
      </c>
      <c r="N86" s="67">
        <f t="shared" si="58"/>
        <v>29.833911561211373</v>
      </c>
      <c r="O86" s="67"/>
      <c r="P86" s="67"/>
      <c r="Q86" s="67"/>
      <c r="R86" s="67"/>
      <c r="S86" s="67"/>
      <c r="T86" s="67"/>
      <c r="U86" s="60"/>
      <c r="V86" s="60"/>
    </row>
    <row r="87" spans="1:22">
      <c r="A87" s="132"/>
      <c r="B87" s="43" t="s">
        <v>156</v>
      </c>
      <c r="C87" s="58" t="s">
        <v>143</v>
      </c>
      <c r="D87" s="151">
        <v>1</v>
      </c>
      <c r="E87" s="69">
        <v>1</v>
      </c>
      <c r="F87" s="118">
        <f t="shared" si="75"/>
        <v>12</v>
      </c>
      <c r="G87" s="119">
        <f>References!B28</f>
        <v>250</v>
      </c>
      <c r="H87" s="68">
        <f t="shared" si="73"/>
        <v>3000</v>
      </c>
      <c r="I87" s="47">
        <f t="shared" si="78"/>
        <v>2409.9396815051332</v>
      </c>
      <c r="J87" s="67">
        <f>(References!$C$49*I87)</f>
        <v>17.664857865432602</v>
      </c>
      <c r="K87" s="67">
        <f>J87/References!$G$52</f>
        <v>18.1849473599265</v>
      </c>
      <c r="L87" s="67">
        <f t="shared" si="74"/>
        <v>1.515412279993875</v>
      </c>
      <c r="M87" s="164">
        <v>37.882852767323264</v>
      </c>
      <c r="N87" s="67">
        <f t="shared" si="58"/>
        <v>39.398265047317139</v>
      </c>
      <c r="O87" s="67"/>
      <c r="P87" s="67"/>
      <c r="Q87" s="67"/>
      <c r="R87" s="67"/>
      <c r="S87" s="67"/>
      <c r="T87" s="67"/>
      <c r="U87" s="60"/>
      <c r="V87" s="60"/>
    </row>
    <row r="88" spans="1:22">
      <c r="A88" s="132"/>
      <c r="B88" s="43" t="s">
        <v>156</v>
      </c>
      <c r="C88" s="58" t="s">
        <v>144</v>
      </c>
      <c r="D88" s="151">
        <v>1</v>
      </c>
      <c r="E88" s="69">
        <v>1</v>
      </c>
      <c r="F88" s="118">
        <f t="shared" si="75"/>
        <v>12</v>
      </c>
      <c r="G88" s="119">
        <f>References!B29</f>
        <v>324</v>
      </c>
      <c r="H88" s="68">
        <f t="shared" si="73"/>
        <v>3888</v>
      </c>
      <c r="I88" s="47">
        <f t="shared" si="78"/>
        <v>3123.2818272306527</v>
      </c>
      <c r="J88" s="67">
        <f>(References!$C$49*I88)</f>
        <v>22.893655793600651</v>
      </c>
      <c r="K88" s="67">
        <f>J88/References!$G$52</f>
        <v>23.567691778464742</v>
      </c>
      <c r="L88" s="67">
        <f t="shared" si="74"/>
        <v>1.9639743148720619</v>
      </c>
      <c r="M88" s="164">
        <v>50.081836448718626</v>
      </c>
      <c r="N88" s="67">
        <f t="shared" si="58"/>
        <v>52.045810763590687</v>
      </c>
      <c r="O88" s="67"/>
      <c r="P88" s="67"/>
      <c r="Q88" s="67"/>
      <c r="R88" s="67"/>
      <c r="S88" s="67"/>
      <c r="T88" s="67"/>
      <c r="U88" s="60"/>
      <c r="V88" s="60"/>
    </row>
    <row r="89" spans="1:22" s="60" customFormat="1">
      <c r="A89" s="250"/>
      <c r="B89" s="107" t="s">
        <v>156</v>
      </c>
      <c r="C89" s="121" t="s">
        <v>118</v>
      </c>
      <c r="D89" s="151">
        <v>1</v>
      </c>
      <c r="E89" s="148">
        <v>1</v>
      </c>
      <c r="F89" s="118">
        <f t="shared" si="75"/>
        <v>12</v>
      </c>
      <c r="G89" s="110">
        <f>References!B30</f>
        <v>473</v>
      </c>
      <c r="H89" s="68">
        <f>G89*F89</f>
        <v>5676</v>
      </c>
      <c r="I89" s="47">
        <f t="shared" si="78"/>
        <v>4559.6058774077119</v>
      </c>
      <c r="J89" s="67">
        <f>(References!$C$49*I89)</f>
        <v>33.421911081398477</v>
      </c>
      <c r="K89" s="67">
        <f>J89/References!$G$52</f>
        <v>34.405920404980932</v>
      </c>
      <c r="L89" s="67">
        <f>K89/F89</f>
        <v>2.8671600337484109</v>
      </c>
      <c r="M89" s="165">
        <v>70.041329231655297</v>
      </c>
      <c r="N89" s="67">
        <f>L89+M89</f>
        <v>72.908489265403702</v>
      </c>
      <c r="O89" s="67"/>
      <c r="P89" s="67"/>
      <c r="Q89" s="67"/>
      <c r="R89" s="67"/>
      <c r="S89" s="67"/>
      <c r="T89" s="67"/>
    </row>
    <row r="90" spans="1:22">
      <c r="A90" s="132"/>
      <c r="B90" s="43" t="s">
        <v>156</v>
      </c>
      <c r="C90" s="80" t="s">
        <v>145</v>
      </c>
      <c r="D90" s="151">
        <v>1</v>
      </c>
      <c r="E90" s="69">
        <v>1</v>
      </c>
      <c r="F90" s="118">
        <f t="shared" si="75"/>
        <v>12</v>
      </c>
      <c r="G90" s="119">
        <f>References!B31</f>
        <v>613</v>
      </c>
      <c r="H90" s="68">
        <f t="shared" si="73"/>
        <v>7356</v>
      </c>
      <c r="I90" s="47">
        <f t="shared" si="78"/>
        <v>5909.1720990505864</v>
      </c>
      <c r="J90" s="67">
        <f>(References!$C$49*I90)</f>
        <v>43.314231486040732</v>
      </c>
      <c r="K90" s="67">
        <f>J90/References!$G$52</f>
        <v>44.589490926539767</v>
      </c>
      <c r="L90" s="67">
        <f t="shared" si="74"/>
        <v>3.7157909105449805</v>
      </c>
      <c r="M90" s="164">
        <v>91.226600747185373</v>
      </c>
      <c r="N90" s="67">
        <f t="shared" si="58"/>
        <v>94.942391657730354</v>
      </c>
      <c r="O90" s="67"/>
      <c r="P90" s="67"/>
      <c r="Q90" s="67"/>
      <c r="R90" s="67"/>
      <c r="S90" s="67"/>
      <c r="T90" s="67"/>
      <c r="U90" s="60"/>
      <c r="V90" s="60"/>
    </row>
    <row r="91" spans="1:22" s="60" customFormat="1">
      <c r="A91" s="130"/>
      <c r="B91" s="43" t="s">
        <v>157</v>
      </c>
      <c r="C91" s="149" t="s">
        <v>108</v>
      </c>
      <c r="D91" s="151">
        <v>1</v>
      </c>
      <c r="E91" s="148">
        <v>1</v>
      </c>
      <c r="F91" s="118">
        <f t="shared" ref="F91" si="84">D91*E91*12</f>
        <v>12</v>
      </c>
      <c r="G91" s="114">
        <f>+G94</f>
        <v>29</v>
      </c>
      <c r="H91" s="68">
        <f t="shared" ref="H91" si="85">G91*F91</f>
        <v>348</v>
      </c>
      <c r="I91" s="47">
        <f t="shared" ref="I91:I110" si="86">$D$130*H91</f>
        <v>279.55300305459542</v>
      </c>
      <c r="J91" s="67">
        <f>(References!$C$49*I91)</f>
        <v>2.0491235123901816</v>
      </c>
      <c r="K91" s="67">
        <f>J91/References!$G$52</f>
        <v>2.1094538937514735</v>
      </c>
      <c r="L91" s="67">
        <f t="shared" ref="L91" si="87">K91/F91</f>
        <v>0.17578782447928945</v>
      </c>
      <c r="M91" s="165">
        <v>5.8957723177158377</v>
      </c>
      <c r="N91" s="67">
        <f t="shared" ref="N91" si="88">L91+M91</f>
        <v>6.0715601421951275</v>
      </c>
      <c r="O91" s="67"/>
      <c r="P91" s="67"/>
      <c r="Q91" s="67"/>
      <c r="R91" s="67"/>
      <c r="S91" s="67"/>
      <c r="T91" s="67"/>
    </row>
    <row r="92" spans="1:22">
      <c r="A92" s="130"/>
      <c r="B92" s="43" t="s">
        <v>157</v>
      </c>
      <c r="C92" s="58" t="s">
        <v>109</v>
      </c>
      <c r="D92" s="151">
        <v>1</v>
      </c>
      <c r="E92" s="69">
        <v>1</v>
      </c>
      <c r="F92" s="118">
        <f t="shared" si="75"/>
        <v>12</v>
      </c>
      <c r="G92" s="119">
        <f>References!B21</f>
        <v>47</v>
      </c>
      <c r="H92" s="68">
        <f t="shared" si="73"/>
        <v>564</v>
      </c>
      <c r="I92" s="47">
        <f t="shared" si="86"/>
        <v>453.06866012296501</v>
      </c>
      <c r="J92" s="67">
        <f>(References!$C$49*I92)</f>
        <v>3.3209932787013288</v>
      </c>
      <c r="K92" s="67">
        <f>J92/References!$G$52</f>
        <v>3.4187701036661813</v>
      </c>
      <c r="L92" s="67">
        <f t="shared" si="74"/>
        <v>0.28489750863884844</v>
      </c>
      <c r="M92" s="164">
        <v>9.7405781218383858</v>
      </c>
      <c r="N92" s="67">
        <f t="shared" si="58"/>
        <v>10.025475630477235</v>
      </c>
      <c r="O92" s="67"/>
      <c r="P92" s="67"/>
      <c r="Q92" s="67"/>
      <c r="R92" s="67"/>
      <c r="S92" s="67"/>
      <c r="T92" s="67"/>
      <c r="U92" s="60"/>
      <c r="V92" s="60"/>
    </row>
    <row r="93" spans="1:22">
      <c r="A93" s="130"/>
      <c r="B93" s="43" t="s">
        <v>157</v>
      </c>
      <c r="C93" s="58" t="s">
        <v>110</v>
      </c>
      <c r="D93" s="151">
        <v>1</v>
      </c>
      <c r="E93" s="69">
        <v>1</v>
      </c>
      <c r="F93" s="118">
        <f t="shared" si="75"/>
        <v>12</v>
      </c>
      <c r="G93" s="119">
        <f>References!B22</f>
        <v>68</v>
      </c>
      <c r="H93" s="68">
        <f t="shared" si="73"/>
        <v>816</v>
      </c>
      <c r="I93" s="47">
        <f t="shared" si="86"/>
        <v>655.50359336939619</v>
      </c>
      <c r="J93" s="67">
        <f>(References!$C$49*I93)</f>
        <v>4.804841339397667</v>
      </c>
      <c r="K93" s="67">
        <f>J93/References!$G$52</f>
        <v>4.9463056819000073</v>
      </c>
      <c r="L93" s="67">
        <f t="shared" si="74"/>
        <v>0.41219214015833394</v>
      </c>
      <c r="M93" s="164">
        <v>12.819854321824963</v>
      </c>
      <c r="N93" s="67">
        <f t="shared" si="58"/>
        <v>13.232046461983296</v>
      </c>
      <c r="O93" s="67"/>
      <c r="P93" s="67"/>
      <c r="Q93" s="67"/>
      <c r="R93" s="67"/>
      <c r="S93" s="67"/>
      <c r="T93" s="67"/>
      <c r="U93" s="60"/>
      <c r="V93" s="60"/>
    </row>
    <row r="94" spans="1:22">
      <c r="A94" s="130"/>
      <c r="B94" s="43" t="s">
        <v>157</v>
      </c>
      <c r="C94" s="58" t="s">
        <v>124</v>
      </c>
      <c r="D94" s="151">
        <v>1</v>
      </c>
      <c r="E94" s="69">
        <v>1</v>
      </c>
      <c r="F94" s="118">
        <f t="shared" si="75"/>
        <v>12</v>
      </c>
      <c r="G94" s="119">
        <f>References!B26</f>
        <v>29</v>
      </c>
      <c r="H94" s="68">
        <f t="shared" si="73"/>
        <v>348</v>
      </c>
      <c r="I94" s="47">
        <f t="shared" si="86"/>
        <v>279.55300305459542</v>
      </c>
      <c r="J94" s="67">
        <f>(References!$C$49*I94)</f>
        <v>2.0491235123901816</v>
      </c>
      <c r="K94" s="67">
        <f>J94/References!$G$52</f>
        <v>2.1094538937514735</v>
      </c>
      <c r="L94" s="67">
        <f t="shared" si="74"/>
        <v>0.17578782447928945</v>
      </c>
      <c r="M94" s="164">
        <v>7.1164958087043866</v>
      </c>
      <c r="N94" s="67">
        <f t="shared" si="58"/>
        <v>7.2922836331836765</v>
      </c>
      <c r="O94" s="67"/>
      <c r="P94" s="67"/>
      <c r="Q94" s="67"/>
      <c r="R94" s="67"/>
      <c r="S94" s="67"/>
      <c r="T94" s="67"/>
      <c r="U94" s="60"/>
      <c r="V94" s="60"/>
    </row>
    <row r="95" spans="1:22">
      <c r="A95" s="130"/>
      <c r="B95" s="43" t="s">
        <v>157</v>
      </c>
      <c r="C95" s="58" t="s">
        <v>125</v>
      </c>
      <c r="D95" s="151">
        <v>1</v>
      </c>
      <c r="E95" s="69">
        <v>1</v>
      </c>
      <c r="F95" s="118">
        <f t="shared" si="75"/>
        <v>12</v>
      </c>
      <c r="G95" s="119">
        <f>References!B21</f>
        <v>47</v>
      </c>
      <c r="H95" s="68">
        <f t="shared" si="73"/>
        <v>564</v>
      </c>
      <c r="I95" s="47">
        <f t="shared" si="86"/>
        <v>453.06866012296501</v>
      </c>
      <c r="J95" s="67">
        <f>(References!$C$49*I95)</f>
        <v>3.3209932787013288</v>
      </c>
      <c r="K95" s="67">
        <f>J95/References!$G$52</f>
        <v>3.4187701036661813</v>
      </c>
      <c r="L95" s="67">
        <f t="shared" si="74"/>
        <v>0.28489750863884844</v>
      </c>
      <c r="M95" s="164">
        <v>10.479437076910404</v>
      </c>
      <c r="N95" s="67">
        <f t="shared" si="58"/>
        <v>10.764334585549253</v>
      </c>
      <c r="O95" s="67"/>
      <c r="P95" s="67"/>
      <c r="Q95" s="67"/>
      <c r="R95" s="67"/>
      <c r="S95" s="67"/>
      <c r="T95" s="67"/>
      <c r="U95" s="60"/>
      <c r="V95" s="60"/>
    </row>
    <row r="96" spans="1:22">
      <c r="A96" s="132"/>
      <c r="B96" s="43" t="s">
        <v>157</v>
      </c>
      <c r="C96" s="58" t="s">
        <v>126</v>
      </c>
      <c r="D96" s="151">
        <v>1</v>
      </c>
      <c r="E96" s="69">
        <v>1</v>
      </c>
      <c r="F96" s="118">
        <f t="shared" si="75"/>
        <v>12</v>
      </c>
      <c r="G96" s="119">
        <f>References!B22</f>
        <v>68</v>
      </c>
      <c r="H96" s="68">
        <f t="shared" si="73"/>
        <v>816</v>
      </c>
      <c r="I96" s="47">
        <f t="shared" si="86"/>
        <v>655.50359336939619</v>
      </c>
      <c r="J96" s="67">
        <f>(References!$C$49*I96)</f>
        <v>4.804841339397667</v>
      </c>
      <c r="K96" s="67">
        <f>J96/References!$G$52</f>
        <v>4.9463056819000073</v>
      </c>
      <c r="L96" s="67">
        <f t="shared" si="74"/>
        <v>0.41219214015833394</v>
      </c>
      <c r="M96" s="164">
        <v>14.297572231968996</v>
      </c>
      <c r="N96" s="67">
        <f t="shared" si="58"/>
        <v>14.70976437212733</v>
      </c>
      <c r="O96" s="67"/>
      <c r="P96" s="67"/>
      <c r="Q96" s="67"/>
      <c r="R96" s="67"/>
      <c r="S96" s="67"/>
      <c r="T96" s="67"/>
      <c r="U96" s="60"/>
      <c r="V96" s="60"/>
    </row>
    <row r="97" spans="1:22">
      <c r="A97" s="132"/>
      <c r="B97" s="43" t="s">
        <v>158</v>
      </c>
      <c r="C97" s="58" t="s">
        <v>135</v>
      </c>
      <c r="D97" s="151">
        <v>1</v>
      </c>
      <c r="E97" s="69">
        <v>1</v>
      </c>
      <c r="F97" s="118">
        <f t="shared" si="75"/>
        <v>12</v>
      </c>
      <c r="G97" s="119">
        <f>References!B37</f>
        <v>1301</v>
      </c>
      <c r="H97" s="68">
        <f t="shared" si="73"/>
        <v>15612</v>
      </c>
      <c r="I97" s="47">
        <f t="shared" si="86"/>
        <v>12541.326102552714</v>
      </c>
      <c r="J97" s="67">
        <f>(References!$C$49*I97)</f>
        <v>91.927920331711263</v>
      </c>
      <c r="K97" s="67">
        <f>J97/References!$G$52</f>
        <v>94.634466061057509</v>
      </c>
      <c r="L97" s="67">
        <f t="shared" si="74"/>
        <v>7.8862055050881255</v>
      </c>
      <c r="M97" s="164">
        <v>285.45155909461511</v>
      </c>
      <c r="N97" s="67">
        <f t="shared" si="58"/>
        <v>293.33776459970323</v>
      </c>
      <c r="O97" s="67"/>
      <c r="P97" s="67"/>
      <c r="Q97" s="67"/>
      <c r="R97" s="67"/>
      <c r="S97" s="67"/>
      <c r="T97" s="67"/>
      <c r="U97" s="60"/>
      <c r="V97" s="60"/>
    </row>
    <row r="98" spans="1:22">
      <c r="A98" s="132"/>
      <c r="B98" s="43" t="s">
        <v>158</v>
      </c>
      <c r="C98" s="58" t="s">
        <v>136</v>
      </c>
      <c r="D98" s="151">
        <v>1</v>
      </c>
      <c r="E98" s="69">
        <v>1</v>
      </c>
      <c r="F98" s="118">
        <f t="shared" si="75"/>
        <v>12</v>
      </c>
      <c r="G98" s="119">
        <f>References!B38</f>
        <v>1686</v>
      </c>
      <c r="H98" s="68">
        <f t="shared" si="73"/>
        <v>20232</v>
      </c>
      <c r="I98" s="47">
        <f t="shared" si="86"/>
        <v>16252.633212070617</v>
      </c>
      <c r="J98" s="67">
        <f>(References!$C$49*I98)</f>
        <v>119.13180144447745</v>
      </c>
      <c r="K98" s="67">
        <f>J98/References!$G$52</f>
        <v>122.63928499534428</v>
      </c>
      <c r="L98" s="67">
        <f t="shared" si="74"/>
        <v>10.219940416278691</v>
      </c>
      <c r="M98" s="164">
        <v>351.00327240585978</v>
      </c>
      <c r="N98" s="67">
        <f t="shared" si="58"/>
        <v>361.22321282213846</v>
      </c>
      <c r="O98" s="67"/>
      <c r="P98" s="67"/>
      <c r="Q98" s="67"/>
      <c r="R98" s="67"/>
      <c r="S98" s="67"/>
      <c r="T98" s="67"/>
      <c r="U98" s="60"/>
      <c r="V98" s="60"/>
    </row>
    <row r="99" spans="1:22">
      <c r="A99" s="132"/>
      <c r="B99" s="43" t="s">
        <v>158</v>
      </c>
      <c r="C99" s="58" t="s">
        <v>137</v>
      </c>
      <c r="D99" s="151">
        <v>1</v>
      </c>
      <c r="E99" s="69">
        <v>1</v>
      </c>
      <c r="F99" s="118">
        <f t="shared" si="75"/>
        <v>12</v>
      </c>
      <c r="G99" s="119">
        <f>References!B39</f>
        <v>2046</v>
      </c>
      <c r="H99" s="68">
        <f t="shared" si="73"/>
        <v>24552</v>
      </c>
      <c r="I99" s="47">
        <f t="shared" si="86"/>
        <v>19722.946353438008</v>
      </c>
      <c r="J99" s="67">
        <f>(References!$C$49*I99)</f>
        <v>144.56919677070039</v>
      </c>
      <c r="K99" s="67">
        <f>J99/References!$G$52</f>
        <v>148.82560919363843</v>
      </c>
      <c r="L99" s="67">
        <f t="shared" si="74"/>
        <v>12.402134099469869</v>
      </c>
      <c r="M99" s="164">
        <v>398.03449536228391</v>
      </c>
      <c r="N99" s="67">
        <f t="shared" si="58"/>
        <v>410.4366294617538</v>
      </c>
      <c r="O99" s="67"/>
      <c r="P99" s="67"/>
      <c r="Q99" s="67"/>
      <c r="R99" s="67"/>
      <c r="S99" s="67"/>
      <c r="T99" s="67"/>
      <c r="U99" s="60"/>
      <c r="V99" s="60"/>
    </row>
    <row r="100" spans="1:22" s="60" customFormat="1">
      <c r="A100" s="130"/>
      <c r="B100" s="43" t="s">
        <v>158</v>
      </c>
      <c r="C100" s="58" t="s">
        <v>133</v>
      </c>
      <c r="D100" s="151">
        <v>1</v>
      </c>
      <c r="E100" s="69">
        <v>1</v>
      </c>
      <c r="F100" s="118">
        <f t="shared" ref="F100:F106" si="89">D100*E100*12</f>
        <v>12</v>
      </c>
      <c r="G100" s="119">
        <f>References!B40</f>
        <v>2310</v>
      </c>
      <c r="H100" s="68">
        <f t="shared" ref="H100:H106" si="90">G100*F100</f>
        <v>27720</v>
      </c>
      <c r="I100" s="47">
        <f t="shared" si="86"/>
        <v>22267.842657107431</v>
      </c>
      <c r="J100" s="67">
        <f>(References!$C$49*I100)</f>
        <v>163.22328667659724</v>
      </c>
      <c r="K100" s="67">
        <f>J100/References!$G$52</f>
        <v>168.02891360572085</v>
      </c>
      <c r="L100" s="67">
        <f t="shared" ref="L100:L106" si="91">K100/F100*E100</f>
        <v>14.002409467143403</v>
      </c>
      <c r="M100" s="164">
        <v>470.09807069096638</v>
      </c>
      <c r="N100" s="67">
        <f t="shared" si="58"/>
        <v>484.1004801581098</v>
      </c>
      <c r="O100" s="67"/>
      <c r="P100" s="67"/>
      <c r="Q100" s="67"/>
      <c r="R100" s="67"/>
      <c r="S100" s="67"/>
      <c r="T100" s="67"/>
    </row>
    <row r="101" spans="1:22">
      <c r="A101" s="130"/>
      <c r="B101" s="43" t="s">
        <v>159</v>
      </c>
      <c r="C101" s="58" t="s">
        <v>127</v>
      </c>
      <c r="D101" s="151">
        <v>1</v>
      </c>
      <c r="E101" s="69">
        <v>1</v>
      </c>
      <c r="F101" s="118">
        <f t="shared" si="89"/>
        <v>12</v>
      </c>
      <c r="G101" s="119">
        <f>References!B34</f>
        <v>482</v>
      </c>
      <c r="H101" s="68">
        <f t="shared" si="90"/>
        <v>5784</v>
      </c>
      <c r="I101" s="47">
        <f t="shared" si="86"/>
        <v>4646.363705941897</v>
      </c>
      <c r="J101" s="67">
        <f>(References!$C$49*I101)</f>
        <v>34.057845964554055</v>
      </c>
      <c r="K101" s="67">
        <f>J101/References!$G$52</f>
        <v>35.060578509938289</v>
      </c>
      <c r="L101" s="67">
        <f t="shared" si="91"/>
        <v>2.9217148758281906</v>
      </c>
      <c r="M101" s="164">
        <v>165.94873283903672</v>
      </c>
      <c r="N101" s="67">
        <f t="shared" si="58"/>
        <v>168.87044771486492</v>
      </c>
      <c r="O101" s="67"/>
      <c r="P101" s="67"/>
      <c r="Q101" s="67"/>
      <c r="R101" s="67"/>
      <c r="S101" s="67"/>
      <c r="T101" s="67"/>
      <c r="U101" s="60"/>
      <c r="V101" s="60"/>
    </row>
    <row r="102" spans="1:22">
      <c r="A102" s="130"/>
      <c r="B102" s="43" t="s">
        <v>159</v>
      </c>
      <c r="C102" s="58" t="s">
        <v>138</v>
      </c>
      <c r="D102" s="151">
        <v>1</v>
      </c>
      <c r="E102" s="69">
        <v>1</v>
      </c>
      <c r="F102" s="118">
        <f t="shared" si="89"/>
        <v>12</v>
      </c>
      <c r="G102" s="119">
        <f>References!B36</f>
        <v>892</v>
      </c>
      <c r="H102" s="68">
        <f t="shared" si="90"/>
        <v>10704</v>
      </c>
      <c r="I102" s="47">
        <f t="shared" si="86"/>
        <v>8598.6647836103148</v>
      </c>
      <c r="J102" s="67">
        <f>(References!$C$49*I102)</f>
        <v>63.028212863863516</v>
      </c>
      <c r="K102" s="67">
        <f>J102/References!$G$52</f>
        <v>64.883892180217742</v>
      </c>
      <c r="L102" s="67">
        <f t="shared" si="91"/>
        <v>5.4069910150181455</v>
      </c>
      <c r="M102" s="164">
        <v>260.53629148888029</v>
      </c>
      <c r="N102" s="67">
        <f t="shared" si="58"/>
        <v>265.94328250389844</v>
      </c>
      <c r="O102" s="67"/>
      <c r="P102" s="67"/>
      <c r="Q102" s="67"/>
      <c r="R102" s="67"/>
      <c r="S102" s="67"/>
      <c r="T102" s="67"/>
      <c r="U102" s="60"/>
      <c r="V102" s="60"/>
    </row>
    <row r="103" spans="1:22">
      <c r="A103" s="130"/>
      <c r="B103" s="43" t="s">
        <v>159</v>
      </c>
      <c r="C103" s="58" t="s">
        <v>135</v>
      </c>
      <c r="D103" s="151">
        <v>1</v>
      </c>
      <c r="E103" s="69">
        <v>1</v>
      </c>
      <c r="F103" s="118">
        <f t="shared" si="89"/>
        <v>12</v>
      </c>
      <c r="G103" s="119">
        <f>References!B37</f>
        <v>1301</v>
      </c>
      <c r="H103" s="68">
        <f t="shared" si="90"/>
        <v>15612</v>
      </c>
      <c r="I103" s="47">
        <f t="shared" si="86"/>
        <v>12541.326102552714</v>
      </c>
      <c r="J103" s="67">
        <f>(References!$C$49*I103)</f>
        <v>91.927920331711263</v>
      </c>
      <c r="K103" s="67">
        <f>J103/References!$G$52</f>
        <v>94.634466061057509</v>
      </c>
      <c r="L103" s="67">
        <f t="shared" si="91"/>
        <v>7.8862055050881255</v>
      </c>
      <c r="M103" s="164">
        <v>333.22039675514071</v>
      </c>
      <c r="N103" s="67">
        <f t="shared" si="58"/>
        <v>341.10660226022884</v>
      </c>
      <c r="O103" s="67"/>
      <c r="P103" s="67"/>
      <c r="Q103" s="67"/>
      <c r="R103" s="67"/>
      <c r="S103" s="67"/>
      <c r="T103" s="67"/>
      <c r="U103" s="60"/>
      <c r="V103" s="60"/>
    </row>
    <row r="104" spans="1:22">
      <c r="A104" s="130"/>
      <c r="B104" s="43" t="s">
        <v>159</v>
      </c>
      <c r="C104" s="58" t="s">
        <v>136</v>
      </c>
      <c r="D104" s="151">
        <v>1</v>
      </c>
      <c r="E104" s="69">
        <v>1</v>
      </c>
      <c r="F104" s="118">
        <f t="shared" si="89"/>
        <v>12</v>
      </c>
      <c r="G104" s="119">
        <f>References!B38</f>
        <v>1686</v>
      </c>
      <c r="H104" s="68">
        <f t="shared" si="90"/>
        <v>20232</v>
      </c>
      <c r="I104" s="47">
        <f t="shared" si="86"/>
        <v>16252.633212070617</v>
      </c>
      <c r="J104" s="67">
        <f>(References!$C$49*I104)</f>
        <v>119.13180144447745</v>
      </c>
      <c r="K104" s="67">
        <f>J104/References!$G$52</f>
        <v>122.63928499534428</v>
      </c>
      <c r="L104" s="67">
        <f t="shared" si="91"/>
        <v>10.219940416278691</v>
      </c>
      <c r="M104" s="164">
        <v>417.40420545515798</v>
      </c>
      <c r="N104" s="67">
        <f t="shared" si="58"/>
        <v>427.62414587143667</v>
      </c>
      <c r="O104" s="67"/>
      <c r="P104" s="67"/>
      <c r="Q104" s="67"/>
      <c r="R104" s="67"/>
      <c r="S104" s="67"/>
      <c r="T104" s="67"/>
      <c r="U104" s="60"/>
      <c r="V104" s="60"/>
    </row>
    <row r="105" spans="1:22">
      <c r="A105" s="130"/>
      <c r="B105" s="43" t="s">
        <v>159</v>
      </c>
      <c r="C105" s="58" t="s">
        <v>137</v>
      </c>
      <c r="D105" s="151">
        <v>1</v>
      </c>
      <c r="E105" s="69">
        <v>1</v>
      </c>
      <c r="F105" s="118">
        <f t="shared" si="89"/>
        <v>12</v>
      </c>
      <c r="G105" s="119">
        <f>References!B39</f>
        <v>2046</v>
      </c>
      <c r="H105" s="68">
        <f t="shared" si="90"/>
        <v>24552</v>
      </c>
      <c r="I105" s="47">
        <f t="shared" si="86"/>
        <v>19722.946353438008</v>
      </c>
      <c r="J105" s="67">
        <f>(References!$C$49*I105)</f>
        <v>144.56919677070039</v>
      </c>
      <c r="K105" s="67">
        <f>J105/References!$G$52</f>
        <v>148.82560919363843</v>
      </c>
      <c r="L105" s="67">
        <f t="shared" si="91"/>
        <v>12.402134099469869</v>
      </c>
      <c r="M105" s="164">
        <v>471.80260176070595</v>
      </c>
      <c r="N105" s="67">
        <f t="shared" si="58"/>
        <v>484.20473586017584</v>
      </c>
      <c r="O105" s="67"/>
      <c r="P105" s="67"/>
      <c r="Q105" s="67"/>
      <c r="R105" s="67"/>
      <c r="S105" s="67"/>
      <c r="T105" s="67"/>
      <c r="U105" s="60"/>
      <c r="V105" s="60"/>
    </row>
    <row r="106" spans="1:22">
      <c r="B106" s="43" t="s">
        <v>159</v>
      </c>
      <c r="C106" s="58" t="s">
        <v>133</v>
      </c>
      <c r="D106" s="151">
        <v>1</v>
      </c>
      <c r="E106" s="148">
        <v>1</v>
      </c>
      <c r="F106" s="118">
        <f t="shared" si="89"/>
        <v>12</v>
      </c>
      <c r="G106" s="119">
        <f>References!B40</f>
        <v>2310</v>
      </c>
      <c r="H106" s="68">
        <f t="shared" si="90"/>
        <v>27720</v>
      </c>
      <c r="I106" s="47">
        <f t="shared" si="86"/>
        <v>22267.842657107431</v>
      </c>
      <c r="J106" s="67">
        <f>(References!$C$49*I106)</f>
        <v>163.22328667659724</v>
      </c>
      <c r="K106" s="67">
        <f>J106/References!$G$52</f>
        <v>168.02891360572085</v>
      </c>
      <c r="L106" s="67">
        <f t="shared" si="91"/>
        <v>14.002409467143403</v>
      </c>
      <c r="M106" s="164">
        <v>539.32594235097497</v>
      </c>
      <c r="N106" s="67">
        <f t="shared" si="58"/>
        <v>553.32835181811834</v>
      </c>
      <c r="O106" s="67"/>
      <c r="P106" s="67"/>
      <c r="Q106" s="67"/>
      <c r="R106" s="67"/>
      <c r="S106" s="67"/>
      <c r="T106" s="67"/>
      <c r="U106" s="60"/>
      <c r="V106" s="60"/>
    </row>
    <row r="107" spans="1:22">
      <c r="B107" s="43" t="s">
        <v>154</v>
      </c>
      <c r="C107" s="58" t="s">
        <v>131</v>
      </c>
      <c r="D107" s="151">
        <v>1</v>
      </c>
      <c r="E107" s="148">
        <v>1</v>
      </c>
      <c r="F107" s="118">
        <f t="shared" ref="F107:F113" si="92">D107*E107*12</f>
        <v>12</v>
      </c>
      <c r="G107" s="119">
        <f>G68</f>
        <v>1301</v>
      </c>
      <c r="H107" s="68">
        <f t="shared" ref="H107:H113" si="93">G107*F107</f>
        <v>15612</v>
      </c>
      <c r="I107" s="47">
        <f t="shared" si="86"/>
        <v>12541.326102552714</v>
      </c>
      <c r="J107" s="67">
        <f>(References!$C$49*I107)</f>
        <v>91.927920331711263</v>
      </c>
      <c r="K107" s="67">
        <f>J107/References!$G$52</f>
        <v>94.634466061057509</v>
      </c>
      <c r="L107" s="67">
        <f t="shared" ref="L107:L113" si="94">K107/F107*E107</f>
        <v>7.8862055050881255</v>
      </c>
      <c r="M107" s="164">
        <v>380.75365619810714</v>
      </c>
      <c r="N107" s="67">
        <f t="shared" ref="N107:N113" si="95">L107+M107</f>
        <v>388.63986170319527</v>
      </c>
      <c r="O107" s="67"/>
      <c r="P107" s="67"/>
      <c r="Q107" s="67"/>
      <c r="R107" s="67"/>
      <c r="S107" s="67"/>
      <c r="T107" s="67"/>
      <c r="U107" s="60"/>
      <c r="V107" s="60"/>
    </row>
    <row r="108" spans="1:22">
      <c r="B108" s="43" t="s">
        <v>154</v>
      </c>
      <c r="C108" s="58" t="s">
        <v>132</v>
      </c>
      <c r="D108" s="151">
        <v>1</v>
      </c>
      <c r="E108" s="148">
        <v>1</v>
      </c>
      <c r="F108" s="118">
        <f t="shared" si="92"/>
        <v>12</v>
      </c>
      <c r="G108" s="119">
        <f>G69</f>
        <v>1686</v>
      </c>
      <c r="H108" s="68">
        <f t="shared" si="93"/>
        <v>20232</v>
      </c>
      <c r="I108" s="47">
        <f t="shared" si="86"/>
        <v>16252.633212070617</v>
      </c>
      <c r="J108" s="67">
        <f>(References!$C$49*I108)</f>
        <v>119.13180144447745</v>
      </c>
      <c r="K108" s="67">
        <f>J108/References!$G$52</f>
        <v>122.63928499534428</v>
      </c>
      <c r="L108" s="67">
        <f t="shared" si="94"/>
        <v>10.219940416278691</v>
      </c>
      <c r="M108" s="164">
        <v>482.01688567116594</v>
      </c>
      <c r="N108" s="67">
        <f t="shared" si="95"/>
        <v>492.23682608744463</v>
      </c>
      <c r="O108" s="67"/>
      <c r="P108" s="67"/>
      <c r="Q108" s="67"/>
      <c r="R108" s="67"/>
      <c r="S108" s="67"/>
      <c r="T108" s="67"/>
      <c r="U108" s="60"/>
      <c r="V108" s="60"/>
    </row>
    <row r="109" spans="1:22">
      <c r="B109" s="43" t="s">
        <v>154</v>
      </c>
      <c r="C109" s="58" t="s">
        <v>169</v>
      </c>
      <c r="D109" s="151">
        <v>1</v>
      </c>
      <c r="E109" s="148">
        <v>1</v>
      </c>
      <c r="F109" s="118">
        <f t="shared" si="92"/>
        <v>12</v>
      </c>
      <c r="G109" s="119">
        <f>G70</f>
        <v>2046</v>
      </c>
      <c r="H109" s="68">
        <f t="shared" si="93"/>
        <v>24552</v>
      </c>
      <c r="I109" s="47">
        <f t="shared" si="86"/>
        <v>19722.946353438008</v>
      </c>
      <c r="J109" s="67">
        <f>(References!$C$49*I109)</f>
        <v>144.56919677070039</v>
      </c>
      <c r="K109" s="67">
        <f>J109/References!$G$52</f>
        <v>148.82560919363843</v>
      </c>
      <c r="L109" s="67">
        <f t="shared" si="94"/>
        <v>12.402134099469869</v>
      </c>
      <c r="M109" s="164">
        <v>552.5630979803168</v>
      </c>
      <c r="N109" s="67">
        <f t="shared" si="95"/>
        <v>564.96523207978669</v>
      </c>
      <c r="O109" s="67"/>
      <c r="P109" s="67"/>
      <c r="Q109" s="67"/>
      <c r="R109" s="67"/>
      <c r="S109" s="67"/>
      <c r="T109" s="67"/>
      <c r="U109" s="60"/>
      <c r="V109" s="60"/>
    </row>
    <row r="110" spans="1:22">
      <c r="B110" s="43" t="s">
        <v>154</v>
      </c>
      <c r="C110" s="58" t="s">
        <v>170</v>
      </c>
      <c r="D110" s="151">
        <v>1</v>
      </c>
      <c r="E110" s="148">
        <v>1</v>
      </c>
      <c r="F110" s="118">
        <f t="shared" si="92"/>
        <v>12</v>
      </c>
      <c r="G110" s="119">
        <f>G71</f>
        <v>2310</v>
      </c>
      <c r="H110" s="68">
        <f t="shared" si="93"/>
        <v>27720</v>
      </c>
      <c r="I110" s="47">
        <f t="shared" si="86"/>
        <v>22267.842657107431</v>
      </c>
      <c r="J110" s="67">
        <f>(References!$C$49*I110)</f>
        <v>163.22328667659724</v>
      </c>
      <c r="K110" s="67">
        <f>J110/References!$G$52</f>
        <v>168.02891360572085</v>
      </c>
      <c r="L110" s="67">
        <f t="shared" si="94"/>
        <v>14.002409467143403</v>
      </c>
      <c r="M110" s="164">
        <v>636.23425457418864</v>
      </c>
      <c r="N110" s="67">
        <f t="shared" si="95"/>
        <v>650.23666404133201</v>
      </c>
      <c r="O110" s="67"/>
      <c r="P110" s="67"/>
      <c r="Q110" s="67"/>
      <c r="R110" s="67"/>
      <c r="S110" s="67"/>
      <c r="T110" s="67"/>
      <c r="U110" s="60"/>
      <c r="V110" s="60"/>
    </row>
    <row r="111" spans="1:22">
      <c r="A111" s="130"/>
      <c r="B111" s="43" t="s">
        <v>156</v>
      </c>
      <c r="C111" s="58" t="s">
        <v>171</v>
      </c>
      <c r="D111" s="151">
        <v>1</v>
      </c>
      <c r="E111" s="148">
        <v>1</v>
      </c>
      <c r="F111" s="118">
        <f t="shared" si="92"/>
        <v>12</v>
      </c>
      <c r="G111" s="119">
        <f>+References!B27</f>
        <v>175</v>
      </c>
      <c r="H111" s="68">
        <f t="shared" si="93"/>
        <v>2100</v>
      </c>
      <c r="I111" s="47">
        <f t="shared" ref="I111:I116" si="96">$D$130*H111</f>
        <v>1686.9577770535932</v>
      </c>
      <c r="J111" s="67">
        <f>(References!$C$49*I111)</f>
        <v>12.365400505802819</v>
      </c>
      <c r="K111" s="67">
        <f>J111/References!$G$52</f>
        <v>12.729463151948547</v>
      </c>
      <c r="L111" s="67">
        <f t="shared" si="94"/>
        <v>1.0607885959957122</v>
      </c>
      <c r="M111" s="164">
        <v>28.773122965215659</v>
      </c>
      <c r="N111" s="67">
        <f t="shared" si="95"/>
        <v>29.833911561211373</v>
      </c>
      <c r="O111" s="67"/>
      <c r="P111" s="67"/>
      <c r="Q111" s="67"/>
      <c r="R111" s="67"/>
      <c r="S111" s="67"/>
      <c r="T111" s="67"/>
      <c r="U111" s="60"/>
      <c r="V111" s="60"/>
    </row>
    <row r="112" spans="1:22">
      <c r="A112" s="132"/>
      <c r="B112" s="43" t="s">
        <v>156</v>
      </c>
      <c r="C112" s="58" t="s">
        <v>172</v>
      </c>
      <c r="D112" s="151">
        <v>1</v>
      </c>
      <c r="E112" s="148">
        <v>1</v>
      </c>
      <c r="F112" s="118">
        <f t="shared" si="92"/>
        <v>12</v>
      </c>
      <c r="G112" s="119">
        <f>+References!B28</f>
        <v>250</v>
      </c>
      <c r="H112" s="68">
        <f t="shared" si="93"/>
        <v>3000</v>
      </c>
      <c r="I112" s="47">
        <f t="shared" si="96"/>
        <v>2409.9396815051332</v>
      </c>
      <c r="J112" s="67">
        <f>(References!$C$49*I112)</f>
        <v>17.664857865432602</v>
      </c>
      <c r="K112" s="67">
        <f>J112/References!$G$52</f>
        <v>18.1849473599265</v>
      </c>
      <c r="L112" s="67">
        <f t="shared" si="94"/>
        <v>1.515412279993875</v>
      </c>
      <c r="M112" s="164">
        <v>37.882852767323264</v>
      </c>
      <c r="N112" s="67">
        <f t="shared" si="95"/>
        <v>39.398265047317139</v>
      </c>
      <c r="O112" s="67"/>
      <c r="P112" s="67"/>
      <c r="Q112" s="67"/>
      <c r="R112" s="67"/>
      <c r="S112" s="67"/>
      <c r="T112" s="67"/>
      <c r="U112" s="60"/>
      <c r="V112" s="60"/>
    </row>
    <row r="113" spans="1:22">
      <c r="A113" s="132"/>
      <c r="B113" s="43" t="s">
        <v>156</v>
      </c>
      <c r="C113" s="58" t="s">
        <v>173</v>
      </c>
      <c r="D113" s="151">
        <v>1</v>
      </c>
      <c r="E113" s="148">
        <v>1</v>
      </c>
      <c r="F113" s="118">
        <f t="shared" si="92"/>
        <v>12</v>
      </c>
      <c r="G113" s="119">
        <f>+References!B29</f>
        <v>324</v>
      </c>
      <c r="H113" s="68">
        <f t="shared" si="93"/>
        <v>3888</v>
      </c>
      <c r="I113" s="47">
        <f t="shared" si="96"/>
        <v>3123.2818272306527</v>
      </c>
      <c r="J113" s="67">
        <f>(References!$C$49*I113)</f>
        <v>22.893655793600651</v>
      </c>
      <c r="K113" s="67">
        <f>J113/References!$G$52</f>
        <v>23.567691778464742</v>
      </c>
      <c r="L113" s="67">
        <f t="shared" si="94"/>
        <v>1.9639743148720619</v>
      </c>
      <c r="M113" s="164">
        <v>50.081836448718626</v>
      </c>
      <c r="N113" s="67">
        <f t="shared" si="95"/>
        <v>52.045810763590687</v>
      </c>
      <c r="O113" s="67"/>
      <c r="P113" s="67"/>
      <c r="Q113" s="67"/>
      <c r="R113" s="67"/>
      <c r="S113" s="67"/>
      <c r="T113" s="67"/>
      <c r="U113" s="60"/>
      <c r="V113" s="60"/>
    </row>
    <row r="114" spans="1:22">
      <c r="A114" s="130"/>
      <c r="B114" s="43" t="s">
        <v>156</v>
      </c>
      <c r="C114" s="58" t="s">
        <v>175</v>
      </c>
      <c r="D114" s="151">
        <v>1</v>
      </c>
      <c r="E114" s="148">
        <v>1</v>
      </c>
      <c r="F114" s="118">
        <f t="shared" ref="F114:F120" si="97">D114*E114*12</f>
        <v>12</v>
      </c>
      <c r="G114" s="119">
        <f>+References!B30</f>
        <v>473</v>
      </c>
      <c r="H114" s="68">
        <f t="shared" ref="H114:H120" si="98">G114*F114</f>
        <v>5676</v>
      </c>
      <c r="I114" s="47">
        <f t="shared" si="96"/>
        <v>4559.6058774077119</v>
      </c>
      <c r="J114" s="67">
        <f>(References!$C$49*I114)</f>
        <v>33.421911081398477</v>
      </c>
      <c r="K114" s="67">
        <f>J114/References!$G$52</f>
        <v>34.405920404980932</v>
      </c>
      <c r="L114" s="67">
        <f t="shared" ref="L114:L120" si="99">K114/F114*E114</f>
        <v>2.8671600337484109</v>
      </c>
      <c r="M114" s="164">
        <v>70.041329231655297</v>
      </c>
      <c r="N114" s="67">
        <f t="shared" ref="N114:N120" si="100">L114+M114</f>
        <v>72.908489265403702</v>
      </c>
      <c r="O114" s="67"/>
      <c r="P114" s="67"/>
      <c r="Q114" s="67"/>
      <c r="R114" s="67"/>
      <c r="S114" s="67"/>
      <c r="T114" s="67"/>
      <c r="U114" s="60"/>
      <c r="V114" s="60"/>
    </row>
    <row r="115" spans="1:22">
      <c r="A115" s="132"/>
      <c r="B115" s="43" t="s">
        <v>156</v>
      </c>
      <c r="C115" s="58" t="s">
        <v>174</v>
      </c>
      <c r="D115" s="151">
        <v>1</v>
      </c>
      <c r="E115" s="148">
        <v>1</v>
      </c>
      <c r="F115" s="118">
        <f t="shared" si="97"/>
        <v>12</v>
      </c>
      <c r="G115" s="119">
        <f>+References!B31</f>
        <v>613</v>
      </c>
      <c r="H115" s="68">
        <f t="shared" si="98"/>
        <v>7356</v>
      </c>
      <c r="I115" s="47">
        <f t="shared" si="96"/>
        <v>5909.1720990505864</v>
      </c>
      <c r="J115" s="67">
        <f>(References!$C$49*I115)</f>
        <v>43.314231486040732</v>
      </c>
      <c r="K115" s="67">
        <f>J115/References!$G$52</f>
        <v>44.589490926539767</v>
      </c>
      <c r="L115" s="67">
        <f t="shared" si="99"/>
        <v>3.7157909105449805</v>
      </c>
      <c r="M115" s="164">
        <v>91.226600747185373</v>
      </c>
      <c r="N115" s="67">
        <f t="shared" si="100"/>
        <v>94.942391657730354</v>
      </c>
      <c r="O115" s="67"/>
      <c r="P115" s="67"/>
      <c r="Q115" s="67"/>
      <c r="R115" s="67"/>
      <c r="S115" s="67"/>
      <c r="T115" s="67"/>
      <c r="U115" s="60"/>
      <c r="V115" s="60"/>
    </row>
    <row r="116" spans="1:22">
      <c r="A116" s="63"/>
      <c r="B116" s="43" t="s">
        <v>156</v>
      </c>
      <c r="C116" s="58" t="s">
        <v>176</v>
      </c>
      <c r="D116" s="151">
        <v>1</v>
      </c>
      <c r="E116" s="148">
        <v>1</v>
      </c>
      <c r="F116" s="118">
        <f t="shared" si="97"/>
        <v>12</v>
      </c>
      <c r="G116" s="119">
        <f>+References!B32</f>
        <v>840</v>
      </c>
      <c r="H116" s="68">
        <f t="shared" si="98"/>
        <v>10080</v>
      </c>
      <c r="I116" s="47">
        <f t="shared" si="96"/>
        <v>8097.3973298572473</v>
      </c>
      <c r="J116" s="67">
        <f>(References!$C$49*I116)</f>
        <v>59.353922427853533</v>
      </c>
      <c r="K116" s="67">
        <f>J116/References!$G$52</f>
        <v>61.10142312935303</v>
      </c>
      <c r="L116" s="67">
        <f t="shared" si="99"/>
        <v>5.0917852607794192</v>
      </c>
      <c r="M116" s="164">
        <v>132.13372836751054</v>
      </c>
      <c r="N116" s="67">
        <f t="shared" si="100"/>
        <v>137.22551362828997</v>
      </c>
      <c r="O116" s="67"/>
      <c r="P116" s="67"/>
      <c r="Q116" s="67"/>
      <c r="R116" s="67"/>
      <c r="S116" s="67"/>
      <c r="T116" s="67"/>
      <c r="U116" s="60"/>
      <c r="V116" s="60"/>
    </row>
    <row r="117" spans="1:22">
      <c r="A117" s="132"/>
      <c r="B117" s="43" t="s">
        <v>158</v>
      </c>
      <c r="C117" s="58" t="s">
        <v>131</v>
      </c>
      <c r="D117" s="151">
        <v>1</v>
      </c>
      <c r="E117" s="148">
        <v>1</v>
      </c>
      <c r="F117" s="118">
        <f t="shared" si="97"/>
        <v>12</v>
      </c>
      <c r="G117" s="119">
        <f>+G97</f>
        <v>1301</v>
      </c>
      <c r="H117" s="68">
        <f t="shared" si="98"/>
        <v>15612</v>
      </c>
      <c r="I117" s="47">
        <f t="shared" ref="I117:I120" si="101">$D$130*H117</f>
        <v>12541.326102552714</v>
      </c>
      <c r="J117" s="67">
        <f>(References!$C$49*I117)</f>
        <v>91.927920331711263</v>
      </c>
      <c r="K117" s="67">
        <f>J117/References!$G$52</f>
        <v>94.634466061057509</v>
      </c>
      <c r="L117" s="67">
        <f t="shared" si="99"/>
        <v>7.8862055050881255</v>
      </c>
      <c r="M117" s="164">
        <v>333.22039675514071</v>
      </c>
      <c r="N117" s="67">
        <f t="shared" si="100"/>
        <v>341.10660226022884</v>
      </c>
      <c r="O117" s="67"/>
      <c r="P117" s="67"/>
      <c r="Q117" s="67"/>
      <c r="R117" s="67"/>
      <c r="S117" s="67"/>
      <c r="T117" s="67"/>
      <c r="U117" s="60"/>
      <c r="V117" s="60"/>
    </row>
    <row r="118" spans="1:22">
      <c r="A118" s="132"/>
      <c r="B118" s="43" t="s">
        <v>158</v>
      </c>
      <c r="C118" s="58" t="s">
        <v>132</v>
      </c>
      <c r="D118" s="151">
        <v>1</v>
      </c>
      <c r="E118" s="148">
        <v>1</v>
      </c>
      <c r="F118" s="118">
        <f t="shared" si="97"/>
        <v>12</v>
      </c>
      <c r="G118" s="119">
        <f t="shared" ref="G118:G120" si="102">+G98</f>
        <v>1686</v>
      </c>
      <c r="H118" s="68">
        <f t="shared" si="98"/>
        <v>20232</v>
      </c>
      <c r="I118" s="47">
        <f t="shared" si="101"/>
        <v>16252.633212070617</v>
      </c>
      <c r="J118" s="67">
        <f>(References!$C$49*I118)</f>
        <v>119.13180144447745</v>
      </c>
      <c r="K118" s="67">
        <f>J118/References!$G$52</f>
        <v>122.63928499534428</v>
      </c>
      <c r="L118" s="67">
        <f t="shared" si="99"/>
        <v>10.219940416278691</v>
      </c>
      <c r="M118" s="164">
        <v>417.40420545515798</v>
      </c>
      <c r="N118" s="67">
        <f t="shared" si="100"/>
        <v>427.62414587143667</v>
      </c>
      <c r="O118" s="67"/>
      <c r="P118" s="67"/>
      <c r="Q118" s="67"/>
      <c r="R118" s="67"/>
      <c r="S118" s="67"/>
      <c r="T118" s="67"/>
      <c r="U118" s="60"/>
      <c r="V118" s="60"/>
    </row>
    <row r="119" spans="1:22">
      <c r="A119" s="132"/>
      <c r="B119" s="43" t="s">
        <v>158</v>
      </c>
      <c r="C119" s="58" t="s">
        <v>169</v>
      </c>
      <c r="D119" s="151">
        <v>1</v>
      </c>
      <c r="E119" s="148">
        <v>1</v>
      </c>
      <c r="F119" s="118">
        <f t="shared" si="97"/>
        <v>12</v>
      </c>
      <c r="G119" s="119">
        <f t="shared" si="102"/>
        <v>2046</v>
      </c>
      <c r="H119" s="68">
        <f t="shared" si="98"/>
        <v>24552</v>
      </c>
      <c r="I119" s="47">
        <f t="shared" si="101"/>
        <v>19722.946353438008</v>
      </c>
      <c r="J119" s="67">
        <f>(References!$C$49*I119)</f>
        <v>144.56919677070039</v>
      </c>
      <c r="K119" s="67">
        <f>J119/References!$G$52</f>
        <v>148.82560919363843</v>
      </c>
      <c r="L119" s="67">
        <f t="shared" si="99"/>
        <v>12.402134099469869</v>
      </c>
      <c r="M119" s="164">
        <v>471.80260176070595</v>
      </c>
      <c r="N119" s="67">
        <f t="shared" si="100"/>
        <v>484.20473586017584</v>
      </c>
      <c r="O119" s="67"/>
      <c r="P119" s="67"/>
      <c r="Q119" s="67"/>
      <c r="R119" s="67"/>
      <c r="S119" s="67"/>
      <c r="T119" s="67"/>
      <c r="U119" s="60"/>
      <c r="V119" s="60"/>
    </row>
    <row r="120" spans="1:22" s="172" customFormat="1">
      <c r="A120" s="135"/>
      <c r="B120" s="136" t="s">
        <v>158</v>
      </c>
      <c r="C120" s="137" t="s">
        <v>170</v>
      </c>
      <c r="D120" s="151">
        <v>1</v>
      </c>
      <c r="E120" s="138">
        <v>1</v>
      </c>
      <c r="F120" s="139">
        <f t="shared" si="97"/>
        <v>12</v>
      </c>
      <c r="G120" s="140">
        <f t="shared" si="102"/>
        <v>2310</v>
      </c>
      <c r="H120" s="141">
        <f t="shared" si="98"/>
        <v>27720</v>
      </c>
      <c r="I120" s="142">
        <f t="shared" si="101"/>
        <v>22267.842657107431</v>
      </c>
      <c r="J120" s="143">
        <f>(References!$C$49*I120)</f>
        <v>163.22328667659724</v>
      </c>
      <c r="K120" s="143">
        <f>J120/References!$G$52</f>
        <v>168.02891360572085</v>
      </c>
      <c r="L120" s="143">
        <f t="shared" si="99"/>
        <v>14.002409467143403</v>
      </c>
      <c r="M120" s="166">
        <v>539.32594235097497</v>
      </c>
      <c r="N120" s="143">
        <f t="shared" si="100"/>
        <v>553.32835181811834</v>
      </c>
      <c r="O120" s="143"/>
      <c r="P120" s="143"/>
      <c r="Q120" s="143"/>
      <c r="R120" s="143"/>
      <c r="S120" s="143"/>
      <c r="T120" s="143"/>
    </row>
    <row r="121" spans="1:22">
      <c r="A121" s="63"/>
      <c r="B121" s="43"/>
      <c r="D121" s="151"/>
      <c r="E121" s="148"/>
      <c r="F121" s="118"/>
      <c r="G121" s="119"/>
      <c r="H121" s="68"/>
      <c r="I121" s="47"/>
      <c r="J121" s="67"/>
      <c r="K121" s="67"/>
      <c r="L121" s="67"/>
      <c r="M121" s="164"/>
      <c r="N121" s="67"/>
      <c r="O121" s="67"/>
      <c r="P121" s="67"/>
      <c r="Q121" s="67"/>
      <c r="R121" s="67"/>
      <c r="S121" s="67"/>
      <c r="T121" s="67"/>
      <c r="U121" s="60"/>
      <c r="V121" s="60"/>
    </row>
    <row r="122" spans="1:22">
      <c r="A122" s="63"/>
      <c r="C122" s="80"/>
      <c r="D122" s="39"/>
      <c r="E122" s="31"/>
      <c r="F122" s="57"/>
      <c r="G122" s="103"/>
      <c r="H122" s="57"/>
      <c r="J122" s="67"/>
      <c r="K122" s="81"/>
      <c r="L122" s="81"/>
      <c r="M122" s="120"/>
      <c r="N122" s="81"/>
      <c r="O122" s="60"/>
      <c r="P122" s="60"/>
      <c r="Q122" s="60"/>
      <c r="R122" s="60"/>
      <c r="S122" s="60"/>
      <c r="T122" s="115">
        <f>References!B55</f>
        <v>76816.347539633498</v>
      </c>
    </row>
    <row r="123" spans="1:22">
      <c r="A123" s="63"/>
      <c r="C123" s="66"/>
      <c r="T123" s="44">
        <f>T122-T37</f>
        <v>1.6007106751203537E-10</v>
      </c>
    </row>
    <row r="124" spans="1:22">
      <c r="A124" s="63"/>
      <c r="C124" s="66"/>
    </row>
    <row r="125" spans="1:22">
      <c r="A125" s="63"/>
      <c r="C125" s="292" t="s">
        <v>90</v>
      </c>
      <c r="D125" s="292"/>
      <c r="E125" s="79"/>
      <c r="F125" s="79"/>
    </row>
    <row r="126" spans="1:22">
      <c r="A126" s="63"/>
      <c r="D126" s="55" t="s">
        <v>17</v>
      </c>
      <c r="E126" s="38"/>
      <c r="F126" s="38"/>
      <c r="J126" s="42"/>
      <c r="O126" s="59"/>
      <c r="P126" s="42"/>
    </row>
    <row r="127" spans="1:22">
      <c r="A127" s="63"/>
      <c r="C127" s="58" t="s">
        <v>33</v>
      </c>
      <c r="D127" s="171">
        <f>ROUND(SUM(Disposal!T33,Disposal!T43),0)</f>
        <v>5090</v>
      </c>
      <c r="E127" s="57"/>
      <c r="F127" s="57"/>
      <c r="G127" s="104"/>
      <c r="J127" s="42"/>
      <c r="O127" s="59"/>
      <c r="P127" s="81"/>
    </row>
    <row r="128" spans="1:22">
      <c r="A128" s="63"/>
      <c r="C128" s="58" t="s">
        <v>34</v>
      </c>
      <c r="D128" s="36">
        <f>D127*2000</f>
        <v>10180000</v>
      </c>
      <c r="E128" s="36"/>
      <c r="F128" s="36"/>
      <c r="J128" s="42"/>
      <c r="P128" s="81"/>
    </row>
    <row r="129" spans="1:16">
      <c r="A129" s="63"/>
      <c r="C129" s="58" t="s">
        <v>5</v>
      </c>
      <c r="D129" s="36">
        <f>F37</f>
        <v>279950.91199999989</v>
      </c>
      <c r="E129" s="57"/>
      <c r="F129" s="57"/>
      <c r="J129" s="42"/>
      <c r="O129" s="59"/>
      <c r="P129" s="81"/>
    </row>
    <row r="130" spans="1:16">
      <c r="C130" s="43" t="s">
        <v>12</v>
      </c>
      <c r="D130" s="35">
        <f>D128/$H$37</f>
        <v>0.80331322716837772</v>
      </c>
      <c r="E130" s="35"/>
      <c r="F130" s="35"/>
      <c r="J130" s="42"/>
      <c r="M130" s="41"/>
      <c r="N130" s="41"/>
      <c r="O130" s="40"/>
      <c r="P130" s="40"/>
    </row>
    <row r="131" spans="1:16">
      <c r="G131" s="104"/>
      <c r="H131" s="32"/>
      <c r="J131" s="42"/>
      <c r="M131" s="44"/>
      <c r="N131" s="29"/>
      <c r="O131" s="61"/>
      <c r="P131" s="30"/>
    </row>
    <row r="132" spans="1:16">
      <c r="D132" s="34"/>
      <c r="E132" s="33"/>
      <c r="G132" s="104"/>
      <c r="H132" s="32"/>
      <c r="J132" s="42"/>
      <c r="M132" s="44"/>
      <c r="N132" s="29"/>
      <c r="O132" s="61"/>
      <c r="P132" s="30"/>
    </row>
    <row r="133" spans="1:16">
      <c r="D133" s="34"/>
      <c r="E133" s="33"/>
      <c r="G133" s="104"/>
      <c r="H133" s="32"/>
      <c r="J133" s="42"/>
      <c r="M133" s="44"/>
      <c r="N133" s="29"/>
      <c r="O133" s="61"/>
      <c r="P133" s="30"/>
    </row>
    <row r="134" spans="1:16">
      <c r="D134" s="58"/>
      <c r="I134" s="58"/>
    </row>
    <row r="135" spans="1:16">
      <c r="D135" s="58"/>
      <c r="E135" s="42"/>
      <c r="I135" s="58"/>
    </row>
    <row r="136" spans="1:16">
      <c r="D136" s="58"/>
      <c r="I136" s="58"/>
    </row>
    <row r="137" spans="1:16">
      <c r="D137" s="58"/>
      <c r="I137" s="58"/>
    </row>
    <row r="138" spans="1:16">
      <c r="D138" s="58"/>
    </row>
  </sheetData>
  <mergeCells count="4">
    <mergeCell ref="A2:A10"/>
    <mergeCell ref="C125:D125"/>
    <mergeCell ref="A30:A35"/>
    <mergeCell ref="A17:A22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CA72-BF47-41A2-94AA-7D2EDE95AE09}">
  <dimension ref="A1:AB146"/>
  <sheetViews>
    <sheetView topLeftCell="A64" workbookViewId="0">
      <selection activeCell="G134" sqref="G134:G139"/>
    </sheetView>
  </sheetViews>
  <sheetFormatPr defaultRowHeight="15"/>
  <cols>
    <col min="1" max="1" width="68.5703125" bestFit="1" customWidth="1"/>
    <col min="2" max="2" width="16.42578125" bestFit="1" customWidth="1"/>
    <col min="3" max="3" width="8.85546875" style="229" bestFit="1" customWidth="1"/>
    <col min="4" max="4" width="19.42578125" style="230" bestFit="1" customWidth="1"/>
    <col min="5" max="5" width="10.5703125" style="230" bestFit="1" customWidth="1"/>
    <col min="6" max="6" width="18.85546875" style="230" customWidth="1"/>
    <col min="7" max="7" width="11.140625" bestFit="1" customWidth="1"/>
    <col min="8" max="8" width="26.85546875" customWidth="1"/>
    <col min="257" max="257" width="68.5703125" bestFit="1" customWidth="1"/>
    <col min="258" max="258" width="12.5703125" bestFit="1" customWidth="1"/>
    <col min="259" max="259" width="8.85546875" bestFit="1" customWidth="1"/>
    <col min="260" max="260" width="19.42578125" bestFit="1" customWidth="1"/>
    <col min="261" max="261" width="10.5703125" bestFit="1" customWidth="1"/>
    <col min="262" max="262" width="18.85546875" customWidth="1"/>
    <col min="263" max="263" width="11.140625" bestFit="1" customWidth="1"/>
    <col min="264" max="264" width="26.85546875" customWidth="1"/>
    <col min="513" max="513" width="68.5703125" bestFit="1" customWidth="1"/>
    <col min="514" max="514" width="12.5703125" bestFit="1" customWidth="1"/>
    <col min="515" max="515" width="8.85546875" bestFit="1" customWidth="1"/>
    <col min="516" max="516" width="19.42578125" bestFit="1" customWidth="1"/>
    <col min="517" max="517" width="10.5703125" bestFit="1" customWidth="1"/>
    <col min="518" max="518" width="18.85546875" customWidth="1"/>
    <col min="519" max="519" width="11.140625" bestFit="1" customWidth="1"/>
    <col min="520" max="520" width="26.85546875" customWidth="1"/>
    <col min="769" max="769" width="68.5703125" bestFit="1" customWidth="1"/>
    <col min="770" max="770" width="12.5703125" bestFit="1" customWidth="1"/>
    <col min="771" max="771" width="8.85546875" bestFit="1" customWidth="1"/>
    <col min="772" max="772" width="19.42578125" bestFit="1" customWidth="1"/>
    <col min="773" max="773" width="10.5703125" bestFit="1" customWidth="1"/>
    <col min="774" max="774" width="18.85546875" customWidth="1"/>
    <col min="775" max="775" width="11.140625" bestFit="1" customWidth="1"/>
    <col min="776" max="776" width="26.85546875" customWidth="1"/>
    <col min="1025" max="1025" width="68.5703125" bestFit="1" customWidth="1"/>
    <col min="1026" max="1026" width="12.5703125" bestFit="1" customWidth="1"/>
    <col min="1027" max="1027" width="8.85546875" bestFit="1" customWidth="1"/>
    <col min="1028" max="1028" width="19.42578125" bestFit="1" customWidth="1"/>
    <col min="1029" max="1029" width="10.5703125" bestFit="1" customWidth="1"/>
    <col min="1030" max="1030" width="18.85546875" customWidth="1"/>
    <col min="1031" max="1031" width="11.140625" bestFit="1" customWidth="1"/>
    <col min="1032" max="1032" width="26.85546875" customWidth="1"/>
    <col min="1281" max="1281" width="68.5703125" bestFit="1" customWidth="1"/>
    <col min="1282" max="1282" width="12.5703125" bestFit="1" customWidth="1"/>
    <col min="1283" max="1283" width="8.85546875" bestFit="1" customWidth="1"/>
    <col min="1284" max="1284" width="19.42578125" bestFit="1" customWidth="1"/>
    <col min="1285" max="1285" width="10.5703125" bestFit="1" customWidth="1"/>
    <col min="1286" max="1286" width="18.85546875" customWidth="1"/>
    <col min="1287" max="1287" width="11.140625" bestFit="1" customWidth="1"/>
    <col min="1288" max="1288" width="26.85546875" customWidth="1"/>
    <col min="1537" max="1537" width="68.5703125" bestFit="1" customWidth="1"/>
    <col min="1538" max="1538" width="12.5703125" bestFit="1" customWidth="1"/>
    <col min="1539" max="1539" width="8.85546875" bestFit="1" customWidth="1"/>
    <col min="1540" max="1540" width="19.42578125" bestFit="1" customWidth="1"/>
    <col min="1541" max="1541" width="10.5703125" bestFit="1" customWidth="1"/>
    <col min="1542" max="1542" width="18.85546875" customWidth="1"/>
    <col min="1543" max="1543" width="11.140625" bestFit="1" customWidth="1"/>
    <col min="1544" max="1544" width="26.85546875" customWidth="1"/>
    <col min="1793" max="1793" width="68.5703125" bestFit="1" customWidth="1"/>
    <col min="1794" max="1794" width="12.5703125" bestFit="1" customWidth="1"/>
    <col min="1795" max="1795" width="8.85546875" bestFit="1" customWidth="1"/>
    <col min="1796" max="1796" width="19.42578125" bestFit="1" customWidth="1"/>
    <col min="1797" max="1797" width="10.5703125" bestFit="1" customWidth="1"/>
    <col min="1798" max="1798" width="18.85546875" customWidth="1"/>
    <col min="1799" max="1799" width="11.140625" bestFit="1" customWidth="1"/>
    <col min="1800" max="1800" width="26.85546875" customWidth="1"/>
    <col min="2049" max="2049" width="68.5703125" bestFit="1" customWidth="1"/>
    <col min="2050" max="2050" width="12.5703125" bestFit="1" customWidth="1"/>
    <col min="2051" max="2051" width="8.85546875" bestFit="1" customWidth="1"/>
    <col min="2052" max="2052" width="19.42578125" bestFit="1" customWidth="1"/>
    <col min="2053" max="2053" width="10.5703125" bestFit="1" customWidth="1"/>
    <col min="2054" max="2054" width="18.85546875" customWidth="1"/>
    <col min="2055" max="2055" width="11.140625" bestFit="1" customWidth="1"/>
    <col min="2056" max="2056" width="26.85546875" customWidth="1"/>
    <col min="2305" max="2305" width="68.5703125" bestFit="1" customWidth="1"/>
    <col min="2306" max="2306" width="12.5703125" bestFit="1" customWidth="1"/>
    <col min="2307" max="2307" width="8.85546875" bestFit="1" customWidth="1"/>
    <col min="2308" max="2308" width="19.42578125" bestFit="1" customWidth="1"/>
    <col min="2309" max="2309" width="10.5703125" bestFit="1" customWidth="1"/>
    <col min="2310" max="2310" width="18.85546875" customWidth="1"/>
    <col min="2311" max="2311" width="11.140625" bestFit="1" customWidth="1"/>
    <col min="2312" max="2312" width="26.85546875" customWidth="1"/>
    <col min="2561" max="2561" width="68.5703125" bestFit="1" customWidth="1"/>
    <col min="2562" max="2562" width="12.5703125" bestFit="1" customWidth="1"/>
    <col min="2563" max="2563" width="8.85546875" bestFit="1" customWidth="1"/>
    <col min="2564" max="2564" width="19.42578125" bestFit="1" customWidth="1"/>
    <col min="2565" max="2565" width="10.5703125" bestFit="1" customWidth="1"/>
    <col min="2566" max="2566" width="18.85546875" customWidth="1"/>
    <col min="2567" max="2567" width="11.140625" bestFit="1" customWidth="1"/>
    <col min="2568" max="2568" width="26.85546875" customWidth="1"/>
    <col min="2817" max="2817" width="68.5703125" bestFit="1" customWidth="1"/>
    <col min="2818" max="2818" width="12.5703125" bestFit="1" customWidth="1"/>
    <col min="2819" max="2819" width="8.85546875" bestFit="1" customWidth="1"/>
    <col min="2820" max="2820" width="19.42578125" bestFit="1" customWidth="1"/>
    <col min="2821" max="2821" width="10.5703125" bestFit="1" customWidth="1"/>
    <col min="2822" max="2822" width="18.85546875" customWidth="1"/>
    <col min="2823" max="2823" width="11.140625" bestFit="1" customWidth="1"/>
    <col min="2824" max="2824" width="26.85546875" customWidth="1"/>
    <col min="3073" max="3073" width="68.5703125" bestFit="1" customWidth="1"/>
    <col min="3074" max="3074" width="12.5703125" bestFit="1" customWidth="1"/>
    <col min="3075" max="3075" width="8.85546875" bestFit="1" customWidth="1"/>
    <col min="3076" max="3076" width="19.42578125" bestFit="1" customWidth="1"/>
    <col min="3077" max="3077" width="10.5703125" bestFit="1" customWidth="1"/>
    <col min="3078" max="3078" width="18.85546875" customWidth="1"/>
    <col min="3079" max="3079" width="11.140625" bestFit="1" customWidth="1"/>
    <col min="3080" max="3080" width="26.85546875" customWidth="1"/>
    <col min="3329" max="3329" width="68.5703125" bestFit="1" customWidth="1"/>
    <col min="3330" max="3330" width="12.5703125" bestFit="1" customWidth="1"/>
    <col min="3331" max="3331" width="8.85546875" bestFit="1" customWidth="1"/>
    <col min="3332" max="3332" width="19.42578125" bestFit="1" customWidth="1"/>
    <col min="3333" max="3333" width="10.5703125" bestFit="1" customWidth="1"/>
    <col min="3334" max="3334" width="18.85546875" customWidth="1"/>
    <col min="3335" max="3335" width="11.140625" bestFit="1" customWidth="1"/>
    <col min="3336" max="3336" width="26.85546875" customWidth="1"/>
    <col min="3585" max="3585" width="68.5703125" bestFit="1" customWidth="1"/>
    <col min="3586" max="3586" width="12.5703125" bestFit="1" customWidth="1"/>
    <col min="3587" max="3587" width="8.85546875" bestFit="1" customWidth="1"/>
    <col min="3588" max="3588" width="19.42578125" bestFit="1" customWidth="1"/>
    <col min="3589" max="3589" width="10.5703125" bestFit="1" customWidth="1"/>
    <col min="3590" max="3590" width="18.85546875" customWidth="1"/>
    <col min="3591" max="3591" width="11.140625" bestFit="1" customWidth="1"/>
    <col min="3592" max="3592" width="26.85546875" customWidth="1"/>
    <col min="3841" max="3841" width="68.5703125" bestFit="1" customWidth="1"/>
    <col min="3842" max="3842" width="12.5703125" bestFit="1" customWidth="1"/>
    <col min="3843" max="3843" width="8.85546875" bestFit="1" customWidth="1"/>
    <col min="3844" max="3844" width="19.42578125" bestFit="1" customWidth="1"/>
    <col min="3845" max="3845" width="10.5703125" bestFit="1" customWidth="1"/>
    <col min="3846" max="3846" width="18.85546875" customWidth="1"/>
    <col min="3847" max="3847" width="11.140625" bestFit="1" customWidth="1"/>
    <col min="3848" max="3848" width="26.85546875" customWidth="1"/>
    <col min="4097" max="4097" width="68.5703125" bestFit="1" customWidth="1"/>
    <col min="4098" max="4098" width="12.5703125" bestFit="1" customWidth="1"/>
    <col min="4099" max="4099" width="8.85546875" bestFit="1" customWidth="1"/>
    <col min="4100" max="4100" width="19.42578125" bestFit="1" customWidth="1"/>
    <col min="4101" max="4101" width="10.5703125" bestFit="1" customWidth="1"/>
    <col min="4102" max="4102" width="18.85546875" customWidth="1"/>
    <col min="4103" max="4103" width="11.140625" bestFit="1" customWidth="1"/>
    <col min="4104" max="4104" width="26.85546875" customWidth="1"/>
    <col min="4353" max="4353" width="68.5703125" bestFit="1" customWidth="1"/>
    <col min="4354" max="4354" width="12.5703125" bestFit="1" customWidth="1"/>
    <col min="4355" max="4355" width="8.85546875" bestFit="1" customWidth="1"/>
    <col min="4356" max="4356" width="19.42578125" bestFit="1" customWidth="1"/>
    <col min="4357" max="4357" width="10.5703125" bestFit="1" customWidth="1"/>
    <col min="4358" max="4358" width="18.85546875" customWidth="1"/>
    <col min="4359" max="4359" width="11.140625" bestFit="1" customWidth="1"/>
    <col min="4360" max="4360" width="26.85546875" customWidth="1"/>
    <col min="4609" max="4609" width="68.5703125" bestFit="1" customWidth="1"/>
    <col min="4610" max="4610" width="12.5703125" bestFit="1" customWidth="1"/>
    <col min="4611" max="4611" width="8.85546875" bestFit="1" customWidth="1"/>
    <col min="4612" max="4612" width="19.42578125" bestFit="1" customWidth="1"/>
    <col min="4613" max="4613" width="10.5703125" bestFit="1" customWidth="1"/>
    <col min="4614" max="4614" width="18.85546875" customWidth="1"/>
    <col min="4615" max="4615" width="11.140625" bestFit="1" customWidth="1"/>
    <col min="4616" max="4616" width="26.85546875" customWidth="1"/>
    <col min="4865" max="4865" width="68.5703125" bestFit="1" customWidth="1"/>
    <col min="4866" max="4866" width="12.5703125" bestFit="1" customWidth="1"/>
    <col min="4867" max="4867" width="8.85546875" bestFit="1" customWidth="1"/>
    <col min="4868" max="4868" width="19.42578125" bestFit="1" customWidth="1"/>
    <col min="4869" max="4869" width="10.5703125" bestFit="1" customWidth="1"/>
    <col min="4870" max="4870" width="18.85546875" customWidth="1"/>
    <col min="4871" max="4871" width="11.140625" bestFit="1" customWidth="1"/>
    <col min="4872" max="4872" width="26.85546875" customWidth="1"/>
    <col min="5121" max="5121" width="68.5703125" bestFit="1" customWidth="1"/>
    <col min="5122" max="5122" width="12.5703125" bestFit="1" customWidth="1"/>
    <col min="5123" max="5123" width="8.85546875" bestFit="1" customWidth="1"/>
    <col min="5124" max="5124" width="19.42578125" bestFit="1" customWidth="1"/>
    <col min="5125" max="5125" width="10.5703125" bestFit="1" customWidth="1"/>
    <col min="5126" max="5126" width="18.85546875" customWidth="1"/>
    <col min="5127" max="5127" width="11.140625" bestFit="1" customWidth="1"/>
    <col min="5128" max="5128" width="26.85546875" customWidth="1"/>
    <col min="5377" max="5377" width="68.5703125" bestFit="1" customWidth="1"/>
    <col min="5378" max="5378" width="12.5703125" bestFit="1" customWidth="1"/>
    <col min="5379" max="5379" width="8.85546875" bestFit="1" customWidth="1"/>
    <col min="5380" max="5380" width="19.42578125" bestFit="1" customWidth="1"/>
    <col min="5381" max="5381" width="10.5703125" bestFit="1" customWidth="1"/>
    <col min="5382" max="5382" width="18.85546875" customWidth="1"/>
    <col min="5383" max="5383" width="11.140625" bestFit="1" customWidth="1"/>
    <col min="5384" max="5384" width="26.85546875" customWidth="1"/>
    <col min="5633" max="5633" width="68.5703125" bestFit="1" customWidth="1"/>
    <col min="5634" max="5634" width="12.5703125" bestFit="1" customWidth="1"/>
    <col min="5635" max="5635" width="8.85546875" bestFit="1" customWidth="1"/>
    <col min="5636" max="5636" width="19.42578125" bestFit="1" customWidth="1"/>
    <col min="5637" max="5637" width="10.5703125" bestFit="1" customWidth="1"/>
    <col min="5638" max="5638" width="18.85546875" customWidth="1"/>
    <col min="5639" max="5639" width="11.140625" bestFit="1" customWidth="1"/>
    <col min="5640" max="5640" width="26.85546875" customWidth="1"/>
    <col min="5889" max="5889" width="68.5703125" bestFit="1" customWidth="1"/>
    <col min="5890" max="5890" width="12.5703125" bestFit="1" customWidth="1"/>
    <col min="5891" max="5891" width="8.85546875" bestFit="1" customWidth="1"/>
    <col min="5892" max="5892" width="19.42578125" bestFit="1" customWidth="1"/>
    <col min="5893" max="5893" width="10.5703125" bestFit="1" customWidth="1"/>
    <col min="5894" max="5894" width="18.85546875" customWidth="1"/>
    <col min="5895" max="5895" width="11.140625" bestFit="1" customWidth="1"/>
    <col min="5896" max="5896" width="26.85546875" customWidth="1"/>
    <col min="6145" max="6145" width="68.5703125" bestFit="1" customWidth="1"/>
    <col min="6146" max="6146" width="12.5703125" bestFit="1" customWidth="1"/>
    <col min="6147" max="6147" width="8.85546875" bestFit="1" customWidth="1"/>
    <col min="6148" max="6148" width="19.42578125" bestFit="1" customWidth="1"/>
    <col min="6149" max="6149" width="10.5703125" bestFit="1" customWidth="1"/>
    <col min="6150" max="6150" width="18.85546875" customWidth="1"/>
    <col min="6151" max="6151" width="11.140625" bestFit="1" customWidth="1"/>
    <col min="6152" max="6152" width="26.85546875" customWidth="1"/>
    <col min="6401" max="6401" width="68.5703125" bestFit="1" customWidth="1"/>
    <col min="6402" max="6402" width="12.5703125" bestFit="1" customWidth="1"/>
    <col min="6403" max="6403" width="8.85546875" bestFit="1" customWidth="1"/>
    <col min="6404" max="6404" width="19.42578125" bestFit="1" customWidth="1"/>
    <col min="6405" max="6405" width="10.5703125" bestFit="1" customWidth="1"/>
    <col min="6406" max="6406" width="18.85546875" customWidth="1"/>
    <col min="6407" max="6407" width="11.140625" bestFit="1" customWidth="1"/>
    <col min="6408" max="6408" width="26.85546875" customWidth="1"/>
    <col min="6657" max="6657" width="68.5703125" bestFit="1" customWidth="1"/>
    <col min="6658" max="6658" width="12.5703125" bestFit="1" customWidth="1"/>
    <col min="6659" max="6659" width="8.85546875" bestFit="1" customWidth="1"/>
    <col min="6660" max="6660" width="19.42578125" bestFit="1" customWidth="1"/>
    <col min="6661" max="6661" width="10.5703125" bestFit="1" customWidth="1"/>
    <col min="6662" max="6662" width="18.85546875" customWidth="1"/>
    <col min="6663" max="6663" width="11.140625" bestFit="1" customWidth="1"/>
    <col min="6664" max="6664" width="26.85546875" customWidth="1"/>
    <col min="6913" max="6913" width="68.5703125" bestFit="1" customWidth="1"/>
    <col min="6914" max="6914" width="12.5703125" bestFit="1" customWidth="1"/>
    <col min="6915" max="6915" width="8.85546875" bestFit="1" customWidth="1"/>
    <col min="6916" max="6916" width="19.42578125" bestFit="1" customWidth="1"/>
    <col min="6917" max="6917" width="10.5703125" bestFit="1" customWidth="1"/>
    <col min="6918" max="6918" width="18.85546875" customWidth="1"/>
    <col min="6919" max="6919" width="11.140625" bestFit="1" customWidth="1"/>
    <col min="6920" max="6920" width="26.85546875" customWidth="1"/>
    <col min="7169" max="7169" width="68.5703125" bestFit="1" customWidth="1"/>
    <col min="7170" max="7170" width="12.5703125" bestFit="1" customWidth="1"/>
    <col min="7171" max="7171" width="8.85546875" bestFit="1" customWidth="1"/>
    <col min="7172" max="7172" width="19.42578125" bestFit="1" customWidth="1"/>
    <col min="7173" max="7173" width="10.5703125" bestFit="1" customWidth="1"/>
    <col min="7174" max="7174" width="18.85546875" customWidth="1"/>
    <col min="7175" max="7175" width="11.140625" bestFit="1" customWidth="1"/>
    <col min="7176" max="7176" width="26.85546875" customWidth="1"/>
    <col min="7425" max="7425" width="68.5703125" bestFit="1" customWidth="1"/>
    <col min="7426" max="7426" width="12.5703125" bestFit="1" customWidth="1"/>
    <col min="7427" max="7427" width="8.85546875" bestFit="1" customWidth="1"/>
    <col min="7428" max="7428" width="19.42578125" bestFit="1" customWidth="1"/>
    <col min="7429" max="7429" width="10.5703125" bestFit="1" customWidth="1"/>
    <col min="7430" max="7430" width="18.85546875" customWidth="1"/>
    <col min="7431" max="7431" width="11.140625" bestFit="1" customWidth="1"/>
    <col min="7432" max="7432" width="26.85546875" customWidth="1"/>
    <col min="7681" max="7681" width="68.5703125" bestFit="1" customWidth="1"/>
    <col min="7682" max="7682" width="12.5703125" bestFit="1" customWidth="1"/>
    <col min="7683" max="7683" width="8.85546875" bestFit="1" customWidth="1"/>
    <col min="7684" max="7684" width="19.42578125" bestFit="1" customWidth="1"/>
    <col min="7685" max="7685" width="10.5703125" bestFit="1" customWidth="1"/>
    <col min="7686" max="7686" width="18.85546875" customWidth="1"/>
    <col min="7687" max="7687" width="11.140625" bestFit="1" customWidth="1"/>
    <col min="7688" max="7688" width="26.85546875" customWidth="1"/>
    <col min="7937" max="7937" width="68.5703125" bestFit="1" customWidth="1"/>
    <col min="7938" max="7938" width="12.5703125" bestFit="1" customWidth="1"/>
    <col min="7939" max="7939" width="8.85546875" bestFit="1" customWidth="1"/>
    <col min="7940" max="7940" width="19.42578125" bestFit="1" customWidth="1"/>
    <col min="7941" max="7941" width="10.5703125" bestFit="1" customWidth="1"/>
    <col min="7942" max="7942" width="18.85546875" customWidth="1"/>
    <col min="7943" max="7943" width="11.140625" bestFit="1" customWidth="1"/>
    <col min="7944" max="7944" width="26.85546875" customWidth="1"/>
    <col min="8193" max="8193" width="68.5703125" bestFit="1" customWidth="1"/>
    <col min="8194" max="8194" width="12.5703125" bestFit="1" customWidth="1"/>
    <col min="8195" max="8195" width="8.85546875" bestFit="1" customWidth="1"/>
    <col min="8196" max="8196" width="19.42578125" bestFit="1" customWidth="1"/>
    <col min="8197" max="8197" width="10.5703125" bestFit="1" customWidth="1"/>
    <col min="8198" max="8198" width="18.85546875" customWidth="1"/>
    <col min="8199" max="8199" width="11.140625" bestFit="1" customWidth="1"/>
    <col min="8200" max="8200" width="26.85546875" customWidth="1"/>
    <col min="8449" max="8449" width="68.5703125" bestFit="1" customWidth="1"/>
    <col min="8450" max="8450" width="12.5703125" bestFit="1" customWidth="1"/>
    <col min="8451" max="8451" width="8.85546875" bestFit="1" customWidth="1"/>
    <col min="8452" max="8452" width="19.42578125" bestFit="1" customWidth="1"/>
    <col min="8453" max="8453" width="10.5703125" bestFit="1" customWidth="1"/>
    <col min="8454" max="8454" width="18.85546875" customWidth="1"/>
    <col min="8455" max="8455" width="11.140625" bestFit="1" customWidth="1"/>
    <col min="8456" max="8456" width="26.85546875" customWidth="1"/>
    <col min="8705" max="8705" width="68.5703125" bestFit="1" customWidth="1"/>
    <col min="8706" max="8706" width="12.5703125" bestFit="1" customWidth="1"/>
    <col min="8707" max="8707" width="8.85546875" bestFit="1" customWidth="1"/>
    <col min="8708" max="8708" width="19.42578125" bestFit="1" customWidth="1"/>
    <col min="8709" max="8709" width="10.5703125" bestFit="1" customWidth="1"/>
    <col min="8710" max="8710" width="18.85546875" customWidth="1"/>
    <col min="8711" max="8711" width="11.140625" bestFit="1" customWidth="1"/>
    <col min="8712" max="8712" width="26.85546875" customWidth="1"/>
    <col min="8961" max="8961" width="68.5703125" bestFit="1" customWidth="1"/>
    <col min="8962" max="8962" width="12.5703125" bestFit="1" customWidth="1"/>
    <col min="8963" max="8963" width="8.85546875" bestFit="1" customWidth="1"/>
    <col min="8964" max="8964" width="19.42578125" bestFit="1" customWidth="1"/>
    <col min="8965" max="8965" width="10.5703125" bestFit="1" customWidth="1"/>
    <col min="8966" max="8966" width="18.85546875" customWidth="1"/>
    <col min="8967" max="8967" width="11.140625" bestFit="1" customWidth="1"/>
    <col min="8968" max="8968" width="26.85546875" customWidth="1"/>
    <col min="9217" max="9217" width="68.5703125" bestFit="1" customWidth="1"/>
    <col min="9218" max="9218" width="12.5703125" bestFit="1" customWidth="1"/>
    <col min="9219" max="9219" width="8.85546875" bestFit="1" customWidth="1"/>
    <col min="9220" max="9220" width="19.42578125" bestFit="1" customWidth="1"/>
    <col min="9221" max="9221" width="10.5703125" bestFit="1" customWidth="1"/>
    <col min="9222" max="9222" width="18.85546875" customWidth="1"/>
    <col min="9223" max="9223" width="11.140625" bestFit="1" customWidth="1"/>
    <col min="9224" max="9224" width="26.85546875" customWidth="1"/>
    <col min="9473" max="9473" width="68.5703125" bestFit="1" customWidth="1"/>
    <col min="9474" max="9474" width="12.5703125" bestFit="1" customWidth="1"/>
    <col min="9475" max="9475" width="8.85546875" bestFit="1" customWidth="1"/>
    <col min="9476" max="9476" width="19.42578125" bestFit="1" customWidth="1"/>
    <col min="9477" max="9477" width="10.5703125" bestFit="1" customWidth="1"/>
    <col min="9478" max="9478" width="18.85546875" customWidth="1"/>
    <col min="9479" max="9479" width="11.140625" bestFit="1" customWidth="1"/>
    <col min="9480" max="9480" width="26.85546875" customWidth="1"/>
    <col min="9729" max="9729" width="68.5703125" bestFit="1" customWidth="1"/>
    <col min="9730" max="9730" width="12.5703125" bestFit="1" customWidth="1"/>
    <col min="9731" max="9731" width="8.85546875" bestFit="1" customWidth="1"/>
    <col min="9732" max="9732" width="19.42578125" bestFit="1" customWidth="1"/>
    <col min="9733" max="9733" width="10.5703125" bestFit="1" customWidth="1"/>
    <col min="9734" max="9734" width="18.85546875" customWidth="1"/>
    <col min="9735" max="9735" width="11.140625" bestFit="1" customWidth="1"/>
    <col min="9736" max="9736" width="26.85546875" customWidth="1"/>
    <col min="9985" max="9985" width="68.5703125" bestFit="1" customWidth="1"/>
    <col min="9986" max="9986" width="12.5703125" bestFit="1" customWidth="1"/>
    <col min="9987" max="9987" width="8.85546875" bestFit="1" customWidth="1"/>
    <col min="9988" max="9988" width="19.42578125" bestFit="1" customWidth="1"/>
    <col min="9989" max="9989" width="10.5703125" bestFit="1" customWidth="1"/>
    <col min="9990" max="9990" width="18.85546875" customWidth="1"/>
    <col min="9991" max="9991" width="11.140625" bestFit="1" customWidth="1"/>
    <col min="9992" max="9992" width="26.85546875" customWidth="1"/>
    <col min="10241" max="10241" width="68.5703125" bestFit="1" customWidth="1"/>
    <col min="10242" max="10242" width="12.5703125" bestFit="1" customWidth="1"/>
    <col min="10243" max="10243" width="8.85546875" bestFit="1" customWidth="1"/>
    <col min="10244" max="10244" width="19.42578125" bestFit="1" customWidth="1"/>
    <col min="10245" max="10245" width="10.5703125" bestFit="1" customWidth="1"/>
    <col min="10246" max="10246" width="18.85546875" customWidth="1"/>
    <col min="10247" max="10247" width="11.140625" bestFit="1" customWidth="1"/>
    <col min="10248" max="10248" width="26.85546875" customWidth="1"/>
    <col min="10497" max="10497" width="68.5703125" bestFit="1" customWidth="1"/>
    <col min="10498" max="10498" width="12.5703125" bestFit="1" customWidth="1"/>
    <col min="10499" max="10499" width="8.85546875" bestFit="1" customWidth="1"/>
    <col min="10500" max="10500" width="19.42578125" bestFit="1" customWidth="1"/>
    <col min="10501" max="10501" width="10.5703125" bestFit="1" customWidth="1"/>
    <col min="10502" max="10502" width="18.85546875" customWidth="1"/>
    <col min="10503" max="10503" width="11.140625" bestFit="1" customWidth="1"/>
    <col min="10504" max="10504" width="26.85546875" customWidth="1"/>
    <col min="10753" max="10753" width="68.5703125" bestFit="1" customWidth="1"/>
    <col min="10754" max="10754" width="12.5703125" bestFit="1" customWidth="1"/>
    <col min="10755" max="10755" width="8.85546875" bestFit="1" customWidth="1"/>
    <col min="10756" max="10756" width="19.42578125" bestFit="1" customWidth="1"/>
    <col min="10757" max="10757" width="10.5703125" bestFit="1" customWidth="1"/>
    <col min="10758" max="10758" width="18.85546875" customWidth="1"/>
    <col min="10759" max="10759" width="11.140625" bestFit="1" customWidth="1"/>
    <col min="10760" max="10760" width="26.85546875" customWidth="1"/>
    <col min="11009" max="11009" width="68.5703125" bestFit="1" customWidth="1"/>
    <col min="11010" max="11010" width="12.5703125" bestFit="1" customWidth="1"/>
    <col min="11011" max="11011" width="8.85546875" bestFit="1" customWidth="1"/>
    <col min="11012" max="11012" width="19.42578125" bestFit="1" customWidth="1"/>
    <col min="11013" max="11013" width="10.5703125" bestFit="1" customWidth="1"/>
    <col min="11014" max="11014" width="18.85546875" customWidth="1"/>
    <col min="11015" max="11015" width="11.140625" bestFit="1" customWidth="1"/>
    <col min="11016" max="11016" width="26.85546875" customWidth="1"/>
    <col min="11265" max="11265" width="68.5703125" bestFit="1" customWidth="1"/>
    <col min="11266" max="11266" width="12.5703125" bestFit="1" customWidth="1"/>
    <col min="11267" max="11267" width="8.85546875" bestFit="1" customWidth="1"/>
    <col min="11268" max="11268" width="19.42578125" bestFit="1" customWidth="1"/>
    <col min="11269" max="11269" width="10.5703125" bestFit="1" customWidth="1"/>
    <col min="11270" max="11270" width="18.85546875" customWidth="1"/>
    <col min="11271" max="11271" width="11.140625" bestFit="1" customWidth="1"/>
    <col min="11272" max="11272" width="26.85546875" customWidth="1"/>
    <col min="11521" max="11521" width="68.5703125" bestFit="1" customWidth="1"/>
    <col min="11522" max="11522" width="12.5703125" bestFit="1" customWidth="1"/>
    <col min="11523" max="11523" width="8.85546875" bestFit="1" customWidth="1"/>
    <col min="11524" max="11524" width="19.42578125" bestFit="1" customWidth="1"/>
    <col min="11525" max="11525" width="10.5703125" bestFit="1" customWidth="1"/>
    <col min="11526" max="11526" width="18.85546875" customWidth="1"/>
    <col min="11527" max="11527" width="11.140625" bestFit="1" customWidth="1"/>
    <col min="11528" max="11528" width="26.85546875" customWidth="1"/>
    <col min="11777" max="11777" width="68.5703125" bestFit="1" customWidth="1"/>
    <col min="11778" max="11778" width="12.5703125" bestFit="1" customWidth="1"/>
    <col min="11779" max="11779" width="8.85546875" bestFit="1" customWidth="1"/>
    <col min="11780" max="11780" width="19.42578125" bestFit="1" customWidth="1"/>
    <col min="11781" max="11781" width="10.5703125" bestFit="1" customWidth="1"/>
    <col min="11782" max="11782" width="18.85546875" customWidth="1"/>
    <col min="11783" max="11783" width="11.140625" bestFit="1" customWidth="1"/>
    <col min="11784" max="11784" width="26.85546875" customWidth="1"/>
    <col min="12033" max="12033" width="68.5703125" bestFit="1" customWidth="1"/>
    <col min="12034" max="12034" width="12.5703125" bestFit="1" customWidth="1"/>
    <col min="12035" max="12035" width="8.85546875" bestFit="1" customWidth="1"/>
    <col min="12036" max="12036" width="19.42578125" bestFit="1" customWidth="1"/>
    <col min="12037" max="12037" width="10.5703125" bestFit="1" customWidth="1"/>
    <col min="12038" max="12038" width="18.85546875" customWidth="1"/>
    <col min="12039" max="12039" width="11.140625" bestFit="1" customWidth="1"/>
    <col min="12040" max="12040" width="26.85546875" customWidth="1"/>
    <col min="12289" max="12289" width="68.5703125" bestFit="1" customWidth="1"/>
    <col min="12290" max="12290" width="12.5703125" bestFit="1" customWidth="1"/>
    <col min="12291" max="12291" width="8.85546875" bestFit="1" customWidth="1"/>
    <col min="12292" max="12292" width="19.42578125" bestFit="1" customWidth="1"/>
    <col min="12293" max="12293" width="10.5703125" bestFit="1" customWidth="1"/>
    <col min="12294" max="12294" width="18.85546875" customWidth="1"/>
    <col min="12295" max="12295" width="11.140625" bestFit="1" customWidth="1"/>
    <col min="12296" max="12296" width="26.85546875" customWidth="1"/>
    <col min="12545" max="12545" width="68.5703125" bestFit="1" customWidth="1"/>
    <col min="12546" max="12546" width="12.5703125" bestFit="1" customWidth="1"/>
    <col min="12547" max="12547" width="8.85546875" bestFit="1" customWidth="1"/>
    <col min="12548" max="12548" width="19.42578125" bestFit="1" customWidth="1"/>
    <col min="12549" max="12549" width="10.5703125" bestFit="1" customWidth="1"/>
    <col min="12550" max="12550" width="18.85546875" customWidth="1"/>
    <col min="12551" max="12551" width="11.140625" bestFit="1" customWidth="1"/>
    <col min="12552" max="12552" width="26.85546875" customWidth="1"/>
    <col min="12801" max="12801" width="68.5703125" bestFit="1" customWidth="1"/>
    <col min="12802" max="12802" width="12.5703125" bestFit="1" customWidth="1"/>
    <col min="12803" max="12803" width="8.85546875" bestFit="1" customWidth="1"/>
    <col min="12804" max="12804" width="19.42578125" bestFit="1" customWidth="1"/>
    <col min="12805" max="12805" width="10.5703125" bestFit="1" customWidth="1"/>
    <col min="12806" max="12806" width="18.85546875" customWidth="1"/>
    <col min="12807" max="12807" width="11.140625" bestFit="1" customWidth="1"/>
    <col min="12808" max="12808" width="26.85546875" customWidth="1"/>
    <col min="13057" max="13057" width="68.5703125" bestFit="1" customWidth="1"/>
    <col min="13058" max="13058" width="12.5703125" bestFit="1" customWidth="1"/>
    <col min="13059" max="13059" width="8.85546875" bestFit="1" customWidth="1"/>
    <col min="13060" max="13060" width="19.42578125" bestFit="1" customWidth="1"/>
    <col min="13061" max="13061" width="10.5703125" bestFit="1" customWidth="1"/>
    <col min="13062" max="13062" width="18.85546875" customWidth="1"/>
    <col min="13063" max="13063" width="11.140625" bestFit="1" customWidth="1"/>
    <col min="13064" max="13064" width="26.85546875" customWidth="1"/>
    <col min="13313" max="13313" width="68.5703125" bestFit="1" customWidth="1"/>
    <col min="13314" max="13314" width="12.5703125" bestFit="1" customWidth="1"/>
    <col min="13315" max="13315" width="8.85546875" bestFit="1" customWidth="1"/>
    <col min="13316" max="13316" width="19.42578125" bestFit="1" customWidth="1"/>
    <col min="13317" max="13317" width="10.5703125" bestFit="1" customWidth="1"/>
    <col min="13318" max="13318" width="18.85546875" customWidth="1"/>
    <col min="13319" max="13319" width="11.140625" bestFit="1" customWidth="1"/>
    <col min="13320" max="13320" width="26.85546875" customWidth="1"/>
    <col min="13569" max="13569" width="68.5703125" bestFit="1" customWidth="1"/>
    <col min="13570" max="13570" width="12.5703125" bestFit="1" customWidth="1"/>
    <col min="13571" max="13571" width="8.85546875" bestFit="1" customWidth="1"/>
    <col min="13572" max="13572" width="19.42578125" bestFit="1" customWidth="1"/>
    <col min="13573" max="13573" width="10.5703125" bestFit="1" customWidth="1"/>
    <col min="13574" max="13574" width="18.85546875" customWidth="1"/>
    <col min="13575" max="13575" width="11.140625" bestFit="1" customWidth="1"/>
    <col min="13576" max="13576" width="26.85546875" customWidth="1"/>
    <col min="13825" max="13825" width="68.5703125" bestFit="1" customWidth="1"/>
    <col min="13826" max="13826" width="12.5703125" bestFit="1" customWidth="1"/>
    <col min="13827" max="13827" width="8.85546875" bestFit="1" customWidth="1"/>
    <col min="13828" max="13828" width="19.42578125" bestFit="1" customWidth="1"/>
    <col min="13829" max="13829" width="10.5703125" bestFit="1" customWidth="1"/>
    <col min="13830" max="13830" width="18.85546875" customWidth="1"/>
    <col min="13831" max="13831" width="11.140625" bestFit="1" customWidth="1"/>
    <col min="13832" max="13832" width="26.85546875" customWidth="1"/>
    <col min="14081" max="14081" width="68.5703125" bestFit="1" customWidth="1"/>
    <col min="14082" max="14082" width="12.5703125" bestFit="1" customWidth="1"/>
    <col min="14083" max="14083" width="8.85546875" bestFit="1" customWidth="1"/>
    <col min="14084" max="14084" width="19.42578125" bestFit="1" customWidth="1"/>
    <col min="14085" max="14085" width="10.5703125" bestFit="1" customWidth="1"/>
    <col min="14086" max="14086" width="18.85546875" customWidth="1"/>
    <col min="14087" max="14087" width="11.140625" bestFit="1" customWidth="1"/>
    <col min="14088" max="14088" width="26.85546875" customWidth="1"/>
    <col min="14337" max="14337" width="68.5703125" bestFit="1" customWidth="1"/>
    <col min="14338" max="14338" width="12.5703125" bestFit="1" customWidth="1"/>
    <col min="14339" max="14339" width="8.85546875" bestFit="1" customWidth="1"/>
    <col min="14340" max="14340" width="19.42578125" bestFit="1" customWidth="1"/>
    <col min="14341" max="14341" width="10.5703125" bestFit="1" customWidth="1"/>
    <col min="14342" max="14342" width="18.85546875" customWidth="1"/>
    <col min="14343" max="14343" width="11.140625" bestFit="1" customWidth="1"/>
    <col min="14344" max="14344" width="26.85546875" customWidth="1"/>
    <col min="14593" max="14593" width="68.5703125" bestFit="1" customWidth="1"/>
    <col min="14594" max="14594" width="12.5703125" bestFit="1" customWidth="1"/>
    <col min="14595" max="14595" width="8.85546875" bestFit="1" customWidth="1"/>
    <col min="14596" max="14596" width="19.42578125" bestFit="1" customWidth="1"/>
    <col min="14597" max="14597" width="10.5703125" bestFit="1" customWidth="1"/>
    <col min="14598" max="14598" width="18.85546875" customWidth="1"/>
    <col min="14599" max="14599" width="11.140625" bestFit="1" customWidth="1"/>
    <col min="14600" max="14600" width="26.85546875" customWidth="1"/>
    <col min="14849" max="14849" width="68.5703125" bestFit="1" customWidth="1"/>
    <col min="14850" max="14850" width="12.5703125" bestFit="1" customWidth="1"/>
    <col min="14851" max="14851" width="8.85546875" bestFit="1" customWidth="1"/>
    <col min="14852" max="14852" width="19.42578125" bestFit="1" customWidth="1"/>
    <col min="14853" max="14853" width="10.5703125" bestFit="1" customWidth="1"/>
    <col min="14854" max="14854" width="18.85546875" customWidth="1"/>
    <col min="14855" max="14855" width="11.140625" bestFit="1" customWidth="1"/>
    <col min="14856" max="14856" width="26.85546875" customWidth="1"/>
    <col min="15105" max="15105" width="68.5703125" bestFit="1" customWidth="1"/>
    <col min="15106" max="15106" width="12.5703125" bestFit="1" customWidth="1"/>
    <col min="15107" max="15107" width="8.85546875" bestFit="1" customWidth="1"/>
    <col min="15108" max="15108" width="19.42578125" bestFit="1" customWidth="1"/>
    <col min="15109" max="15109" width="10.5703125" bestFit="1" customWidth="1"/>
    <col min="15110" max="15110" width="18.85546875" customWidth="1"/>
    <col min="15111" max="15111" width="11.140625" bestFit="1" customWidth="1"/>
    <col min="15112" max="15112" width="26.85546875" customWidth="1"/>
    <col min="15361" max="15361" width="68.5703125" bestFit="1" customWidth="1"/>
    <col min="15362" max="15362" width="12.5703125" bestFit="1" customWidth="1"/>
    <col min="15363" max="15363" width="8.85546875" bestFit="1" customWidth="1"/>
    <col min="15364" max="15364" width="19.42578125" bestFit="1" customWidth="1"/>
    <col min="15365" max="15365" width="10.5703125" bestFit="1" customWidth="1"/>
    <col min="15366" max="15366" width="18.85546875" customWidth="1"/>
    <col min="15367" max="15367" width="11.140625" bestFit="1" customWidth="1"/>
    <col min="15368" max="15368" width="26.85546875" customWidth="1"/>
    <col min="15617" max="15617" width="68.5703125" bestFit="1" customWidth="1"/>
    <col min="15618" max="15618" width="12.5703125" bestFit="1" customWidth="1"/>
    <col min="15619" max="15619" width="8.85546875" bestFit="1" customWidth="1"/>
    <col min="15620" max="15620" width="19.42578125" bestFit="1" customWidth="1"/>
    <col min="15621" max="15621" width="10.5703125" bestFit="1" customWidth="1"/>
    <col min="15622" max="15622" width="18.85546875" customWidth="1"/>
    <col min="15623" max="15623" width="11.140625" bestFit="1" customWidth="1"/>
    <col min="15624" max="15624" width="26.85546875" customWidth="1"/>
    <col min="15873" max="15873" width="68.5703125" bestFit="1" customWidth="1"/>
    <col min="15874" max="15874" width="12.5703125" bestFit="1" customWidth="1"/>
    <col min="15875" max="15875" width="8.85546875" bestFit="1" customWidth="1"/>
    <col min="15876" max="15876" width="19.42578125" bestFit="1" customWidth="1"/>
    <col min="15877" max="15877" width="10.5703125" bestFit="1" customWidth="1"/>
    <col min="15878" max="15878" width="18.85546875" customWidth="1"/>
    <col min="15879" max="15879" width="11.140625" bestFit="1" customWidth="1"/>
    <col min="15880" max="15880" width="26.85546875" customWidth="1"/>
    <col min="16129" max="16129" width="68.5703125" bestFit="1" customWidth="1"/>
    <col min="16130" max="16130" width="12.5703125" bestFit="1" customWidth="1"/>
    <col min="16131" max="16131" width="8.85546875" bestFit="1" customWidth="1"/>
    <col min="16132" max="16132" width="19.42578125" bestFit="1" customWidth="1"/>
    <col min="16133" max="16133" width="10.5703125" bestFit="1" customWidth="1"/>
    <col min="16134" max="16134" width="18.85546875" customWidth="1"/>
    <col min="16135" max="16135" width="11.140625" bestFit="1" customWidth="1"/>
    <col min="16136" max="16136" width="26.85546875" customWidth="1"/>
  </cols>
  <sheetData>
    <row r="1" spans="1:16">
      <c r="A1" s="228" t="s">
        <v>296</v>
      </c>
    </row>
    <row r="2" spans="1:16">
      <c r="A2" s="231" t="s">
        <v>319</v>
      </c>
      <c r="B2" s="232"/>
      <c r="C2" s="233"/>
      <c r="D2" s="234"/>
      <c r="E2" s="234"/>
      <c r="F2" s="234"/>
      <c r="G2" s="235"/>
      <c r="H2" s="235"/>
      <c r="I2" s="235"/>
      <c r="J2" s="235"/>
      <c r="K2" s="235"/>
      <c r="L2" s="235"/>
    </row>
    <row r="3" spans="1:16">
      <c r="A3" s="236" t="s">
        <v>254</v>
      </c>
      <c r="B3" s="235"/>
      <c r="C3" s="237"/>
      <c r="D3" s="238"/>
      <c r="E3" s="238" t="s">
        <v>255</v>
      </c>
      <c r="F3" s="234"/>
      <c r="G3" s="235"/>
      <c r="H3" s="235"/>
      <c r="I3" s="235"/>
      <c r="J3" s="239"/>
      <c r="K3" s="235"/>
      <c r="L3" s="235"/>
    </row>
    <row r="4" spans="1:16">
      <c r="A4" s="235"/>
      <c r="B4" s="235"/>
      <c r="C4" s="237" t="s">
        <v>256</v>
      </c>
      <c r="D4" s="238" t="s">
        <v>257</v>
      </c>
      <c r="E4" s="238" t="s">
        <v>258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>
      <c r="A5" s="235"/>
      <c r="B5" s="235"/>
      <c r="C5" s="237" t="s">
        <v>259</v>
      </c>
      <c r="D5" s="238" t="s">
        <v>10</v>
      </c>
      <c r="E5" s="240">
        <v>44927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</row>
    <row r="6" spans="1:16">
      <c r="A6" s="231"/>
      <c r="B6" s="231"/>
      <c r="C6" s="241"/>
      <c r="D6" s="234"/>
      <c r="E6" s="234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1:16">
      <c r="A7" s="231" t="s">
        <v>288</v>
      </c>
      <c r="B7" s="231"/>
      <c r="C7" s="241"/>
      <c r="D7" s="234"/>
      <c r="E7" s="234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</row>
    <row r="8" spans="1:16">
      <c r="A8" s="242" t="s">
        <v>260</v>
      </c>
      <c r="B8" s="235"/>
      <c r="C8" s="241">
        <f>'Staff Calcs '!M2</f>
        <v>14.620733036612545</v>
      </c>
      <c r="D8" s="234">
        <f>'Staff Calcs '!L2</f>
        <v>0.52534292373120983</v>
      </c>
      <c r="E8" s="234">
        <f>C8+D8</f>
        <v>15.146075960343754</v>
      </c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</row>
    <row r="9" spans="1:16">
      <c r="A9" s="242" t="s">
        <v>261</v>
      </c>
      <c r="B9" s="235"/>
      <c r="C9" s="241">
        <f>'Staff Calcs '!M3</f>
        <v>21.169327640607538</v>
      </c>
      <c r="D9" s="234">
        <f>'Staff Calcs '!L3</f>
        <v>0.89308297034305684</v>
      </c>
      <c r="E9" s="234">
        <f t="shared" ref="E9:E73" si="0">C9+D9</f>
        <v>22.062410610950593</v>
      </c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</row>
    <row r="10" spans="1:16">
      <c r="A10" s="242" t="s">
        <v>262</v>
      </c>
      <c r="B10" s="235"/>
      <c r="C10" s="241">
        <f>'Staff Calcs '!M4</f>
        <v>35.643807715243739</v>
      </c>
      <c r="D10" s="234">
        <f>'Staff Calcs '!L4</f>
        <v>1.3396244555145853</v>
      </c>
      <c r="E10" s="234">
        <f t="shared" si="0"/>
        <v>36.983432170758327</v>
      </c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</row>
    <row r="11" spans="1:16">
      <c r="A11" s="242" t="s">
        <v>263</v>
      </c>
      <c r="B11" s="235"/>
      <c r="C11" s="241">
        <f>'Staff Calcs '!M5</f>
        <v>51.625501501739045</v>
      </c>
      <c r="D11" s="234">
        <f>'Staff Calcs '!L5</f>
        <v>2.022570256365158</v>
      </c>
      <c r="E11" s="234">
        <f t="shared" si="0"/>
        <v>53.648071758104201</v>
      </c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</row>
    <row r="12" spans="1:16">
      <c r="A12" s="243" t="s">
        <v>264</v>
      </c>
      <c r="B12" s="244"/>
      <c r="C12" s="245">
        <f>'Staff Calcs '!M40</f>
        <v>68.83</v>
      </c>
      <c r="D12" s="245">
        <f>'Staff Calcs '!L40</f>
        <v>0.58797996463762336</v>
      </c>
      <c r="E12" s="245">
        <f t="shared" si="0"/>
        <v>69.417979964637624</v>
      </c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</row>
    <row r="13" spans="1:16">
      <c r="A13" s="243" t="s">
        <v>265</v>
      </c>
      <c r="B13" s="244"/>
      <c r="C13" s="245">
        <f>'Staff Calcs '!M41</f>
        <v>83.89</v>
      </c>
      <c r="D13" s="245">
        <f>'Staff Calcs '!L41</f>
        <v>0.70921294703713322</v>
      </c>
      <c r="E13" s="245">
        <f t="shared" si="0"/>
        <v>84.599212947037131</v>
      </c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spans="1:16">
      <c r="A14" s="242" t="s">
        <v>266</v>
      </c>
      <c r="B14" s="235"/>
      <c r="C14" s="241">
        <f>'Staff Calcs '!M6</f>
        <v>21.862733403096442</v>
      </c>
      <c r="D14" s="234">
        <f>'Staff Calcs '!L6</f>
        <v>0.89308297034305684</v>
      </c>
      <c r="E14" s="234">
        <f t="shared" si="0"/>
        <v>22.755816373439497</v>
      </c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</row>
    <row r="15" spans="1:16">
      <c r="A15" s="242" t="s">
        <v>267</v>
      </c>
      <c r="B15" s="235"/>
      <c r="C15" s="241">
        <f>'Staff Calcs '!M7</f>
        <v>32.540783633002441</v>
      </c>
      <c r="D15" s="234">
        <f>'Staff Calcs '!L7</f>
        <v>1.2345558707683435</v>
      </c>
      <c r="E15" s="234">
        <f t="shared" si="0"/>
        <v>33.775339503770788</v>
      </c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</row>
    <row r="16" spans="1:16">
      <c r="A16" s="242" t="s">
        <v>268</v>
      </c>
      <c r="B16" s="235"/>
      <c r="C16" s="241">
        <f>'Staff Calcs '!M8</f>
        <v>45.086081336722565</v>
      </c>
      <c r="D16" s="234">
        <f>'Staff Calcs '!L8</f>
        <v>1.7861659406861137</v>
      </c>
      <c r="E16" s="234">
        <f t="shared" si="0"/>
        <v>46.872247277408675</v>
      </c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</row>
    <row r="17" spans="1:28">
      <c r="A17" s="242" t="s">
        <v>96</v>
      </c>
      <c r="B17" s="235"/>
      <c r="C17" s="241">
        <f>'Staff Calcs '!M9</f>
        <v>8.4512377441443132</v>
      </c>
      <c r="D17" s="234">
        <f>'Staff Calcs '!L9</f>
        <v>0.206096070079167</v>
      </c>
      <c r="E17" s="234">
        <f t="shared" si="0"/>
        <v>8.657333814223481</v>
      </c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</row>
    <row r="18" spans="1:28">
      <c r="A18" s="235"/>
      <c r="B18" s="235"/>
      <c r="C18" s="241"/>
      <c r="D18" s="234"/>
      <c r="E18" s="234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</row>
    <row r="19" spans="1:28">
      <c r="A19" s="231" t="s">
        <v>152</v>
      </c>
      <c r="B19" s="231"/>
      <c r="C19" s="241"/>
      <c r="D19" s="234"/>
      <c r="E19" s="234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</row>
    <row r="20" spans="1:28">
      <c r="A20" s="243" t="s">
        <v>269</v>
      </c>
      <c r="B20" s="244" t="s">
        <v>270</v>
      </c>
      <c r="C20" s="245">
        <f>'Staff Calcs '!M42</f>
        <v>5.1100000000000003</v>
      </c>
      <c r="D20" s="245">
        <f>'Staff Calcs '!L42</f>
        <v>0.20609607007916697</v>
      </c>
      <c r="E20" s="245">
        <f t="shared" si="0"/>
        <v>5.3160960700791673</v>
      </c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</row>
    <row r="21" spans="1:28">
      <c r="A21" s="235"/>
      <c r="B21" s="235"/>
      <c r="C21" s="241"/>
      <c r="D21" s="234"/>
      <c r="E21" s="234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</row>
    <row r="22" spans="1:28">
      <c r="A22" s="231" t="s">
        <v>153</v>
      </c>
      <c r="B22" s="235"/>
      <c r="C22" s="241"/>
      <c r="D22" s="234"/>
      <c r="E22" s="234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</row>
    <row r="23" spans="1:28">
      <c r="A23" s="246" t="s">
        <v>122</v>
      </c>
      <c r="B23" s="244" t="s">
        <v>270</v>
      </c>
      <c r="C23" s="245">
        <f>'Staff Calcs '!M43</f>
        <v>6.5968541112001287</v>
      </c>
      <c r="D23" s="245">
        <f>'Staff Calcs '!L43</f>
        <v>0.12123298239950998</v>
      </c>
      <c r="E23" s="245">
        <f t="shared" si="0"/>
        <v>6.7180870935996388</v>
      </c>
      <c r="F23" s="241"/>
      <c r="G23" s="241">
        <v>6.7180870935996388</v>
      </c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</row>
    <row r="24" spans="1:28">
      <c r="A24" s="246" t="s">
        <v>163</v>
      </c>
      <c r="B24" s="244" t="s">
        <v>270</v>
      </c>
      <c r="C24" s="245">
        <f>+'Staff Calcs '!M44</f>
        <v>6.69</v>
      </c>
      <c r="D24" s="245">
        <f>+'Staff Calcs '!L44</f>
        <v>0.22428101743909348</v>
      </c>
      <c r="E24" s="245">
        <f t="shared" si="0"/>
        <v>6.9142810174390936</v>
      </c>
      <c r="F24" s="241"/>
      <c r="G24" s="241">
        <v>6.9142810174390936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</row>
    <row r="25" spans="1:28">
      <c r="A25" s="246" t="s">
        <v>108</v>
      </c>
      <c r="B25" s="244" t="s">
        <v>270</v>
      </c>
      <c r="C25" s="245">
        <f>+'Staff Calcs '!M45</f>
        <v>6.742309898357739</v>
      </c>
      <c r="D25" s="245">
        <f>+'Staff Calcs '!L45</f>
        <v>0.28489750863884844</v>
      </c>
      <c r="E25" s="245">
        <f t="shared" si="0"/>
        <v>7.0272074069965873</v>
      </c>
      <c r="F25" s="241"/>
      <c r="G25" s="241">
        <v>7.0272074069965873</v>
      </c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</row>
    <row r="26" spans="1:28">
      <c r="A26" s="247" t="s">
        <v>271</v>
      </c>
      <c r="B26" s="235" t="s">
        <v>270</v>
      </c>
      <c r="C26" s="241">
        <f>'Staff Calcs '!M30</f>
        <v>11.250553138285396</v>
      </c>
      <c r="D26" s="241">
        <f>'Staff Calcs '!L30</f>
        <v>0.2848975086388485</v>
      </c>
      <c r="E26" s="234">
        <f t="shared" si="0"/>
        <v>11.535450646924245</v>
      </c>
      <c r="F26" s="241"/>
      <c r="G26" s="241">
        <v>11.535450646924245</v>
      </c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</row>
    <row r="27" spans="1:28">
      <c r="A27" s="247" t="s">
        <v>110</v>
      </c>
      <c r="B27" s="235" t="s">
        <v>270</v>
      </c>
      <c r="C27" s="241">
        <f>'Staff Calcs '!M31</f>
        <v>14.886517775866981</v>
      </c>
      <c r="D27" s="241">
        <f>'Staff Calcs '!L31</f>
        <v>0.41219214015833389</v>
      </c>
      <c r="E27" s="234">
        <f t="shared" si="0"/>
        <v>15.298709916025315</v>
      </c>
      <c r="F27" s="241"/>
      <c r="G27" s="241">
        <v>15.298709916025315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</row>
    <row r="28" spans="1:28">
      <c r="A28" s="246" t="s">
        <v>111</v>
      </c>
      <c r="B28" s="244" t="s">
        <v>270</v>
      </c>
      <c r="C28" s="245">
        <f>'Staff Calcs '!M46</f>
        <v>30.175884169772679</v>
      </c>
      <c r="D28" s="245">
        <f>'Staff Calcs '!L46</f>
        <v>1.0607885959957122</v>
      </c>
      <c r="E28" s="245">
        <f t="shared" si="0"/>
        <v>31.236672765768393</v>
      </c>
      <c r="F28" s="241"/>
      <c r="G28" s="241">
        <v>31.236672765768393</v>
      </c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</row>
    <row r="29" spans="1:28">
      <c r="A29" s="246" t="s">
        <v>112</v>
      </c>
      <c r="B29" s="244" t="s">
        <v>270</v>
      </c>
      <c r="C29" s="245">
        <f>'Staff Calcs '!M47</f>
        <v>41.491482736298188</v>
      </c>
      <c r="D29" s="245">
        <f>'Staff Calcs '!L47</f>
        <v>1.515412279993875</v>
      </c>
      <c r="E29" s="245">
        <f t="shared" si="0"/>
        <v>43.006895016292063</v>
      </c>
      <c r="F29" s="241"/>
      <c r="G29" s="241">
        <v>43.006895016292063</v>
      </c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</row>
    <row r="30" spans="1:28">
      <c r="A30" s="246" t="s">
        <v>113</v>
      </c>
      <c r="B30" s="244" t="s">
        <v>270</v>
      </c>
      <c r="C30" s="245">
        <f>'Staff Calcs '!M48</f>
        <v>54.33295246558226</v>
      </c>
      <c r="D30" s="245">
        <f>'Staff Calcs '!L48</f>
        <v>1.9639743148720619</v>
      </c>
      <c r="E30" s="245">
        <f t="shared" si="0"/>
        <v>56.296926780454321</v>
      </c>
      <c r="F30" s="241"/>
      <c r="G30" s="241">
        <v>56.296926780454321</v>
      </c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</row>
    <row r="31" spans="1:28">
      <c r="A31" s="246" t="s">
        <v>114</v>
      </c>
      <c r="B31" s="244" t="s">
        <v>270</v>
      </c>
      <c r="C31" s="245">
        <f>'Staff Calcs '!M49</f>
        <v>77.28000537120144</v>
      </c>
      <c r="D31" s="245">
        <f>'Staff Calcs '!L49</f>
        <v>2.8671600337484109</v>
      </c>
      <c r="E31" s="245">
        <f t="shared" si="0"/>
        <v>80.147165404949845</v>
      </c>
      <c r="F31" s="241"/>
      <c r="G31" s="241">
        <v>80.147165404949845</v>
      </c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</row>
    <row r="32" spans="1:28">
      <c r="A32" s="247" t="s">
        <v>115</v>
      </c>
      <c r="B32" s="235" t="s">
        <v>270</v>
      </c>
      <c r="C32" s="241">
        <f>'Staff Calcs '!M32</f>
        <v>109.68736652318763</v>
      </c>
      <c r="D32" s="241">
        <f>'Staff Calcs '!L32</f>
        <v>3.7157909105449809</v>
      </c>
      <c r="E32" s="234">
        <f t="shared" si="0"/>
        <v>113.40315743373262</v>
      </c>
      <c r="F32" s="241"/>
      <c r="G32" s="241">
        <v>113.40315743373262</v>
      </c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</row>
    <row r="33" spans="1:28">
      <c r="A33" s="247" t="s">
        <v>116</v>
      </c>
      <c r="B33" s="235" t="s">
        <v>270</v>
      </c>
      <c r="C33" s="241">
        <f>'Staff Calcs '!M33</f>
        <v>149.90917569243155</v>
      </c>
      <c r="D33" s="241">
        <f>'Staff Calcs '!L33</f>
        <v>5.091785260779421</v>
      </c>
      <c r="E33" s="234">
        <f t="shared" si="0"/>
        <v>155.00096095321098</v>
      </c>
      <c r="F33" s="241"/>
      <c r="G33" s="241">
        <v>155.00096095321098</v>
      </c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</row>
    <row r="34" spans="1:28">
      <c r="A34" s="247" t="s">
        <v>117</v>
      </c>
      <c r="B34" s="235" t="s">
        <v>270</v>
      </c>
      <c r="C34" s="241">
        <f>'Staff Calcs '!M50</f>
        <v>200.10269227013686</v>
      </c>
      <c r="D34" s="241">
        <f>'Staff Calcs '!L50</f>
        <v>5.9404161375759896</v>
      </c>
      <c r="E34" s="234">
        <f t="shared" si="0"/>
        <v>206.04310840771285</v>
      </c>
      <c r="F34" s="241"/>
      <c r="G34" s="241">
        <v>206.04310840771285</v>
      </c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</row>
    <row r="35" spans="1:28">
      <c r="A35" s="235"/>
      <c r="B35" s="235"/>
      <c r="C35" s="241"/>
      <c r="D35" s="234"/>
      <c r="E35" s="234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</row>
    <row r="36" spans="1:28">
      <c r="A36" s="246" t="s">
        <v>123</v>
      </c>
      <c r="B36" s="244" t="s">
        <v>270</v>
      </c>
      <c r="C36" s="245">
        <f>'Staff Calcs '!M51</f>
        <v>7.3357130662721453</v>
      </c>
      <c r="D36" s="245">
        <f>'Staff Calcs '!L51</f>
        <v>0.12123298239950998</v>
      </c>
      <c r="E36" s="245">
        <f t="shared" si="0"/>
        <v>7.4569460486716554</v>
      </c>
      <c r="F36" s="241"/>
      <c r="G36" s="241">
        <v>7.4569460486716554</v>
      </c>
      <c r="H36" s="241"/>
      <c r="I36" s="241"/>
      <c r="J36" s="241"/>
      <c r="K36" s="241"/>
      <c r="L36" s="241"/>
      <c r="M36" s="241"/>
      <c r="N36" s="241"/>
      <c r="O36" s="241"/>
      <c r="P36" s="241"/>
    </row>
    <row r="37" spans="1:28">
      <c r="A37" s="246" t="s">
        <v>272</v>
      </c>
      <c r="B37" s="244" t="s">
        <v>270</v>
      </c>
      <c r="C37" s="245">
        <f>'Staff Calcs '!M52</f>
        <v>7.384198328658016</v>
      </c>
      <c r="D37" s="245">
        <f>'Staff Calcs '!L52</f>
        <v>0.17578782447928945</v>
      </c>
      <c r="E37" s="245">
        <f t="shared" si="0"/>
        <v>7.5599861531373058</v>
      </c>
      <c r="F37" s="241"/>
      <c r="G37" s="241">
        <v>7.5599861531373058</v>
      </c>
      <c r="H37" s="241"/>
      <c r="I37" s="241"/>
      <c r="J37" s="241"/>
      <c r="K37" s="241"/>
      <c r="L37" s="241"/>
      <c r="M37" s="241"/>
      <c r="N37" s="241"/>
      <c r="O37" s="241"/>
      <c r="P37" s="241"/>
    </row>
    <row r="38" spans="1:28">
      <c r="A38" s="246" t="s">
        <v>125</v>
      </c>
      <c r="B38" s="244" t="s">
        <v>270</v>
      </c>
      <c r="C38" s="245">
        <f>'Staff Calcs '!M53</f>
        <v>10.897053008038064</v>
      </c>
      <c r="D38" s="245">
        <f>'Staff Calcs '!L53</f>
        <v>0.28489750863884844</v>
      </c>
      <c r="E38" s="245">
        <f t="shared" si="0"/>
        <v>11.181950516676913</v>
      </c>
      <c r="F38" s="241"/>
      <c r="G38" s="241">
        <v>11.181950516676913</v>
      </c>
      <c r="H38" s="241"/>
      <c r="I38" s="241"/>
      <c r="J38" s="241"/>
      <c r="K38" s="241"/>
      <c r="L38" s="241"/>
      <c r="M38" s="241"/>
      <c r="N38" s="241"/>
      <c r="O38" s="241"/>
      <c r="P38" s="241"/>
    </row>
    <row r="39" spans="1:28">
      <c r="A39" s="246" t="s">
        <v>273</v>
      </c>
      <c r="B39" s="244" t="s">
        <v>270</v>
      </c>
      <c r="C39" s="245">
        <f>'Staff Calcs '!M54</f>
        <v>14.92935017905956</v>
      </c>
      <c r="D39" s="245">
        <f>'Staff Calcs '!L54</f>
        <v>0.41219214015833394</v>
      </c>
      <c r="E39" s="245">
        <f t="shared" si="0"/>
        <v>15.341542319217893</v>
      </c>
      <c r="F39" s="241"/>
      <c r="G39" s="241">
        <v>15.341542319217893</v>
      </c>
      <c r="H39" s="241"/>
      <c r="I39" s="241"/>
      <c r="J39" s="241"/>
      <c r="K39" s="241"/>
      <c r="L39" s="241"/>
      <c r="M39" s="241"/>
      <c r="N39" s="241"/>
      <c r="O39" s="241"/>
      <c r="P39" s="241"/>
    </row>
    <row r="40" spans="1:28">
      <c r="A40" s="246" t="s">
        <v>274</v>
      </c>
      <c r="B40" s="244" t="s">
        <v>270</v>
      </c>
      <c r="C40" s="245">
        <f>'Staff Calcs '!M55</f>
        <v>33.399022510014376</v>
      </c>
      <c r="D40" s="245">
        <f>'Staff Calcs '!L55</f>
        <v>1.0607885959957122</v>
      </c>
      <c r="E40" s="245">
        <f t="shared" si="0"/>
        <v>34.459811106010086</v>
      </c>
      <c r="F40" s="241"/>
      <c r="G40" s="241">
        <v>34.459811106010086</v>
      </c>
      <c r="H40" s="241"/>
      <c r="I40" s="241"/>
      <c r="J40" s="241"/>
      <c r="K40" s="241"/>
      <c r="L40" s="241"/>
      <c r="M40" s="241"/>
      <c r="N40" s="241"/>
      <c r="O40" s="241"/>
      <c r="P40" s="241"/>
    </row>
    <row r="41" spans="1:28">
      <c r="A41" s="246" t="s">
        <v>275</v>
      </c>
      <c r="B41" s="244" t="s">
        <v>270</v>
      </c>
      <c r="C41" s="245">
        <f>'Staff Calcs '!M56</f>
        <v>44.800285882925046</v>
      </c>
      <c r="D41" s="245">
        <f>'Staff Calcs '!L56</f>
        <v>1.515412279993875</v>
      </c>
      <c r="E41" s="245">
        <f t="shared" si="0"/>
        <v>46.31569816291892</v>
      </c>
      <c r="F41" s="241"/>
      <c r="G41" s="241">
        <v>46.31569816291892</v>
      </c>
      <c r="H41" s="241"/>
      <c r="I41" s="241"/>
      <c r="J41" s="241"/>
      <c r="K41" s="241"/>
      <c r="L41" s="241"/>
      <c r="M41" s="241"/>
      <c r="N41" s="241"/>
      <c r="O41" s="241"/>
      <c r="P41" s="241"/>
    </row>
    <row r="42" spans="1:28">
      <c r="A42" s="246" t="s">
        <v>276</v>
      </c>
      <c r="B42" s="244" t="s">
        <v>270</v>
      </c>
      <c r="C42" s="245">
        <f>'Staff Calcs '!M57</f>
        <v>59.301511235921616</v>
      </c>
      <c r="D42" s="245">
        <f>'Staff Calcs '!L57</f>
        <v>1.9639743148720619</v>
      </c>
      <c r="E42" s="245">
        <f t="shared" si="0"/>
        <v>61.265485550793677</v>
      </c>
      <c r="F42" s="241"/>
      <c r="G42" s="241">
        <v>61.265485550793677</v>
      </c>
      <c r="H42" s="241"/>
      <c r="I42" s="241"/>
      <c r="J42" s="241"/>
      <c r="K42" s="241"/>
      <c r="L42" s="241"/>
      <c r="M42" s="241"/>
      <c r="N42" s="241"/>
      <c r="O42" s="241"/>
      <c r="P42" s="241"/>
    </row>
    <row r="43" spans="1:28">
      <c r="A43" s="246" t="s">
        <v>277</v>
      </c>
      <c r="B43" s="244" t="s">
        <v>270</v>
      </c>
      <c r="C43" s="245">
        <f>'Staff Calcs '!M58</f>
        <v>83.908319765253296</v>
      </c>
      <c r="D43" s="245">
        <f>'Staff Calcs '!L58</f>
        <v>2.8671600337484109</v>
      </c>
      <c r="E43" s="245">
        <f t="shared" si="0"/>
        <v>86.775479799001701</v>
      </c>
      <c r="F43" s="241"/>
      <c r="G43" s="241">
        <v>86.775479799001701</v>
      </c>
      <c r="H43" s="241"/>
      <c r="I43" s="241"/>
      <c r="J43" s="241"/>
      <c r="K43" s="241"/>
      <c r="L43" s="241"/>
      <c r="M43" s="241"/>
      <c r="N43" s="241"/>
      <c r="O43" s="241"/>
      <c r="P43" s="241"/>
    </row>
    <row r="44" spans="1:28">
      <c r="A44" s="246" t="s">
        <v>278</v>
      </c>
      <c r="B44" s="244" t="s">
        <v>270</v>
      </c>
      <c r="C44" s="245">
        <f>'Staff Calcs '!M59</f>
        <v>109.68736652318763</v>
      </c>
      <c r="D44" s="245">
        <f>'Staff Calcs '!L59</f>
        <v>3.7157909105449805</v>
      </c>
      <c r="E44" s="245">
        <f t="shared" si="0"/>
        <v>113.40315743373262</v>
      </c>
      <c r="F44" s="241"/>
      <c r="G44" s="241">
        <v>113.40315743373262</v>
      </c>
      <c r="H44" s="241"/>
      <c r="I44" s="241"/>
      <c r="J44" s="241"/>
      <c r="K44" s="241"/>
      <c r="L44" s="241"/>
      <c r="M44" s="241"/>
      <c r="N44" s="241"/>
      <c r="O44" s="241"/>
      <c r="P44" s="241"/>
    </row>
    <row r="45" spans="1:28">
      <c r="A45" s="246" t="s">
        <v>279</v>
      </c>
      <c r="B45" s="244" t="s">
        <v>270</v>
      </c>
      <c r="C45" s="245">
        <f>'Staff Calcs '!M60</f>
        <v>159.82487703151395</v>
      </c>
      <c r="D45" s="245">
        <f>'Staff Calcs '!L60</f>
        <v>5.0917852607794192</v>
      </c>
      <c r="E45" s="245">
        <f t="shared" si="0"/>
        <v>164.91666229229338</v>
      </c>
      <c r="F45" s="241"/>
      <c r="G45" s="241">
        <v>164.91666229229338</v>
      </c>
      <c r="H45" s="241"/>
      <c r="I45" s="241"/>
      <c r="J45" s="241"/>
      <c r="K45" s="241"/>
      <c r="L45" s="241"/>
      <c r="M45" s="241"/>
      <c r="N45" s="241"/>
      <c r="O45" s="241"/>
      <c r="P45" s="241"/>
    </row>
    <row r="46" spans="1:28">
      <c r="A46" s="246" t="s">
        <v>280</v>
      </c>
      <c r="B46" s="244" t="s">
        <v>270</v>
      </c>
      <c r="C46" s="245">
        <f>'Staff Calcs '!M61</f>
        <v>213.84118559415711</v>
      </c>
      <c r="D46" s="245">
        <f>'Staff Calcs '!L61</f>
        <v>5.9404161375759896</v>
      </c>
      <c r="E46" s="245">
        <f t="shared" si="0"/>
        <v>219.7816017317331</v>
      </c>
      <c r="F46" s="241"/>
      <c r="G46" s="241">
        <v>219.7816017317331</v>
      </c>
      <c r="H46" s="241"/>
      <c r="I46" s="241"/>
      <c r="J46" s="241"/>
      <c r="K46" s="241"/>
      <c r="L46" s="241"/>
      <c r="M46" s="241"/>
      <c r="N46" s="241"/>
      <c r="O46" s="241"/>
      <c r="P46" s="241"/>
    </row>
    <row r="47" spans="1:28">
      <c r="A47" s="247"/>
      <c r="B47" s="235"/>
      <c r="C47" s="241"/>
      <c r="D47" s="241"/>
      <c r="E47" s="241">
        <f t="shared" si="0"/>
        <v>0</v>
      </c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</row>
    <row r="48" spans="1:28">
      <c r="A48" s="246" t="s">
        <v>281</v>
      </c>
      <c r="B48" s="244" t="s">
        <v>270</v>
      </c>
      <c r="C48" s="245">
        <f>'Staff Calcs '!M62</f>
        <v>33.399022510014376</v>
      </c>
      <c r="D48" s="245">
        <f>'Staff Calcs '!L62</f>
        <v>1.0607885959957122</v>
      </c>
      <c r="E48" s="245">
        <f t="shared" si="0"/>
        <v>34.459811106010086</v>
      </c>
      <c r="F48" s="241"/>
      <c r="G48" s="241">
        <v>34.459811106010086</v>
      </c>
      <c r="H48" s="241"/>
      <c r="I48" s="241"/>
      <c r="J48" s="241"/>
      <c r="K48" s="241"/>
      <c r="L48" s="241"/>
      <c r="M48" s="241"/>
      <c r="N48" s="241"/>
      <c r="O48" s="241"/>
      <c r="P48" s="241"/>
    </row>
    <row r="49" spans="1:16">
      <c r="A49" s="246" t="s">
        <v>282</v>
      </c>
      <c r="B49" s="244" t="s">
        <v>270</v>
      </c>
      <c r="C49" s="245">
        <f>'Staff Calcs '!M63</f>
        <v>44.800285882925046</v>
      </c>
      <c r="D49" s="245">
        <f>'Staff Calcs '!L63</f>
        <v>1.515412279993875</v>
      </c>
      <c r="E49" s="245">
        <f t="shared" si="0"/>
        <v>46.31569816291892</v>
      </c>
      <c r="F49" s="241"/>
      <c r="G49" s="241">
        <v>46.31569816291892</v>
      </c>
      <c r="H49" s="241"/>
      <c r="I49" s="241"/>
      <c r="J49" s="241"/>
      <c r="K49" s="241"/>
      <c r="L49" s="241"/>
      <c r="M49" s="241"/>
      <c r="N49" s="241"/>
      <c r="O49" s="241"/>
      <c r="P49" s="241"/>
    </row>
    <row r="50" spans="1:16">
      <c r="A50" s="246" t="s">
        <v>283</v>
      </c>
      <c r="B50" s="244" t="s">
        <v>270</v>
      </c>
      <c r="C50" s="245">
        <f>'Staff Calcs '!M64</f>
        <v>59.301511235921616</v>
      </c>
      <c r="D50" s="245">
        <f>'Staff Calcs '!L64</f>
        <v>1.9639743148720619</v>
      </c>
      <c r="E50" s="245">
        <f t="shared" si="0"/>
        <v>61.265485550793677</v>
      </c>
      <c r="F50" s="241"/>
      <c r="G50" s="241">
        <v>61.265485550793677</v>
      </c>
      <c r="H50" s="241"/>
      <c r="I50" s="241"/>
      <c r="J50" s="241"/>
      <c r="K50" s="241"/>
      <c r="L50" s="241"/>
      <c r="M50" s="241"/>
      <c r="N50" s="241"/>
      <c r="O50" s="241"/>
      <c r="P50" s="241"/>
    </row>
    <row r="51" spans="1:16">
      <c r="A51" s="285" t="s">
        <v>284</v>
      </c>
      <c r="B51" s="286" t="s">
        <v>270</v>
      </c>
      <c r="C51" s="241">
        <f>'Staff Calcs '!M34</f>
        <v>83.91</v>
      </c>
      <c r="D51" s="241">
        <f>'Staff Calcs '!L34</f>
        <v>2.8671600337484109</v>
      </c>
      <c r="E51" s="241">
        <f t="shared" si="0"/>
        <v>86.777160033748402</v>
      </c>
      <c r="F51" s="241"/>
      <c r="G51" s="241">
        <v>86.777160033748402</v>
      </c>
      <c r="H51" s="241"/>
      <c r="I51" s="241"/>
      <c r="J51" s="241"/>
      <c r="K51" s="241"/>
      <c r="L51" s="241"/>
      <c r="M51" s="241"/>
      <c r="N51" s="241"/>
      <c r="O51" s="241"/>
      <c r="P51" s="241"/>
    </row>
    <row r="52" spans="1:16">
      <c r="A52" s="246" t="s">
        <v>285</v>
      </c>
      <c r="B52" s="244" t="s">
        <v>270</v>
      </c>
      <c r="C52" s="245">
        <f>'Staff Calcs '!M65</f>
        <v>109.68736652318763</v>
      </c>
      <c r="D52" s="245">
        <f>'Staff Calcs '!L65</f>
        <v>3.7157909105449805</v>
      </c>
      <c r="E52" s="245">
        <f t="shared" si="0"/>
        <v>113.40315743373262</v>
      </c>
      <c r="F52" s="241"/>
      <c r="G52" s="241">
        <v>113.40315743373262</v>
      </c>
      <c r="H52" s="241"/>
      <c r="I52" s="241"/>
      <c r="J52" s="241"/>
      <c r="K52" s="241"/>
      <c r="L52" s="241"/>
      <c r="M52" s="241"/>
      <c r="N52" s="241"/>
      <c r="O52" s="241"/>
      <c r="P52" s="241"/>
    </row>
    <row r="53" spans="1:16">
      <c r="A53" s="246" t="s">
        <v>286</v>
      </c>
      <c r="B53" s="244" t="s">
        <v>270</v>
      </c>
      <c r="C53" s="245">
        <f>'Staff Calcs '!M66</f>
        <v>159.82487703151395</v>
      </c>
      <c r="D53" s="245">
        <f>'Staff Calcs '!L66</f>
        <v>5.0917852607794192</v>
      </c>
      <c r="E53" s="245">
        <f t="shared" si="0"/>
        <v>164.91666229229338</v>
      </c>
      <c r="F53" s="241"/>
      <c r="G53" s="241">
        <v>164.91666229229338</v>
      </c>
      <c r="H53" s="241"/>
      <c r="I53" s="241"/>
      <c r="J53" s="241"/>
      <c r="K53" s="241"/>
      <c r="L53" s="241"/>
      <c r="M53" s="241"/>
      <c r="N53" s="241"/>
      <c r="O53" s="241"/>
      <c r="P53" s="241"/>
    </row>
    <row r="54" spans="1:16">
      <c r="A54" s="246" t="s">
        <v>287</v>
      </c>
      <c r="B54" s="244" t="s">
        <v>270</v>
      </c>
      <c r="C54" s="245">
        <f>'Staff Calcs '!M67</f>
        <v>213.84118559415711</v>
      </c>
      <c r="D54" s="245">
        <f>'Staff Calcs '!L67</f>
        <v>5.9404161375759896</v>
      </c>
      <c r="E54" s="245">
        <f t="shared" si="0"/>
        <v>219.7816017317331</v>
      </c>
      <c r="F54" s="241"/>
      <c r="G54" s="241">
        <v>219.7816017317331</v>
      </c>
      <c r="H54" s="241"/>
      <c r="I54" s="241"/>
      <c r="J54" s="241"/>
      <c r="K54" s="241"/>
      <c r="L54" s="241"/>
      <c r="M54" s="241"/>
      <c r="N54" s="241"/>
      <c r="O54" s="241"/>
      <c r="P54" s="241"/>
    </row>
    <row r="55" spans="1:16">
      <c r="A55" s="235"/>
      <c r="B55" s="235"/>
      <c r="C55" s="241"/>
      <c r="D55" s="234"/>
      <c r="E55" s="234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</row>
    <row r="56" spans="1:16">
      <c r="A56" s="231" t="s">
        <v>154</v>
      </c>
      <c r="B56" s="235"/>
      <c r="C56" s="241"/>
      <c r="D56" s="234"/>
      <c r="E56" s="234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</row>
    <row r="57" spans="1:16">
      <c r="A57" s="244" t="s">
        <v>135</v>
      </c>
      <c r="B57" s="244" t="s">
        <v>270</v>
      </c>
      <c r="C57" s="245">
        <f>'Staff Calcs '!M68</f>
        <v>333.92713140781837</v>
      </c>
      <c r="D57" s="245">
        <f>'Staff Calcs '!L68</f>
        <v>7.8862055050881255</v>
      </c>
      <c r="E57" s="245">
        <f t="shared" si="0"/>
        <v>341.81333691290649</v>
      </c>
      <c r="F57" s="241"/>
      <c r="G57" s="241">
        <v>341.81333691290649</v>
      </c>
      <c r="H57" s="241"/>
      <c r="I57" s="241"/>
      <c r="J57" s="241"/>
      <c r="K57" s="241"/>
      <c r="L57" s="241"/>
      <c r="M57" s="241"/>
      <c r="N57" s="241"/>
      <c r="O57" s="241"/>
      <c r="P57" s="241"/>
    </row>
    <row r="58" spans="1:16">
      <c r="A58" s="244" t="s">
        <v>136</v>
      </c>
      <c r="B58" s="244" t="s">
        <v>270</v>
      </c>
      <c r="C58" s="245">
        <f>'Staff Calcs '!M69</f>
        <v>415.61595262186768</v>
      </c>
      <c r="D58" s="245">
        <f>'Staff Calcs '!L69</f>
        <v>10.219940416278691</v>
      </c>
      <c r="E58" s="245">
        <f t="shared" si="0"/>
        <v>425.83589303814637</v>
      </c>
      <c r="F58" s="241"/>
      <c r="G58" s="241">
        <v>425.83589303814637</v>
      </c>
      <c r="H58" s="241"/>
      <c r="I58" s="241"/>
      <c r="J58" s="241"/>
      <c r="K58" s="241"/>
      <c r="L58" s="241"/>
      <c r="M58" s="241"/>
      <c r="N58" s="241"/>
      <c r="O58" s="241"/>
      <c r="P58" s="241"/>
    </row>
    <row r="59" spans="1:16">
      <c r="A59" s="244" t="s">
        <v>137</v>
      </c>
      <c r="B59" s="244" t="s">
        <v>270</v>
      </c>
      <c r="C59" s="245">
        <f>'Staff Calcs '!M70</f>
        <v>478.80569968269293</v>
      </c>
      <c r="D59" s="245">
        <f>'Staff Calcs '!L70</f>
        <v>12.402134099469869</v>
      </c>
      <c r="E59" s="245">
        <f t="shared" si="0"/>
        <v>491.20783378216282</v>
      </c>
      <c r="F59" s="241"/>
      <c r="G59" s="241">
        <v>491.20783378216282</v>
      </c>
      <c r="H59" s="241"/>
      <c r="I59" s="241"/>
      <c r="J59" s="241"/>
      <c r="K59" s="241"/>
      <c r="L59" s="241"/>
      <c r="M59" s="241"/>
      <c r="N59" s="241"/>
      <c r="O59" s="241"/>
      <c r="P59" s="241"/>
    </row>
    <row r="60" spans="1:16">
      <c r="A60" s="244" t="s">
        <v>133</v>
      </c>
      <c r="B60" s="244" t="s">
        <v>270</v>
      </c>
      <c r="C60" s="245">
        <f>'Staff Calcs '!M71</f>
        <v>567.00638291418022</v>
      </c>
      <c r="D60" s="245">
        <f>'Staff Calcs '!L71</f>
        <v>14.002409467143403</v>
      </c>
      <c r="E60" s="245">
        <f t="shared" si="0"/>
        <v>581.00879238132359</v>
      </c>
      <c r="F60" s="241"/>
      <c r="G60" s="241">
        <v>581.00879238132359</v>
      </c>
      <c r="H60" s="241"/>
      <c r="I60" s="241"/>
      <c r="J60" s="241"/>
      <c r="K60" s="241"/>
      <c r="L60" s="241"/>
      <c r="M60" s="241"/>
      <c r="N60" s="241"/>
      <c r="O60" s="241"/>
      <c r="P60" s="241"/>
    </row>
    <row r="61" spans="1:16">
      <c r="A61" s="244"/>
      <c r="B61" s="244"/>
      <c r="C61" s="245"/>
      <c r="D61" s="245"/>
      <c r="E61" s="245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</row>
    <row r="62" spans="1:16">
      <c r="A62" s="244" t="s">
        <v>131</v>
      </c>
      <c r="B62" s="244" t="s">
        <v>270</v>
      </c>
      <c r="C62" s="245">
        <f>'Staff Calcs '!M107</f>
        <v>380.75365619810714</v>
      </c>
      <c r="D62" s="245">
        <f>'Staff Calcs '!L107</f>
        <v>7.8862055050881255</v>
      </c>
      <c r="E62" s="245">
        <f t="shared" ref="E62:E65" si="1">C62+D62</f>
        <v>388.63986170319527</v>
      </c>
      <c r="F62" s="241"/>
      <c r="G62" s="241">
        <v>388.63986170319527</v>
      </c>
      <c r="H62" s="241"/>
      <c r="I62" s="241"/>
      <c r="J62" s="241"/>
      <c r="K62" s="241"/>
      <c r="L62" s="241"/>
      <c r="M62" s="241"/>
      <c r="N62" s="241"/>
      <c r="O62" s="241"/>
      <c r="P62" s="241"/>
    </row>
    <row r="63" spans="1:16">
      <c r="A63" s="244" t="s">
        <v>132</v>
      </c>
      <c r="B63" s="244" t="s">
        <v>270</v>
      </c>
      <c r="C63" s="245">
        <f>'Staff Calcs '!M108</f>
        <v>482.01688567116594</v>
      </c>
      <c r="D63" s="245">
        <f>'Staff Calcs '!L108</f>
        <v>10.219940416278691</v>
      </c>
      <c r="E63" s="245">
        <f t="shared" si="1"/>
        <v>492.23682608744463</v>
      </c>
      <c r="F63" s="241"/>
      <c r="G63" s="241">
        <v>492.23682608744463</v>
      </c>
      <c r="H63" s="241"/>
      <c r="I63" s="241"/>
      <c r="J63" s="241"/>
      <c r="K63" s="241"/>
      <c r="L63" s="241"/>
      <c r="M63" s="241"/>
      <c r="N63" s="241"/>
      <c r="O63" s="241"/>
      <c r="P63" s="241"/>
    </row>
    <row r="64" spans="1:16">
      <c r="A64" s="244" t="s">
        <v>169</v>
      </c>
      <c r="B64" s="244" t="s">
        <v>270</v>
      </c>
      <c r="C64" s="245">
        <f>'Staff Calcs '!M109</f>
        <v>552.5630979803168</v>
      </c>
      <c r="D64" s="245">
        <f>'Staff Calcs '!L109</f>
        <v>12.402134099469869</v>
      </c>
      <c r="E64" s="245">
        <f t="shared" si="1"/>
        <v>564.96523207978669</v>
      </c>
      <c r="F64" s="241"/>
      <c r="G64" s="241">
        <v>564.96523207978669</v>
      </c>
      <c r="H64" s="241"/>
      <c r="I64" s="241"/>
      <c r="J64" s="241"/>
      <c r="K64" s="241"/>
      <c r="L64" s="241"/>
      <c r="M64" s="241"/>
      <c r="N64" s="241"/>
      <c r="O64" s="241"/>
      <c r="P64" s="241"/>
    </row>
    <row r="65" spans="1:16">
      <c r="A65" s="244" t="s">
        <v>170</v>
      </c>
      <c r="B65" s="244" t="s">
        <v>270</v>
      </c>
      <c r="C65" s="245">
        <f>'Staff Calcs '!M110</f>
        <v>636.23425457418864</v>
      </c>
      <c r="D65" s="245">
        <f>'Staff Calcs '!L110</f>
        <v>14.002409467143403</v>
      </c>
      <c r="E65" s="245">
        <f t="shared" si="1"/>
        <v>650.23666404133201</v>
      </c>
      <c r="F65" s="241"/>
      <c r="G65" s="241">
        <v>650.23666404133201</v>
      </c>
      <c r="H65" s="241"/>
      <c r="I65" s="241"/>
      <c r="J65" s="241"/>
      <c r="K65" s="241"/>
      <c r="L65" s="241"/>
      <c r="M65" s="241"/>
      <c r="N65" s="241"/>
      <c r="O65" s="241"/>
      <c r="P65" s="241"/>
    </row>
    <row r="66" spans="1:16">
      <c r="A66" s="235"/>
      <c r="B66" s="235"/>
      <c r="C66" s="241"/>
      <c r="D66" s="234"/>
      <c r="E66" s="234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</row>
    <row r="67" spans="1:16">
      <c r="A67" s="231" t="s">
        <v>155</v>
      </c>
      <c r="B67" s="235"/>
      <c r="C67" s="241"/>
      <c r="D67" s="234"/>
      <c r="E67" s="234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</row>
    <row r="68" spans="1:16">
      <c r="A68" s="244" t="s">
        <v>127</v>
      </c>
      <c r="B68" s="244" t="s">
        <v>270</v>
      </c>
      <c r="C68" s="245">
        <f>'Staff Calcs '!M72</f>
        <v>189.02469005903956</v>
      </c>
      <c r="D68" s="245">
        <f>'Staff Calcs '!L72</f>
        <v>2.9217148758281906</v>
      </c>
      <c r="E68" s="245">
        <f t="shared" si="0"/>
        <v>191.94640493486776</v>
      </c>
      <c r="F68" s="241"/>
      <c r="G68" s="241">
        <v>191.94640493486776</v>
      </c>
      <c r="H68" s="241"/>
      <c r="I68" s="241"/>
      <c r="J68" s="241"/>
      <c r="K68" s="241"/>
      <c r="L68" s="241"/>
      <c r="M68" s="241"/>
      <c r="N68" s="241"/>
      <c r="O68" s="241"/>
      <c r="P68" s="241"/>
    </row>
    <row r="69" spans="1:16">
      <c r="A69" s="244" t="s">
        <v>138</v>
      </c>
      <c r="B69" s="244" t="s">
        <v>270</v>
      </c>
      <c r="C69" s="245">
        <f>'Staff Calcs '!M73</f>
        <v>306.67749782808784</v>
      </c>
      <c r="D69" s="245">
        <f>'Staff Calcs '!L73</f>
        <v>5.4069910150181455</v>
      </c>
      <c r="E69" s="245">
        <f t="shared" si="0"/>
        <v>312.08448884310599</v>
      </c>
      <c r="F69" s="241"/>
      <c r="G69" s="241">
        <v>312.08448884310599</v>
      </c>
      <c r="H69" s="241"/>
      <c r="I69" s="241"/>
      <c r="J69" s="241"/>
      <c r="K69" s="241"/>
      <c r="L69" s="241"/>
      <c r="M69" s="241"/>
      <c r="N69" s="241"/>
      <c r="O69" s="241"/>
      <c r="P69" s="241"/>
    </row>
    <row r="70" spans="1:16">
      <c r="A70" s="244" t="s">
        <v>135</v>
      </c>
      <c r="B70" s="244" t="s">
        <v>270</v>
      </c>
      <c r="C70" s="245">
        <f>'Staff Calcs '!M74</f>
        <v>402.4482684151493</v>
      </c>
      <c r="D70" s="245">
        <f>'Staff Calcs '!L74</f>
        <v>7.8862055050881255</v>
      </c>
      <c r="E70" s="245">
        <f t="shared" si="0"/>
        <v>410.33447392023743</v>
      </c>
      <c r="F70" s="241"/>
      <c r="G70" s="241">
        <v>410.33447392023743</v>
      </c>
      <c r="H70" s="241"/>
      <c r="I70" s="241"/>
      <c r="J70" s="241"/>
      <c r="K70" s="241"/>
      <c r="L70" s="241"/>
      <c r="M70" s="241"/>
      <c r="N70" s="241"/>
      <c r="O70" s="241"/>
      <c r="P70" s="241"/>
    </row>
    <row r="71" spans="1:16">
      <c r="A71" s="244" t="s">
        <v>136</v>
      </c>
      <c r="B71" s="244" t="s">
        <v>270</v>
      </c>
      <c r="C71" s="245">
        <f>'Staff Calcs '!M75</f>
        <v>509.71874243596744</v>
      </c>
      <c r="D71" s="245">
        <f>'Staff Calcs '!L75</f>
        <v>10.219940416278691</v>
      </c>
      <c r="E71" s="245">
        <f t="shared" si="0"/>
        <v>519.93868285224619</v>
      </c>
      <c r="F71" s="241"/>
      <c r="G71" s="241">
        <v>519.93868285224619</v>
      </c>
      <c r="H71" s="241"/>
      <c r="I71" s="241"/>
      <c r="J71" s="241"/>
      <c r="K71" s="241"/>
      <c r="L71" s="241"/>
      <c r="M71" s="241"/>
      <c r="N71" s="241"/>
      <c r="O71" s="241"/>
      <c r="P71" s="241"/>
    </row>
    <row r="72" spans="1:16">
      <c r="A72" s="244" t="s">
        <v>137</v>
      </c>
      <c r="B72" s="244" t="s">
        <v>270</v>
      </c>
      <c r="C72" s="245">
        <f>'Staff Calcs '!M76</f>
        <v>587.18238786072004</v>
      </c>
      <c r="D72" s="245">
        <f>'Staff Calcs '!L76</f>
        <v>12.402134099469869</v>
      </c>
      <c r="E72" s="245">
        <f t="shared" si="0"/>
        <v>599.58452196018993</v>
      </c>
      <c r="F72" s="241"/>
      <c r="G72" s="241">
        <v>599.58452196018993</v>
      </c>
      <c r="H72" s="241"/>
      <c r="I72" s="241"/>
      <c r="J72" s="241"/>
      <c r="K72" s="241"/>
      <c r="L72" s="241"/>
      <c r="M72" s="241"/>
      <c r="N72" s="241"/>
      <c r="O72" s="241"/>
      <c r="P72" s="241"/>
    </row>
    <row r="73" spans="1:16">
      <c r="A73" s="244" t="s">
        <v>133</v>
      </c>
      <c r="B73" s="244" t="s">
        <v>270</v>
      </c>
      <c r="C73" s="245">
        <f>'Staff Calcs '!M77</f>
        <v>677.77097757019385</v>
      </c>
      <c r="D73" s="245">
        <f>'Staff Calcs '!L77</f>
        <v>14.002409467143403</v>
      </c>
      <c r="E73" s="245">
        <f t="shared" si="0"/>
        <v>691.77338703733722</v>
      </c>
      <c r="F73" s="241"/>
      <c r="G73" s="241">
        <v>691.77338703733722</v>
      </c>
      <c r="H73" s="241"/>
      <c r="I73" s="241"/>
      <c r="J73" s="241"/>
      <c r="K73" s="241"/>
      <c r="L73" s="241"/>
      <c r="M73" s="241"/>
      <c r="N73" s="241"/>
      <c r="O73" s="241"/>
      <c r="P73" s="241"/>
    </row>
    <row r="74" spans="1:16">
      <c r="A74" s="235"/>
      <c r="B74" s="235"/>
      <c r="C74" s="241"/>
      <c r="D74" s="234"/>
      <c r="E74" s="234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</row>
    <row r="75" spans="1:16">
      <c r="A75" s="249" t="s">
        <v>139</v>
      </c>
      <c r="B75" s="235"/>
      <c r="C75" s="241"/>
      <c r="D75" s="234"/>
      <c r="E75" s="234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</row>
    <row r="76" spans="1:16">
      <c r="A76" s="244" t="s">
        <v>140</v>
      </c>
      <c r="B76" s="244"/>
      <c r="C76" s="245">
        <f>'Staff Calcs '!M78</f>
        <v>21.52</v>
      </c>
      <c r="D76" s="245">
        <f>'Staff Calcs '!L78</f>
        <v>0.75770613999693748</v>
      </c>
      <c r="E76" s="245">
        <f t="shared" ref="E76:E77" si="2">C76+D76</f>
        <v>22.277706139996937</v>
      </c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</row>
    <row r="77" spans="1:16">
      <c r="A77" s="244" t="s">
        <v>141</v>
      </c>
      <c r="B77" s="244"/>
      <c r="C77" s="245">
        <f>'Staff Calcs '!M79</f>
        <v>21.52</v>
      </c>
      <c r="D77" s="245">
        <f>'Staff Calcs '!L79</f>
        <v>0.75770613999693748</v>
      </c>
      <c r="E77" s="245">
        <f t="shared" si="2"/>
        <v>22.277706139996937</v>
      </c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</row>
    <row r="78" spans="1:16">
      <c r="A78" s="235"/>
      <c r="B78" s="235"/>
      <c r="C78" s="241"/>
      <c r="D78" s="234"/>
      <c r="E78" s="234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</row>
    <row r="79" spans="1:16">
      <c r="A79" s="235"/>
      <c r="B79" s="235"/>
      <c r="C79" s="241"/>
      <c r="D79" s="234"/>
      <c r="E79" s="234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</row>
    <row r="80" spans="1:16">
      <c r="A80" s="231" t="s">
        <v>156</v>
      </c>
      <c r="B80" s="235"/>
      <c r="C80" s="241"/>
      <c r="D80" s="234"/>
      <c r="E80" s="234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</row>
    <row r="81" spans="1:23">
      <c r="A81" s="246" t="s">
        <v>108</v>
      </c>
      <c r="B81" s="244" t="s">
        <v>270</v>
      </c>
      <c r="C81" s="245">
        <f>+'Staff Calcs '!M82</f>
        <v>5.9388703287254998</v>
      </c>
      <c r="D81" s="245">
        <f>+'Staff Calcs '!L82</f>
        <v>0.22428101743909348</v>
      </c>
      <c r="E81" s="245">
        <f t="shared" ref="E81:E146" si="3">C81+D81</f>
        <v>6.163151346164593</v>
      </c>
      <c r="F81" s="241"/>
      <c r="G81" s="241">
        <v>6.163151346164593</v>
      </c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</row>
    <row r="82" spans="1:23">
      <c r="A82" s="247" t="s">
        <v>271</v>
      </c>
      <c r="B82" s="235" t="s">
        <v>270</v>
      </c>
      <c r="C82" s="241">
        <f>'Staff Calcs '!M15</f>
        <v>9.7405781218383858</v>
      </c>
      <c r="D82" s="241">
        <f>'Staff Calcs '!L15</f>
        <v>0.28489750863884844</v>
      </c>
      <c r="E82" s="234">
        <f t="shared" si="3"/>
        <v>10.025475630477235</v>
      </c>
      <c r="F82" s="241"/>
      <c r="G82" s="241">
        <v>10.025475630477235</v>
      </c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</row>
    <row r="83" spans="1:23">
      <c r="A83" s="247" t="s">
        <v>110</v>
      </c>
      <c r="B83" s="235" t="s">
        <v>270</v>
      </c>
      <c r="C83" s="241">
        <f>'Staff Calcs '!M16</f>
        <v>12.819854321824963</v>
      </c>
      <c r="D83" s="241">
        <f>'Staff Calcs '!L16</f>
        <v>0.412192140158334</v>
      </c>
      <c r="E83" s="234">
        <f t="shared" si="3"/>
        <v>13.232046461983296</v>
      </c>
      <c r="F83" s="241"/>
      <c r="G83" s="241">
        <v>13.232046461983296</v>
      </c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</row>
    <row r="84" spans="1:23">
      <c r="A84" s="247" t="s">
        <v>111</v>
      </c>
      <c r="B84" s="235" t="s">
        <v>270</v>
      </c>
      <c r="C84" s="241">
        <f>'Staff Calcs '!M17</f>
        <v>25.56069272577211</v>
      </c>
      <c r="D84" s="241">
        <f>'Staff Calcs '!L17</f>
        <v>1.0607885959957124</v>
      </c>
      <c r="E84" s="234">
        <f t="shared" si="3"/>
        <v>26.621481321767824</v>
      </c>
      <c r="F84" s="241"/>
      <c r="G84" s="241">
        <v>26.621481321767824</v>
      </c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</row>
    <row r="85" spans="1:23">
      <c r="A85" s="247" t="s">
        <v>112</v>
      </c>
      <c r="B85" s="235" t="s">
        <v>270</v>
      </c>
      <c r="C85" s="241">
        <f>'Staff Calcs '!M18</f>
        <v>34.574049620696414</v>
      </c>
      <c r="D85" s="241">
        <f>'Staff Calcs '!L18</f>
        <v>1.515412279993875</v>
      </c>
      <c r="E85" s="234">
        <f t="shared" si="3"/>
        <v>36.089461900690289</v>
      </c>
      <c r="F85" s="241"/>
      <c r="G85" s="241">
        <v>36.089461900690289</v>
      </c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</row>
    <row r="86" spans="1:23">
      <c r="A86" s="247" t="s">
        <v>113</v>
      </c>
      <c r="B86" s="235" t="s">
        <v>270</v>
      </c>
      <c r="C86" s="241">
        <f>'Staff Calcs '!M19</f>
        <v>45.113277678379269</v>
      </c>
      <c r="D86" s="241">
        <f>'Staff Calcs '!L19</f>
        <v>1.9639743148720614</v>
      </c>
      <c r="E86" s="234">
        <f t="shared" si="3"/>
        <v>47.07725199325133</v>
      </c>
      <c r="F86" s="241"/>
      <c r="G86" s="241">
        <v>47.07725199325133</v>
      </c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</row>
    <row r="87" spans="1:23">
      <c r="A87" s="247" t="s">
        <v>114</v>
      </c>
      <c r="B87" s="235" t="s">
        <v>270</v>
      </c>
      <c r="C87" s="241">
        <f>'Staff Calcs '!M20</f>
        <v>63.434431039199723</v>
      </c>
      <c r="D87" s="241">
        <f>'Staff Calcs '!L20</f>
        <v>2.8671600337484113</v>
      </c>
      <c r="E87" s="234">
        <f t="shared" si="3"/>
        <v>66.301591072948128</v>
      </c>
      <c r="F87" s="241"/>
      <c r="G87" s="241">
        <v>66.301591072948128</v>
      </c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</row>
    <row r="88" spans="1:23">
      <c r="A88" s="247" t="s">
        <v>115</v>
      </c>
      <c r="B88" s="235" t="s">
        <v>270</v>
      </c>
      <c r="C88" s="241">
        <f>'Staff Calcs '!M21</f>
        <v>91.226600747185373</v>
      </c>
      <c r="D88" s="241">
        <f>'Staff Calcs '!L21</f>
        <v>3.7157909105449813</v>
      </c>
      <c r="E88" s="234">
        <f t="shared" si="3"/>
        <v>94.942391657730354</v>
      </c>
      <c r="F88" s="241"/>
      <c r="G88" s="241">
        <v>94.942391657730354</v>
      </c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</row>
    <row r="89" spans="1:23">
      <c r="A89" s="247" t="s">
        <v>116</v>
      </c>
      <c r="B89" s="235" t="s">
        <v>270</v>
      </c>
      <c r="C89" s="241">
        <f>'Staff Calcs '!M22</f>
        <v>122.20731892762998</v>
      </c>
      <c r="D89" s="241">
        <f>'Staff Calcs '!L22</f>
        <v>5.0917852607794192</v>
      </c>
      <c r="E89" s="234">
        <f t="shared" si="3"/>
        <v>127.2991041884094</v>
      </c>
      <c r="F89" s="241"/>
      <c r="G89" s="241">
        <v>127.2991041884094</v>
      </c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</row>
    <row r="90" spans="1:23">
      <c r="A90" s="247" t="s">
        <v>117</v>
      </c>
      <c r="B90" s="235" t="s">
        <v>270</v>
      </c>
      <c r="C90" s="241">
        <f>'Staff Calcs '!M23</f>
        <v>163.19186881893046</v>
      </c>
      <c r="D90" s="241">
        <f>'Staff Calcs '!L23</f>
        <v>5.9404161375759896</v>
      </c>
      <c r="E90" s="234">
        <f t="shared" si="3"/>
        <v>169.13228495650645</v>
      </c>
      <c r="F90" s="241"/>
      <c r="G90" s="241">
        <v>169.13228495650645</v>
      </c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</row>
    <row r="91" spans="1:23">
      <c r="A91" s="247"/>
      <c r="B91" s="235"/>
      <c r="C91" s="241"/>
      <c r="D91" s="234"/>
      <c r="E91" s="234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</row>
    <row r="92" spans="1:23">
      <c r="A92" s="246" t="s">
        <v>124</v>
      </c>
      <c r="B92" s="244" t="s">
        <v>270</v>
      </c>
      <c r="C92" s="245">
        <f>'Staff Calcs '!M83</f>
        <v>6.6722756304670376</v>
      </c>
      <c r="D92" s="245">
        <f>'Staff Calcs '!L83</f>
        <v>0.20609607007916697</v>
      </c>
      <c r="E92" s="245">
        <f t="shared" si="3"/>
        <v>6.8783717005462046</v>
      </c>
      <c r="F92" s="241"/>
      <c r="G92" s="241">
        <v>6.8783717005462046</v>
      </c>
      <c r="H92" s="241"/>
      <c r="I92" s="241"/>
      <c r="J92" s="241"/>
      <c r="K92" s="241"/>
      <c r="L92" s="241"/>
      <c r="M92" s="241"/>
      <c r="N92" s="241"/>
      <c r="O92" s="241"/>
      <c r="P92" s="241"/>
    </row>
    <row r="93" spans="1:23">
      <c r="A93" s="246" t="s">
        <v>125</v>
      </c>
      <c r="B93" s="244" t="s">
        <v>270</v>
      </c>
      <c r="C93" s="245">
        <f>'Staff Calcs '!M84</f>
        <v>9.4193350978940327</v>
      </c>
      <c r="D93" s="245">
        <f>'Staff Calcs '!L84</f>
        <v>0.28489750863884844</v>
      </c>
      <c r="E93" s="245">
        <f t="shared" si="3"/>
        <v>9.7042326065328819</v>
      </c>
      <c r="F93" s="241"/>
      <c r="G93" s="241">
        <v>9.7042326065328819</v>
      </c>
      <c r="H93" s="241"/>
      <c r="I93" s="241"/>
      <c r="J93" s="241"/>
      <c r="K93" s="241"/>
      <c r="L93" s="241"/>
      <c r="M93" s="241"/>
      <c r="N93" s="241"/>
      <c r="O93" s="241"/>
      <c r="P93" s="241"/>
    </row>
    <row r="94" spans="1:23">
      <c r="A94" s="246" t="s">
        <v>126</v>
      </c>
      <c r="B94" s="244" t="s">
        <v>270</v>
      </c>
      <c r="C94" s="245">
        <f>'Staff Calcs '!M85</f>
        <v>12.723481414641654</v>
      </c>
      <c r="D94" s="245">
        <f>'Staff Calcs '!L85</f>
        <v>0.41219214015833394</v>
      </c>
      <c r="E94" s="245">
        <f t="shared" si="3"/>
        <v>13.135673554799988</v>
      </c>
      <c r="F94" s="241"/>
      <c r="G94" s="241">
        <v>13.135673554799988</v>
      </c>
      <c r="H94" s="241"/>
      <c r="I94" s="241"/>
      <c r="J94" s="241"/>
      <c r="K94" s="241"/>
      <c r="L94" s="241"/>
      <c r="M94" s="241"/>
      <c r="N94" s="241"/>
      <c r="O94" s="241"/>
      <c r="P94" s="241"/>
    </row>
    <row r="95" spans="1:23">
      <c r="A95" s="246" t="s">
        <v>274</v>
      </c>
      <c r="B95" s="244" t="s">
        <v>270</v>
      </c>
      <c r="C95" s="245">
        <f>'Staff Calcs '!M111</f>
        <v>28.773122965215659</v>
      </c>
      <c r="D95" s="245">
        <f>'Staff Calcs '!L111</f>
        <v>1.0607885959957122</v>
      </c>
      <c r="E95" s="245">
        <f t="shared" si="3"/>
        <v>29.833911561211373</v>
      </c>
      <c r="F95" s="241"/>
      <c r="G95" s="241">
        <v>29.833911561211373</v>
      </c>
      <c r="H95" s="241"/>
      <c r="I95" s="241"/>
      <c r="J95" s="241"/>
      <c r="K95" s="241"/>
      <c r="L95" s="241"/>
      <c r="M95" s="241"/>
      <c r="N95" s="241"/>
      <c r="O95" s="241"/>
      <c r="P95" s="241"/>
    </row>
    <row r="96" spans="1:23">
      <c r="A96" s="246" t="s">
        <v>275</v>
      </c>
      <c r="B96" s="244" t="s">
        <v>270</v>
      </c>
      <c r="C96" s="245">
        <f>'Staff Calcs '!M112</f>
        <v>37.882852767323264</v>
      </c>
      <c r="D96" s="245">
        <f>'Staff Calcs '!L112</f>
        <v>1.515412279993875</v>
      </c>
      <c r="E96" s="245">
        <f t="shared" si="3"/>
        <v>39.398265047317139</v>
      </c>
      <c r="F96" s="241"/>
      <c r="G96" s="241">
        <v>39.398265047317139</v>
      </c>
      <c r="H96" s="241"/>
      <c r="I96" s="241"/>
      <c r="J96" s="241"/>
      <c r="K96" s="241"/>
      <c r="L96" s="241"/>
      <c r="M96" s="241"/>
      <c r="N96" s="241"/>
      <c r="O96" s="241"/>
      <c r="P96" s="241"/>
    </row>
    <row r="97" spans="1:20">
      <c r="A97" s="246" t="s">
        <v>276</v>
      </c>
      <c r="B97" s="244" t="s">
        <v>270</v>
      </c>
      <c r="C97" s="245">
        <f>'Staff Calcs '!M113</f>
        <v>50.081836448718626</v>
      </c>
      <c r="D97" s="245">
        <f>'Staff Calcs '!L113</f>
        <v>1.9639743148720619</v>
      </c>
      <c r="E97" s="245">
        <f t="shared" si="3"/>
        <v>52.045810763590687</v>
      </c>
      <c r="F97" s="241"/>
      <c r="G97" s="241">
        <v>52.045810763590687</v>
      </c>
      <c r="H97" s="241"/>
      <c r="I97" s="241"/>
      <c r="J97" s="241"/>
      <c r="K97" s="241"/>
      <c r="L97" s="241"/>
      <c r="M97" s="241"/>
      <c r="N97" s="241"/>
      <c r="O97" s="241"/>
      <c r="P97" s="241"/>
    </row>
    <row r="98" spans="1:20">
      <c r="A98" s="246" t="s">
        <v>277</v>
      </c>
      <c r="B98" s="244" t="s">
        <v>270</v>
      </c>
      <c r="C98" s="245">
        <f>'Staff Calcs '!M114</f>
        <v>70.041329231655297</v>
      </c>
      <c r="D98" s="245">
        <f>'Staff Calcs '!L114</f>
        <v>2.8671600337484109</v>
      </c>
      <c r="E98" s="245">
        <f t="shared" si="3"/>
        <v>72.908489265403702</v>
      </c>
      <c r="F98" s="241"/>
      <c r="G98" s="241">
        <v>72.908489265403702</v>
      </c>
      <c r="H98" s="241"/>
      <c r="I98" s="241"/>
      <c r="J98" s="241"/>
      <c r="K98" s="241"/>
      <c r="L98" s="241"/>
      <c r="M98" s="241"/>
      <c r="N98" s="241"/>
      <c r="O98" s="241"/>
      <c r="P98" s="241"/>
    </row>
    <row r="99" spans="1:20">
      <c r="A99" s="246" t="s">
        <v>278</v>
      </c>
      <c r="B99" s="244" t="s">
        <v>270</v>
      </c>
      <c r="C99" s="245">
        <f>'Staff Calcs '!M115</f>
        <v>91.226600747185373</v>
      </c>
      <c r="D99" s="245">
        <f>'Staff Calcs '!L115</f>
        <v>3.7157909105449805</v>
      </c>
      <c r="E99" s="245">
        <f t="shared" si="3"/>
        <v>94.942391657730354</v>
      </c>
      <c r="F99" s="241"/>
      <c r="G99" s="241">
        <v>94.942391657730354</v>
      </c>
      <c r="H99" s="241"/>
      <c r="I99" s="241"/>
      <c r="J99" s="241"/>
      <c r="K99" s="241"/>
      <c r="L99" s="241"/>
      <c r="M99" s="241"/>
      <c r="N99" s="241"/>
      <c r="O99" s="241"/>
      <c r="P99" s="241"/>
    </row>
    <row r="100" spans="1:20">
      <c r="A100" s="246" t="s">
        <v>279</v>
      </c>
      <c r="B100" s="244" t="s">
        <v>270</v>
      </c>
      <c r="C100" s="245">
        <f>'Staff Calcs '!M116</f>
        <v>132.13372836751054</v>
      </c>
      <c r="D100" s="245">
        <f>'Staff Calcs '!L116</f>
        <v>5.0917852607794192</v>
      </c>
      <c r="E100" s="245">
        <f t="shared" si="3"/>
        <v>137.22551362828997</v>
      </c>
      <c r="F100" s="241"/>
      <c r="G100" s="241">
        <v>137.22551362828997</v>
      </c>
      <c r="H100" s="241"/>
      <c r="I100" s="241"/>
      <c r="J100" s="241"/>
      <c r="K100" s="241"/>
      <c r="L100" s="241"/>
      <c r="M100" s="241"/>
      <c r="N100" s="241"/>
      <c r="O100" s="241"/>
      <c r="P100" s="241"/>
    </row>
    <row r="101" spans="1:20">
      <c r="A101" s="235" t="s">
        <v>280</v>
      </c>
      <c r="B101" s="235" t="s">
        <v>270</v>
      </c>
      <c r="C101" s="241">
        <f>'Staff Calcs '!M24</f>
        <v>176.90894594135443</v>
      </c>
      <c r="D101" s="241">
        <f>'Staff Calcs '!L24</f>
        <v>5.9404161375759896</v>
      </c>
      <c r="E101" s="234">
        <f t="shared" si="3"/>
        <v>182.84936207893043</v>
      </c>
      <c r="F101" s="241"/>
      <c r="G101" s="241">
        <v>182.84936207893043</v>
      </c>
      <c r="H101" s="241"/>
      <c r="I101" s="241"/>
      <c r="J101" s="241"/>
      <c r="K101" s="241"/>
      <c r="L101" s="241"/>
      <c r="M101" s="241"/>
      <c r="N101" s="241"/>
      <c r="O101" s="241"/>
      <c r="P101" s="241"/>
    </row>
    <row r="102" spans="1:20">
      <c r="A102" s="235"/>
      <c r="B102" s="235"/>
      <c r="C102" s="241"/>
      <c r="D102" s="241"/>
      <c r="E102" s="234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</row>
    <row r="103" spans="1:20">
      <c r="A103" s="246" t="s">
        <v>289</v>
      </c>
      <c r="B103" s="244" t="s">
        <v>270</v>
      </c>
      <c r="C103" s="245">
        <f>'Staff Calcs '!M86</f>
        <v>28.773122965215659</v>
      </c>
      <c r="D103" s="245">
        <f>'Staff Calcs '!L86</f>
        <v>1.0607885959957122</v>
      </c>
      <c r="E103" s="245">
        <f t="shared" ref="E103:E109" si="4">C103+D103</f>
        <v>29.833911561211373</v>
      </c>
      <c r="F103" s="241"/>
      <c r="G103" s="241">
        <v>29.833911561211373</v>
      </c>
      <c r="H103" s="241"/>
      <c r="I103" s="241"/>
      <c r="J103" s="241"/>
      <c r="K103" s="241"/>
      <c r="L103" s="241"/>
      <c r="M103" s="241"/>
      <c r="N103" s="241"/>
      <c r="O103" s="241"/>
      <c r="P103" s="241"/>
    </row>
    <row r="104" spans="1:20">
      <c r="A104" s="246" t="s">
        <v>290</v>
      </c>
      <c r="B104" s="244" t="s">
        <v>270</v>
      </c>
      <c r="C104" s="245">
        <f>'Staff Calcs '!M87</f>
        <v>37.882852767323264</v>
      </c>
      <c r="D104" s="245">
        <f>'Staff Calcs '!L87</f>
        <v>1.515412279993875</v>
      </c>
      <c r="E104" s="245">
        <f t="shared" si="4"/>
        <v>39.398265047317139</v>
      </c>
      <c r="F104" s="241"/>
      <c r="G104" s="241">
        <v>39.398265047317139</v>
      </c>
      <c r="H104" s="241"/>
      <c r="I104" s="241"/>
      <c r="J104" s="241"/>
      <c r="K104" s="241"/>
      <c r="L104" s="241"/>
      <c r="M104" s="241"/>
      <c r="N104" s="241"/>
      <c r="O104" s="241"/>
      <c r="P104" s="241"/>
    </row>
    <row r="105" spans="1:20">
      <c r="A105" s="246" t="s">
        <v>291</v>
      </c>
      <c r="B105" s="244" t="s">
        <v>270</v>
      </c>
      <c r="C105" s="245">
        <f>'Staff Calcs '!M88</f>
        <v>50.081836448718626</v>
      </c>
      <c r="D105" s="245">
        <f>'Staff Calcs '!L88</f>
        <v>1.9639743148720619</v>
      </c>
      <c r="E105" s="245">
        <f t="shared" si="4"/>
        <v>52.045810763590687</v>
      </c>
      <c r="F105" s="241"/>
      <c r="G105" s="241">
        <v>52.045810763590687</v>
      </c>
      <c r="H105" s="241"/>
      <c r="I105" s="241"/>
      <c r="J105" s="241"/>
      <c r="K105" s="241"/>
      <c r="L105" s="241"/>
      <c r="M105" s="241"/>
      <c r="N105" s="241"/>
      <c r="O105" s="241"/>
      <c r="P105" s="241"/>
    </row>
    <row r="106" spans="1:20">
      <c r="A106" s="235" t="s">
        <v>292</v>
      </c>
      <c r="B106" s="235" t="s">
        <v>270</v>
      </c>
      <c r="C106" s="241">
        <f>'Staff Calcs '!M89</f>
        <v>70.041329231655297</v>
      </c>
      <c r="D106" s="241">
        <f>'Staff Calcs '!L89</f>
        <v>2.8671600337484109</v>
      </c>
      <c r="E106" s="234">
        <f t="shared" si="4"/>
        <v>72.908489265403702</v>
      </c>
      <c r="F106" s="241"/>
      <c r="G106" s="241">
        <v>72.908489265403702</v>
      </c>
      <c r="H106" s="241"/>
      <c r="I106" s="241"/>
      <c r="J106" s="241"/>
      <c r="K106" s="241"/>
      <c r="L106" s="241"/>
      <c r="M106" s="241"/>
      <c r="N106" s="241"/>
      <c r="O106" s="241"/>
      <c r="P106" s="241"/>
    </row>
    <row r="107" spans="1:20">
      <c r="A107" s="246" t="s">
        <v>293</v>
      </c>
      <c r="B107" s="244" t="s">
        <v>270</v>
      </c>
      <c r="C107" s="245">
        <f>'Staff Calcs '!M90</f>
        <v>91.226600747185373</v>
      </c>
      <c r="D107" s="245">
        <f>'Staff Calcs '!L90</f>
        <v>3.7157909105449805</v>
      </c>
      <c r="E107" s="245">
        <f t="shared" si="4"/>
        <v>94.942391657730354</v>
      </c>
      <c r="F107" s="241"/>
      <c r="G107" s="241">
        <v>94.942391657730354</v>
      </c>
      <c r="H107" s="241"/>
      <c r="I107" s="241"/>
      <c r="J107" s="241"/>
      <c r="K107" s="241"/>
      <c r="L107" s="241"/>
      <c r="M107" s="241"/>
      <c r="N107" s="241"/>
      <c r="O107" s="241"/>
      <c r="P107" s="241"/>
    </row>
    <row r="108" spans="1:20">
      <c r="A108" s="235" t="s">
        <v>294</v>
      </c>
      <c r="B108" s="235" t="s">
        <v>270</v>
      </c>
      <c r="C108" s="241">
        <f>'Staff Calcs '!M25</f>
        <v>132.13372836751054</v>
      </c>
      <c r="D108" s="241">
        <f>'Staff Calcs '!L25</f>
        <v>5.0917852607794192</v>
      </c>
      <c r="E108" s="234">
        <f t="shared" si="4"/>
        <v>137.22551362828997</v>
      </c>
      <c r="F108" s="241"/>
      <c r="G108" s="241">
        <v>137.22551362828997</v>
      </c>
      <c r="H108" s="241"/>
      <c r="I108" s="241"/>
      <c r="J108" s="241"/>
      <c r="K108" s="241"/>
      <c r="L108" s="241"/>
      <c r="M108" s="241"/>
      <c r="N108" s="241"/>
      <c r="O108" s="241"/>
      <c r="P108" s="241"/>
    </row>
    <row r="109" spans="1:20">
      <c r="A109" s="235" t="s">
        <v>295</v>
      </c>
      <c r="B109" s="235" t="s">
        <v>270</v>
      </c>
      <c r="C109" s="241">
        <f>'Staff Calcs '!M26</f>
        <v>176.90894594135443</v>
      </c>
      <c r="D109" s="241">
        <f>'Staff Calcs '!L26</f>
        <v>5.9404161375759896</v>
      </c>
      <c r="E109" s="234">
        <f t="shared" si="4"/>
        <v>182.84936207893043</v>
      </c>
      <c r="F109" s="241"/>
      <c r="G109" s="241">
        <v>182.84936207893043</v>
      </c>
      <c r="H109" s="241"/>
      <c r="I109" s="241"/>
      <c r="J109" s="241"/>
      <c r="K109" s="241"/>
      <c r="L109" s="241"/>
      <c r="M109" s="241"/>
      <c r="N109" s="241"/>
      <c r="O109" s="241"/>
      <c r="P109" s="241"/>
    </row>
    <row r="110" spans="1:20">
      <c r="A110" s="235"/>
      <c r="B110" s="235"/>
      <c r="D110" s="234"/>
      <c r="E110" s="234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</row>
    <row r="111" spans="1:20">
      <c r="A111" s="231" t="s">
        <v>157</v>
      </c>
      <c r="B111" s="235"/>
      <c r="C111" s="241"/>
      <c r="D111" s="234"/>
      <c r="E111" s="234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</row>
    <row r="112" spans="1:20">
      <c r="A112" s="244" t="s">
        <v>108</v>
      </c>
      <c r="B112" s="244" t="s">
        <v>270</v>
      </c>
      <c r="C112" s="245">
        <f>'Staff Calcs '!M91</f>
        <v>5.8957723177158377</v>
      </c>
      <c r="D112" s="245">
        <f>'Staff Calcs '!L91</f>
        <v>0.17578782447928945</v>
      </c>
      <c r="E112" s="245">
        <f t="shared" si="3"/>
        <v>6.0715601421951275</v>
      </c>
      <c r="F112" s="241"/>
      <c r="G112" s="241">
        <v>6.0715601421951275</v>
      </c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</row>
    <row r="113" spans="1:20">
      <c r="A113" s="246" t="s">
        <v>271</v>
      </c>
      <c r="B113" s="244" t="s">
        <v>270</v>
      </c>
      <c r="C113" s="245">
        <f>'Staff Calcs '!M92</f>
        <v>9.7405781218383858</v>
      </c>
      <c r="D113" s="245">
        <f>'Staff Calcs '!L92</f>
        <v>0.28489750863884844</v>
      </c>
      <c r="E113" s="245">
        <f t="shared" si="3"/>
        <v>10.025475630477235</v>
      </c>
      <c r="F113" s="241"/>
      <c r="G113" s="241">
        <v>10.025475630477235</v>
      </c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</row>
    <row r="114" spans="1:20">
      <c r="A114" s="246" t="s">
        <v>110</v>
      </c>
      <c r="B114" s="244" t="s">
        <v>270</v>
      </c>
      <c r="C114" s="245">
        <f>'Staff Calcs '!M93</f>
        <v>12.819854321824963</v>
      </c>
      <c r="D114" s="245">
        <f>'Staff Calcs '!L93</f>
        <v>0.41219214015833394</v>
      </c>
      <c r="E114" s="245">
        <f t="shared" si="3"/>
        <v>13.232046461983296</v>
      </c>
      <c r="F114" s="241"/>
      <c r="G114" s="241">
        <v>13.232046461983296</v>
      </c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</row>
    <row r="115" spans="1:20">
      <c r="A115" s="231"/>
      <c r="B115" s="235"/>
      <c r="C115" s="241"/>
      <c r="D115" s="234"/>
      <c r="E115" s="234">
        <f t="shared" si="3"/>
        <v>0</v>
      </c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</row>
    <row r="116" spans="1:20">
      <c r="A116" s="246" t="s">
        <v>124</v>
      </c>
      <c r="B116" s="244" t="s">
        <v>270</v>
      </c>
      <c r="C116" s="245">
        <f>'Staff Calcs '!M94</f>
        <v>7.1164958087043866</v>
      </c>
      <c r="D116" s="245">
        <f>'Staff Calcs '!L94</f>
        <v>0.17578782447928945</v>
      </c>
      <c r="E116" s="245">
        <f t="shared" si="3"/>
        <v>7.2922836331836765</v>
      </c>
      <c r="F116" s="241"/>
      <c r="G116" s="241">
        <v>7.2922836331836765</v>
      </c>
      <c r="H116" s="241"/>
      <c r="I116" s="241"/>
      <c r="J116" s="241"/>
      <c r="K116" s="241"/>
      <c r="L116" s="241"/>
      <c r="M116" s="241"/>
      <c r="N116" s="241"/>
      <c r="O116" s="241"/>
      <c r="P116" s="241"/>
    </row>
    <row r="117" spans="1:20">
      <c r="A117" s="246" t="s">
        <v>125</v>
      </c>
      <c r="B117" s="244" t="s">
        <v>270</v>
      </c>
      <c r="C117" s="245">
        <f>'Staff Calcs '!M95</f>
        <v>10.479437076910404</v>
      </c>
      <c r="D117" s="245">
        <f>'Staff Calcs '!L95</f>
        <v>0.28489750863884844</v>
      </c>
      <c r="E117" s="245">
        <f t="shared" si="3"/>
        <v>10.764334585549253</v>
      </c>
      <c r="F117" s="241"/>
      <c r="G117" s="241">
        <v>10.764334585549253</v>
      </c>
      <c r="H117" s="241"/>
      <c r="I117" s="241"/>
      <c r="J117" s="241"/>
      <c r="K117" s="241"/>
      <c r="L117" s="241"/>
      <c r="M117" s="241"/>
      <c r="N117" s="241"/>
      <c r="O117" s="241"/>
      <c r="P117" s="241"/>
    </row>
    <row r="118" spans="1:20">
      <c r="A118" s="246" t="s">
        <v>126</v>
      </c>
      <c r="B118" s="244" t="s">
        <v>270</v>
      </c>
      <c r="C118" s="245">
        <f>'Staff Calcs '!M96</f>
        <v>14.297572231968996</v>
      </c>
      <c r="D118" s="245">
        <f>'Staff Calcs '!L96</f>
        <v>0.41219214015833394</v>
      </c>
      <c r="E118" s="245">
        <f t="shared" si="3"/>
        <v>14.70976437212733</v>
      </c>
      <c r="F118" s="241"/>
      <c r="G118" s="241">
        <v>14.70976437212733</v>
      </c>
      <c r="H118" s="241"/>
      <c r="I118" s="241"/>
      <c r="J118" s="241"/>
      <c r="K118" s="241"/>
      <c r="L118" s="241"/>
      <c r="M118" s="241"/>
      <c r="N118" s="241"/>
      <c r="O118" s="241"/>
      <c r="P118" s="241"/>
    </row>
    <row r="119" spans="1:20">
      <c r="A119" s="231"/>
      <c r="B119" s="235"/>
      <c r="C119" s="241"/>
      <c r="D119" s="234"/>
      <c r="E119" s="234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</row>
    <row r="120" spans="1:20">
      <c r="A120" s="231" t="s">
        <v>158</v>
      </c>
      <c r="B120" s="235"/>
      <c r="C120" s="241"/>
      <c r="D120" s="234"/>
      <c r="E120" s="234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</row>
    <row r="121" spans="1:20">
      <c r="A121" s="231"/>
      <c r="B121" s="235"/>
      <c r="C121" s="241"/>
      <c r="D121" s="234"/>
      <c r="E121" s="234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</row>
    <row r="122" spans="1:20">
      <c r="A122" s="231"/>
      <c r="B122" s="235"/>
      <c r="C122" s="241"/>
      <c r="D122" s="234"/>
      <c r="E122" s="234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</row>
    <row r="123" spans="1:20">
      <c r="A123" s="244" t="s">
        <v>135</v>
      </c>
      <c r="B123" s="244" t="s">
        <v>270</v>
      </c>
      <c r="C123" s="245">
        <f>'Staff Calcs '!M97</f>
        <v>285.45155909461511</v>
      </c>
      <c r="D123" s="245">
        <f>'Staff Calcs '!L97</f>
        <v>7.8862055050881255</v>
      </c>
      <c r="E123" s="245">
        <f t="shared" si="3"/>
        <v>293.33776459970323</v>
      </c>
      <c r="F123" s="241"/>
      <c r="G123" s="241">
        <v>293.33776459970323</v>
      </c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</row>
    <row r="124" spans="1:20">
      <c r="A124" s="244" t="s">
        <v>136</v>
      </c>
      <c r="B124" s="244" t="s">
        <v>270</v>
      </c>
      <c r="C124" s="245">
        <f>'Staff Calcs '!M98</f>
        <v>351.00327240585978</v>
      </c>
      <c r="D124" s="245">
        <f>'Staff Calcs '!L98</f>
        <v>10.219940416278691</v>
      </c>
      <c r="E124" s="245">
        <f t="shared" si="3"/>
        <v>361.22321282213846</v>
      </c>
      <c r="F124" s="241"/>
      <c r="G124" s="241">
        <v>361.22321282213846</v>
      </c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</row>
    <row r="125" spans="1:20">
      <c r="A125" s="244" t="s">
        <v>137</v>
      </c>
      <c r="B125" s="244" t="s">
        <v>270</v>
      </c>
      <c r="C125" s="245">
        <f>'Staff Calcs '!M99</f>
        <v>398.03449536228391</v>
      </c>
      <c r="D125" s="245">
        <f>'Staff Calcs '!L99</f>
        <v>12.402134099469869</v>
      </c>
      <c r="E125" s="245">
        <f t="shared" si="3"/>
        <v>410.4366294617538</v>
      </c>
      <c r="F125" s="241"/>
      <c r="G125" s="241">
        <v>410.4366294617538</v>
      </c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</row>
    <row r="126" spans="1:20">
      <c r="A126" s="244" t="s">
        <v>133</v>
      </c>
      <c r="B126" s="244" t="s">
        <v>270</v>
      </c>
      <c r="C126" s="245">
        <f>'Staff Calcs '!M100</f>
        <v>470.09807069096638</v>
      </c>
      <c r="D126" s="245">
        <f>'Staff Calcs '!L100</f>
        <v>14.002409467143403</v>
      </c>
      <c r="E126" s="245">
        <f t="shared" si="3"/>
        <v>484.1004801581098</v>
      </c>
      <c r="F126" s="241"/>
      <c r="G126" s="241">
        <v>484.1004801581098</v>
      </c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  <c r="R126" s="241"/>
    </row>
    <row r="127" spans="1:20">
      <c r="A127" s="231"/>
      <c r="B127" s="235"/>
      <c r="C127" s="241"/>
      <c r="D127" s="234"/>
      <c r="E127" s="234">
        <f t="shared" si="3"/>
        <v>0</v>
      </c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</row>
    <row r="128" spans="1:20">
      <c r="A128" s="244" t="s">
        <v>131</v>
      </c>
      <c r="B128" s="244" t="s">
        <v>270</v>
      </c>
      <c r="C128" s="245">
        <f>'Staff Calcs '!M117</f>
        <v>333.22039675514071</v>
      </c>
      <c r="D128" s="245">
        <f>'Staff Calcs '!L117</f>
        <v>7.8862055050881255</v>
      </c>
      <c r="E128" s="245">
        <f t="shared" si="3"/>
        <v>341.10660226022884</v>
      </c>
      <c r="F128" s="241"/>
      <c r="G128" s="241">
        <v>341.10660226022884</v>
      </c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</row>
    <row r="129" spans="1:18">
      <c r="A129" s="244" t="s">
        <v>132</v>
      </c>
      <c r="B129" s="244" t="s">
        <v>270</v>
      </c>
      <c r="C129" s="245">
        <f>'Staff Calcs '!M118</f>
        <v>417.40420545515798</v>
      </c>
      <c r="D129" s="245">
        <f>'Staff Calcs '!L118</f>
        <v>10.219940416278691</v>
      </c>
      <c r="E129" s="245">
        <f t="shared" si="3"/>
        <v>427.62414587143667</v>
      </c>
      <c r="F129" s="241"/>
      <c r="G129" s="241">
        <v>427.62414587143667</v>
      </c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</row>
    <row r="130" spans="1:18">
      <c r="A130" s="244" t="s">
        <v>169</v>
      </c>
      <c r="B130" s="244" t="s">
        <v>270</v>
      </c>
      <c r="C130" s="245">
        <f>'Staff Calcs '!M119</f>
        <v>471.80260176070595</v>
      </c>
      <c r="D130" s="245">
        <f>'Staff Calcs '!L119</f>
        <v>12.402134099469869</v>
      </c>
      <c r="E130" s="245">
        <f t="shared" si="3"/>
        <v>484.20473586017584</v>
      </c>
      <c r="F130" s="241"/>
      <c r="G130" s="241">
        <v>484.20473586017584</v>
      </c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  <c r="R130" s="241"/>
    </row>
    <row r="131" spans="1:18">
      <c r="A131" s="244" t="s">
        <v>170</v>
      </c>
      <c r="B131" s="244" t="s">
        <v>270</v>
      </c>
      <c r="C131" s="245">
        <f>'Staff Calcs '!M120</f>
        <v>539.32594235097497</v>
      </c>
      <c r="D131" s="245">
        <f>'Staff Calcs '!L120</f>
        <v>14.002409467143403</v>
      </c>
      <c r="E131" s="245">
        <f t="shared" si="3"/>
        <v>553.32835181811834</v>
      </c>
      <c r="F131" s="241"/>
      <c r="G131" s="241">
        <v>553.32835181811834</v>
      </c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</row>
    <row r="132" spans="1:18">
      <c r="E132" s="234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</row>
    <row r="133" spans="1:18">
      <c r="A133" s="231" t="s">
        <v>159</v>
      </c>
      <c r="B133" s="235"/>
      <c r="C133" s="241"/>
      <c r="D133" s="234"/>
      <c r="E133" s="234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</row>
    <row r="134" spans="1:18">
      <c r="A134" s="244" t="s">
        <v>127</v>
      </c>
      <c r="B134" s="244" t="s">
        <v>270</v>
      </c>
      <c r="C134" s="245">
        <f>'Staff Calcs '!M101</f>
        <v>165.94873283903672</v>
      </c>
      <c r="D134" s="245">
        <f>'Staff Calcs '!L101</f>
        <v>2.9217148758281906</v>
      </c>
      <c r="E134" s="245">
        <f t="shared" si="3"/>
        <v>168.87044771486492</v>
      </c>
      <c r="F134" s="241"/>
      <c r="G134" s="241">
        <v>168.87044771486492</v>
      </c>
      <c r="H134" s="241"/>
      <c r="I134" s="241"/>
      <c r="J134" s="241"/>
      <c r="K134" s="241"/>
      <c r="L134" s="241"/>
      <c r="M134" s="241"/>
      <c r="N134" s="241"/>
      <c r="O134" s="241"/>
      <c r="P134" s="241"/>
    </row>
    <row r="135" spans="1:18">
      <c r="A135" s="244" t="s">
        <v>138</v>
      </c>
      <c r="B135" s="244" t="s">
        <v>270</v>
      </c>
      <c r="C135" s="245">
        <f>'Staff Calcs '!M102</f>
        <v>260.53629148888029</v>
      </c>
      <c r="D135" s="245">
        <f>'Staff Calcs '!L102</f>
        <v>5.4069910150181455</v>
      </c>
      <c r="E135" s="245">
        <f t="shared" si="3"/>
        <v>265.94328250389844</v>
      </c>
      <c r="F135" s="241"/>
      <c r="G135" s="241">
        <v>265.94328250389844</v>
      </c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</row>
    <row r="136" spans="1:18">
      <c r="A136" s="244" t="s">
        <v>135</v>
      </c>
      <c r="B136" s="244" t="s">
        <v>270</v>
      </c>
      <c r="C136" s="245">
        <f>'Staff Calcs '!M103</f>
        <v>333.22039675514071</v>
      </c>
      <c r="D136" s="245">
        <f>'Staff Calcs '!L103</f>
        <v>7.8862055050881255</v>
      </c>
      <c r="E136" s="245">
        <f t="shared" si="3"/>
        <v>341.10660226022884</v>
      </c>
      <c r="F136" s="241"/>
      <c r="G136" s="241">
        <v>341.10660226022884</v>
      </c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</row>
    <row r="137" spans="1:18">
      <c r="A137" s="244" t="s">
        <v>136</v>
      </c>
      <c r="B137" s="244" t="s">
        <v>270</v>
      </c>
      <c r="C137" s="245">
        <f>'Staff Calcs '!M104</f>
        <v>417.40420545515798</v>
      </c>
      <c r="D137" s="245">
        <f>'Staff Calcs '!L104</f>
        <v>10.219940416278691</v>
      </c>
      <c r="E137" s="245">
        <f t="shared" si="3"/>
        <v>427.62414587143667</v>
      </c>
      <c r="F137" s="241"/>
      <c r="G137" s="241">
        <v>427.62414587143667</v>
      </c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</row>
    <row r="138" spans="1:18">
      <c r="A138" s="244" t="s">
        <v>137</v>
      </c>
      <c r="B138" s="244" t="s">
        <v>270</v>
      </c>
      <c r="C138" s="245">
        <f>'Staff Calcs '!M105</f>
        <v>471.80260176070595</v>
      </c>
      <c r="D138" s="245">
        <f>'Staff Calcs '!L105</f>
        <v>12.402134099469869</v>
      </c>
      <c r="E138" s="245">
        <f t="shared" si="3"/>
        <v>484.20473586017584</v>
      </c>
      <c r="F138" s="241"/>
      <c r="G138" s="241">
        <v>484.20473586017584</v>
      </c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</row>
    <row r="139" spans="1:18">
      <c r="A139" s="244" t="s">
        <v>133</v>
      </c>
      <c r="B139" s="244" t="s">
        <v>270</v>
      </c>
      <c r="C139" s="245">
        <f>'Staff Calcs '!M106</f>
        <v>539.32594235097497</v>
      </c>
      <c r="D139" s="245">
        <f>'Staff Calcs '!L106</f>
        <v>14.002409467143403</v>
      </c>
      <c r="E139" s="245">
        <f t="shared" si="3"/>
        <v>553.32835181811834</v>
      </c>
      <c r="F139" s="241"/>
      <c r="G139" s="241">
        <v>553.32835181811834</v>
      </c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</row>
    <row r="140" spans="1:18">
      <c r="E140" s="234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1:18">
      <c r="A141" s="244" t="s">
        <v>128</v>
      </c>
      <c r="B141" s="244" t="s">
        <v>270</v>
      </c>
      <c r="C141" s="248">
        <f>'Staff Calcs '!M101</f>
        <v>165.94873283903672</v>
      </c>
      <c r="D141" s="248">
        <f>'Staff Calcs '!L101</f>
        <v>2.9217148758281906</v>
      </c>
      <c r="E141" s="245">
        <f t="shared" si="3"/>
        <v>168.87044771486492</v>
      </c>
      <c r="F141" s="229"/>
      <c r="G141" s="229">
        <v>168.87044771486492</v>
      </c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1:18">
      <c r="A142" s="244" t="s">
        <v>130</v>
      </c>
      <c r="B142" s="244" t="s">
        <v>270</v>
      </c>
      <c r="C142" s="248">
        <f>'Staff Calcs '!M102</f>
        <v>260.53629148888029</v>
      </c>
      <c r="D142" s="248">
        <f>'Staff Calcs '!L102</f>
        <v>5.4069910150181455</v>
      </c>
      <c r="E142" s="245">
        <f t="shared" si="3"/>
        <v>265.94328250389844</v>
      </c>
      <c r="F142" s="229"/>
      <c r="G142" s="229">
        <v>265.94328250389844</v>
      </c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1:18">
      <c r="A143" s="244" t="s">
        <v>131</v>
      </c>
      <c r="B143" s="244" t="s">
        <v>270</v>
      </c>
      <c r="C143" s="248">
        <f>'Staff Calcs '!M103</f>
        <v>333.22039675514071</v>
      </c>
      <c r="D143" s="248">
        <f>'Staff Calcs '!L103</f>
        <v>7.8862055050881255</v>
      </c>
      <c r="E143" s="245">
        <f t="shared" si="3"/>
        <v>341.10660226022884</v>
      </c>
      <c r="F143" s="229"/>
      <c r="G143" s="229">
        <v>341.10660226022884</v>
      </c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1:18">
      <c r="A144" s="244" t="s">
        <v>132</v>
      </c>
      <c r="B144" s="244" t="s">
        <v>270</v>
      </c>
      <c r="C144" s="248">
        <f>'Staff Calcs '!M104</f>
        <v>417.40420545515798</v>
      </c>
      <c r="D144" s="248">
        <f>'Staff Calcs '!L104</f>
        <v>10.219940416278691</v>
      </c>
      <c r="E144" s="245">
        <f t="shared" si="3"/>
        <v>427.62414587143667</v>
      </c>
      <c r="F144" s="229"/>
      <c r="G144" s="229">
        <v>427.62414587143667</v>
      </c>
      <c r="H144" s="229"/>
      <c r="I144" s="229"/>
      <c r="J144" s="229"/>
      <c r="K144" s="229"/>
      <c r="L144" s="229"/>
      <c r="M144" s="229"/>
      <c r="N144" s="229"/>
      <c r="O144" s="229"/>
      <c r="P144" s="229"/>
    </row>
    <row r="145" spans="1:16">
      <c r="A145" s="244" t="s">
        <v>169</v>
      </c>
      <c r="B145" s="244" t="s">
        <v>270</v>
      </c>
      <c r="C145" s="248">
        <f>'Staff Calcs '!M105</f>
        <v>471.80260176070595</v>
      </c>
      <c r="D145" s="248">
        <f>'Staff Calcs '!L105</f>
        <v>12.402134099469869</v>
      </c>
      <c r="E145" s="245">
        <f t="shared" si="3"/>
        <v>484.20473586017584</v>
      </c>
      <c r="F145" s="229"/>
      <c r="G145" s="229">
        <v>484.20473586017584</v>
      </c>
      <c r="H145" s="229"/>
      <c r="I145" s="229"/>
      <c r="J145" s="229"/>
      <c r="K145" s="229"/>
      <c r="L145" s="229"/>
      <c r="M145" s="229"/>
      <c r="N145" s="229"/>
      <c r="O145" s="229"/>
      <c r="P145" s="229"/>
    </row>
    <row r="146" spans="1:16">
      <c r="A146" s="244" t="s">
        <v>170</v>
      </c>
      <c r="B146" s="244" t="s">
        <v>270</v>
      </c>
      <c r="C146" s="248">
        <f>'Staff Calcs '!M106</f>
        <v>539.32594235097497</v>
      </c>
      <c r="D146" s="248">
        <f>'Staff Calcs '!L106</f>
        <v>14.002409467143403</v>
      </c>
      <c r="E146" s="245">
        <f t="shared" si="3"/>
        <v>553.32835181811834</v>
      </c>
      <c r="F146" s="229"/>
      <c r="G146" s="229">
        <v>553.32835181811834</v>
      </c>
      <c r="H146" s="229"/>
      <c r="I146" s="229"/>
      <c r="J146" s="229"/>
      <c r="K146" s="229"/>
      <c r="L146" s="229"/>
      <c r="M146" s="229"/>
      <c r="N146" s="229"/>
      <c r="O146" s="229"/>
      <c r="P146" s="229"/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4501-82EC-4C51-8696-5B6DA144A023}">
  <dimension ref="A1:Z520"/>
  <sheetViews>
    <sheetView workbookViewId="0">
      <selection activeCell="O41" sqref="O41"/>
    </sheetView>
  </sheetViews>
  <sheetFormatPr defaultColWidth="10.42578125" defaultRowHeight="15" outlineLevelRow="1" outlineLevelCol="1"/>
  <cols>
    <col min="1" max="1" width="8.5703125" style="180" customWidth="1" outlineLevel="1"/>
    <col min="2" max="2" width="6.7109375" style="180" customWidth="1" outlineLevel="1"/>
    <col min="3" max="5" width="6.5703125" style="173" customWidth="1" outlineLevel="1"/>
    <col min="6" max="6" width="31.5703125" style="173" customWidth="1"/>
    <col min="7" max="18" width="13" style="173" customWidth="1"/>
    <col min="19" max="19" width="1.140625" style="173" customWidth="1"/>
    <col min="20" max="20" width="12.5703125" style="174" bestFit="1" customWidth="1"/>
    <col min="21" max="21" width="2.140625" style="173" customWidth="1"/>
    <col min="22" max="23" width="15.85546875" style="173" customWidth="1"/>
    <col min="24" max="16384" width="10.42578125" style="173"/>
  </cols>
  <sheetData>
    <row r="1" spans="1:22">
      <c r="A1" s="293" t="s">
        <v>178</v>
      </c>
      <c r="B1" s="293"/>
      <c r="C1" s="293"/>
      <c r="D1" s="293"/>
      <c r="E1" s="293"/>
      <c r="F1" s="293"/>
    </row>
    <row r="3" spans="1:22" s="174" customFormat="1">
      <c r="A3" s="251" t="s">
        <v>179</v>
      </c>
      <c r="B3" s="251" t="s">
        <v>180</v>
      </c>
      <c r="C3" s="294" t="s">
        <v>181</v>
      </c>
      <c r="D3" s="294"/>
      <c r="E3" s="251"/>
      <c r="G3" s="175">
        <v>44196</v>
      </c>
      <c r="H3" s="176">
        <f>EOMONTH(G3,1)</f>
        <v>44227</v>
      </c>
      <c r="I3" s="176">
        <f t="shared" ref="I3:R3" si="0">EOMONTH(H3,1)</f>
        <v>44255</v>
      </c>
      <c r="J3" s="176">
        <f t="shared" si="0"/>
        <v>44286</v>
      </c>
      <c r="K3" s="176">
        <f t="shared" si="0"/>
        <v>44316</v>
      </c>
      <c r="L3" s="176">
        <f t="shared" si="0"/>
        <v>44347</v>
      </c>
      <c r="M3" s="176">
        <f t="shared" si="0"/>
        <v>44377</v>
      </c>
      <c r="N3" s="176">
        <f t="shared" si="0"/>
        <v>44408</v>
      </c>
      <c r="O3" s="176">
        <f t="shared" si="0"/>
        <v>44439</v>
      </c>
      <c r="P3" s="176">
        <f t="shared" si="0"/>
        <v>44469</v>
      </c>
      <c r="Q3" s="176">
        <f t="shared" si="0"/>
        <v>44500</v>
      </c>
      <c r="R3" s="176">
        <f t="shared" si="0"/>
        <v>44530</v>
      </c>
      <c r="T3" s="174" t="s">
        <v>182</v>
      </c>
    </row>
    <row r="4" spans="1:22" s="178" customFormat="1">
      <c r="A4" s="177"/>
      <c r="B4" s="177"/>
      <c r="C4" s="177"/>
      <c r="D4" s="177"/>
      <c r="E4" s="177"/>
      <c r="G4" s="178">
        <f>MONTH(G3)</f>
        <v>12</v>
      </c>
      <c r="H4" s="178">
        <f t="shared" ref="H4:R4" si="1">MONTH(H3)</f>
        <v>1</v>
      </c>
      <c r="I4" s="178">
        <f t="shared" si="1"/>
        <v>2</v>
      </c>
      <c r="J4" s="178">
        <f t="shared" si="1"/>
        <v>3</v>
      </c>
      <c r="K4" s="178">
        <f t="shared" si="1"/>
        <v>4</v>
      </c>
      <c r="L4" s="178">
        <f t="shared" si="1"/>
        <v>5</v>
      </c>
      <c r="M4" s="178">
        <f t="shared" si="1"/>
        <v>6</v>
      </c>
      <c r="N4" s="178">
        <f t="shared" si="1"/>
        <v>7</v>
      </c>
      <c r="O4" s="178">
        <f t="shared" si="1"/>
        <v>8</v>
      </c>
      <c r="P4" s="178">
        <f t="shared" si="1"/>
        <v>9</v>
      </c>
      <c r="Q4" s="178">
        <f t="shared" si="1"/>
        <v>10</v>
      </c>
      <c r="R4" s="178">
        <f t="shared" si="1"/>
        <v>11</v>
      </c>
      <c r="T4" s="179"/>
    </row>
    <row r="5" spans="1:22" ht="15.75" thickBot="1">
      <c r="C5" s="180"/>
      <c r="D5" s="180"/>
      <c r="E5" s="180"/>
      <c r="F5" s="181" t="s">
        <v>183</v>
      </c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1"/>
    </row>
    <row r="6" spans="1:22">
      <c r="C6" s="180"/>
      <c r="D6" s="180"/>
      <c r="E6" s="180"/>
    </row>
    <row r="7" spans="1:22">
      <c r="C7" s="180"/>
      <c r="D7" s="180"/>
      <c r="E7" s="180"/>
      <c r="F7" s="174" t="s">
        <v>184</v>
      </c>
    </row>
    <row r="8" spans="1:22">
      <c r="C8" s="180"/>
      <c r="D8" s="180"/>
      <c r="E8" s="180"/>
      <c r="F8" s="173" t="s">
        <v>185</v>
      </c>
      <c r="G8" s="203">
        <v>1037.29</v>
      </c>
      <c r="H8" s="203">
        <v>962.48</v>
      </c>
      <c r="I8" s="203">
        <v>882.2</v>
      </c>
      <c r="J8" s="203">
        <v>1016.26</v>
      </c>
      <c r="K8" s="203">
        <v>950.74</v>
      </c>
      <c r="L8" s="203">
        <v>970.12</v>
      </c>
      <c r="M8" s="203">
        <v>970.23</v>
      </c>
      <c r="N8" s="203">
        <v>998.92</v>
      </c>
      <c r="O8" s="203">
        <v>1057.06</v>
      </c>
      <c r="P8" s="203">
        <v>994.03</v>
      </c>
      <c r="Q8" s="203">
        <v>982.23</v>
      </c>
      <c r="R8" s="203">
        <v>997.16</v>
      </c>
      <c r="T8" s="184">
        <v>11818.72</v>
      </c>
    </row>
    <row r="9" spans="1:22">
      <c r="C9" s="180"/>
      <c r="D9" s="180"/>
      <c r="E9" s="180"/>
      <c r="F9" s="173" t="s">
        <v>186</v>
      </c>
      <c r="G9" s="203">
        <v>1036.9000000000001</v>
      </c>
      <c r="H9" s="203">
        <v>1137.69</v>
      </c>
      <c r="I9" s="203">
        <v>1067.56</v>
      </c>
      <c r="J9" s="203">
        <v>1128.24</v>
      </c>
      <c r="K9" s="203">
        <v>1023.91</v>
      </c>
      <c r="L9" s="203">
        <v>1016.6700000000001</v>
      </c>
      <c r="M9" s="203">
        <v>886.44</v>
      </c>
      <c r="N9" s="203">
        <v>791.84999999999991</v>
      </c>
      <c r="O9" s="203">
        <v>989.7</v>
      </c>
      <c r="P9" s="203">
        <v>984.56000000000006</v>
      </c>
      <c r="Q9" s="203">
        <v>917.29000000000008</v>
      </c>
      <c r="R9" s="203">
        <v>1317.4599999999998</v>
      </c>
      <c r="T9" s="185">
        <v>12298.27</v>
      </c>
      <c r="V9" s="173" t="s">
        <v>317</v>
      </c>
    </row>
    <row r="10" spans="1:22">
      <c r="C10" s="180"/>
      <c r="D10" s="180"/>
      <c r="E10" s="180"/>
      <c r="F10" s="173" t="s">
        <v>187</v>
      </c>
      <c r="G10" s="203">
        <v>1751.71</v>
      </c>
      <c r="H10" s="203">
        <v>1641.31</v>
      </c>
      <c r="I10" s="203">
        <v>1526.99</v>
      </c>
      <c r="J10" s="203">
        <v>1868.39</v>
      </c>
      <c r="K10" s="203">
        <v>1810.22</v>
      </c>
      <c r="L10" s="203">
        <v>1787.4</v>
      </c>
      <c r="M10" s="203">
        <v>1945.47</v>
      </c>
      <c r="N10" s="203">
        <v>1841.71</v>
      </c>
      <c r="O10" s="203">
        <v>1939.07</v>
      </c>
      <c r="P10" s="203">
        <v>1894.19</v>
      </c>
      <c r="Q10" s="203">
        <v>1788.38</v>
      </c>
      <c r="R10" s="203">
        <v>2062.56</v>
      </c>
      <c r="T10" s="184">
        <v>21857.4</v>
      </c>
    </row>
    <row r="11" spans="1:22">
      <c r="C11" s="180"/>
      <c r="D11" s="180"/>
      <c r="E11" s="180"/>
      <c r="F11" s="173" t="s">
        <v>188</v>
      </c>
      <c r="G11" s="203">
        <v>538.28</v>
      </c>
      <c r="H11" s="203">
        <v>517.54</v>
      </c>
      <c r="I11" s="203">
        <v>474.48</v>
      </c>
      <c r="J11" s="203">
        <v>528.11</v>
      </c>
      <c r="K11" s="203">
        <v>468.6</v>
      </c>
      <c r="L11" s="203">
        <v>457.18</v>
      </c>
      <c r="M11" s="203">
        <v>522.01</v>
      </c>
      <c r="N11" s="203">
        <v>472.7</v>
      </c>
      <c r="O11" s="203">
        <v>474.29</v>
      </c>
      <c r="P11" s="203">
        <v>529.09</v>
      </c>
      <c r="Q11" s="203">
        <v>539.91999999999996</v>
      </c>
      <c r="R11" s="203">
        <v>638.47</v>
      </c>
      <c r="T11" s="185">
        <v>6160.67</v>
      </c>
      <c r="V11" s="173" t="s">
        <v>317</v>
      </c>
    </row>
    <row r="12" spans="1:22">
      <c r="C12" s="180"/>
      <c r="D12" s="180"/>
      <c r="E12" s="180"/>
      <c r="F12" s="173" t="s">
        <v>189</v>
      </c>
      <c r="G12" s="203">
        <v>1539.49</v>
      </c>
      <c r="H12" s="203">
        <v>1483.88</v>
      </c>
      <c r="I12" s="203">
        <v>1277.5</v>
      </c>
      <c r="J12" s="203">
        <v>1468.8</v>
      </c>
      <c r="K12" s="203">
        <v>1450.86</v>
      </c>
      <c r="L12" s="203">
        <v>1412.48</v>
      </c>
      <c r="M12" s="203">
        <v>1527.17</v>
      </c>
      <c r="N12" s="203">
        <v>1505</v>
      </c>
      <c r="O12" s="203">
        <v>1463.48</v>
      </c>
      <c r="P12" s="203">
        <v>1470.17</v>
      </c>
      <c r="Q12" s="203">
        <v>1288.3800000000001</v>
      </c>
      <c r="R12" s="203">
        <v>1394.89</v>
      </c>
      <c r="T12" s="184">
        <v>17282.099999999999</v>
      </c>
    </row>
    <row r="13" spans="1:22">
      <c r="C13" s="180"/>
      <c r="D13" s="180"/>
      <c r="E13" s="180"/>
      <c r="F13" s="173" t="s">
        <v>190</v>
      </c>
      <c r="G13" s="203">
        <v>923.29</v>
      </c>
      <c r="H13" s="203">
        <v>933.96999999999991</v>
      </c>
      <c r="I13" s="203">
        <v>755.8599999999999</v>
      </c>
      <c r="J13" s="203">
        <v>911.16</v>
      </c>
      <c r="K13" s="203">
        <v>868.27</v>
      </c>
      <c r="L13" s="203">
        <v>742.14</v>
      </c>
      <c r="M13" s="203">
        <v>843.74</v>
      </c>
      <c r="N13" s="203">
        <v>807.43000000000006</v>
      </c>
      <c r="O13" s="203">
        <v>812.45999999999992</v>
      </c>
      <c r="P13" s="203">
        <v>817.43000000000006</v>
      </c>
      <c r="Q13" s="203">
        <v>741.73</v>
      </c>
      <c r="R13" s="203">
        <v>854.24</v>
      </c>
      <c r="T13" s="185">
        <v>10011.719999999999</v>
      </c>
      <c r="V13" s="173" t="s">
        <v>317</v>
      </c>
    </row>
    <row r="14" spans="1:22">
      <c r="C14" s="180"/>
      <c r="D14" s="180"/>
      <c r="E14" s="180"/>
      <c r="F14" s="186" t="s">
        <v>297</v>
      </c>
      <c r="G14" s="219">
        <v>1337.08</v>
      </c>
      <c r="H14" s="219">
        <v>967.87</v>
      </c>
      <c r="I14" s="219">
        <v>701.79</v>
      </c>
      <c r="J14" s="219">
        <v>1295.3699999999999</v>
      </c>
      <c r="K14" s="219">
        <v>1896.35</v>
      </c>
      <c r="L14" s="219">
        <v>2157.35</v>
      </c>
      <c r="M14" s="219">
        <v>2058.5</v>
      </c>
      <c r="N14" s="219">
        <v>1520.2</v>
      </c>
      <c r="O14" s="219">
        <v>1305.45</v>
      </c>
      <c r="P14" s="219">
        <v>1321.56</v>
      </c>
      <c r="Q14" s="219">
        <v>1328.04</v>
      </c>
      <c r="R14" s="219">
        <v>1996.99</v>
      </c>
      <c r="S14" s="186"/>
      <c r="T14" s="220">
        <v>17886.550000000003</v>
      </c>
    </row>
    <row r="15" spans="1:22">
      <c r="C15" s="180"/>
      <c r="D15" s="180"/>
      <c r="E15" s="180"/>
      <c r="F15" s="173" t="s">
        <v>182</v>
      </c>
      <c r="G15" s="183">
        <v>8164.04</v>
      </c>
      <c r="H15" s="183">
        <v>7644.7400000000007</v>
      </c>
      <c r="I15" s="183">
        <v>6686.3799999999992</v>
      </c>
      <c r="J15" s="183">
        <v>8216.33</v>
      </c>
      <c r="K15" s="183">
        <v>8468.9500000000007</v>
      </c>
      <c r="L15" s="183">
        <v>8543.34</v>
      </c>
      <c r="M15" s="183">
        <v>8753.5600000000013</v>
      </c>
      <c r="N15" s="183">
        <v>7937.81</v>
      </c>
      <c r="O15" s="183">
        <v>8041.51</v>
      </c>
      <c r="P15" s="183">
        <v>8011.0300000000007</v>
      </c>
      <c r="Q15" s="183">
        <v>7585.97</v>
      </c>
      <c r="R15" s="183">
        <v>9261.77</v>
      </c>
      <c r="T15" s="184">
        <v>97315.43</v>
      </c>
    </row>
    <row r="16" spans="1:22">
      <c r="C16" s="180"/>
      <c r="D16" s="180"/>
      <c r="E16" s="180"/>
    </row>
    <row r="17" spans="1:26">
      <c r="C17" s="180"/>
      <c r="D17" s="180"/>
      <c r="E17" s="180"/>
      <c r="F17" s="174" t="s">
        <v>191</v>
      </c>
      <c r="G17" s="203"/>
      <c r="H17" s="203"/>
      <c r="U17" s="223"/>
      <c r="V17" s="223"/>
      <c r="W17" s="223"/>
      <c r="X17" s="223"/>
      <c r="Y17" s="223"/>
      <c r="Z17" s="223"/>
    </row>
    <row r="18" spans="1:26">
      <c r="A18" s="187" t="s">
        <v>192</v>
      </c>
      <c r="B18" s="187" t="s">
        <v>193</v>
      </c>
      <c r="C18" s="187">
        <v>20</v>
      </c>
      <c r="D18" s="187"/>
      <c r="E18" s="187">
        <v>29</v>
      </c>
      <c r="F18" s="173" t="s">
        <v>195</v>
      </c>
      <c r="G18" s="203">
        <v>53.24</v>
      </c>
      <c r="H18" s="203">
        <v>31.370000000000008</v>
      </c>
      <c r="I18" s="203">
        <v>29.339999999999996</v>
      </c>
      <c r="J18" s="203">
        <v>31.32</v>
      </c>
      <c r="K18" s="203">
        <v>35</v>
      </c>
      <c r="L18" s="203">
        <v>58.11999999999999</v>
      </c>
      <c r="M18" s="203">
        <v>46.45</v>
      </c>
      <c r="N18" s="203">
        <v>48.61</v>
      </c>
      <c r="O18" s="203">
        <v>48.469999999999992</v>
      </c>
      <c r="P18" s="203">
        <v>57.320000000000014</v>
      </c>
      <c r="Q18" s="203">
        <v>46.640000000000008</v>
      </c>
      <c r="R18" s="203">
        <v>45.050000000000004</v>
      </c>
      <c r="S18" s="203"/>
      <c r="T18" s="184">
        <v>530.92999999999995</v>
      </c>
      <c r="U18" s="203"/>
      <c r="V18" s="203"/>
      <c r="W18" s="203"/>
      <c r="X18" s="203"/>
      <c r="Y18" s="203"/>
      <c r="Z18" s="203"/>
    </row>
    <row r="19" spans="1:26">
      <c r="A19" s="180" t="s">
        <v>298</v>
      </c>
      <c r="B19" s="252"/>
      <c r="F19" s="173" t="s">
        <v>197</v>
      </c>
      <c r="G19" s="203">
        <v>974.12000000000012</v>
      </c>
      <c r="H19" s="203">
        <v>907.54</v>
      </c>
      <c r="I19" s="203">
        <v>815.93999999999994</v>
      </c>
      <c r="J19" s="203">
        <v>957.68999999999983</v>
      </c>
      <c r="K19" s="203">
        <v>895.56000000000006</v>
      </c>
      <c r="L19" s="203">
        <v>899.78</v>
      </c>
      <c r="M19" s="203">
        <v>904.85</v>
      </c>
      <c r="N19" s="203">
        <v>941.4899999999999</v>
      </c>
      <c r="O19" s="203">
        <v>995.3</v>
      </c>
      <c r="P19" s="203">
        <v>919.38999999999987</v>
      </c>
      <c r="Q19" s="203">
        <v>928.33000000000015</v>
      </c>
      <c r="R19" s="203">
        <v>936.83</v>
      </c>
      <c r="S19" s="203"/>
      <c r="T19" s="184">
        <v>11076.82</v>
      </c>
      <c r="U19" s="203"/>
      <c r="V19" s="203"/>
      <c r="W19" s="203"/>
      <c r="X19" s="203"/>
      <c r="Y19" s="203"/>
      <c r="Z19" s="203"/>
    </row>
    <row r="20" spans="1:26" s="191" customFormat="1" outlineLevel="1">
      <c r="A20" s="188" t="str">
        <f>+A18</f>
        <v>I</v>
      </c>
      <c r="B20" s="253" t="str">
        <f>+B18</f>
        <v>MSW</v>
      </c>
      <c r="C20" s="189"/>
      <c r="D20" s="189"/>
      <c r="E20" s="189"/>
      <c r="F20" s="189" t="str">
        <f>"Total "&amp;F17&amp;" "&amp;B20</f>
        <v>Total Roll-off / Industrial MSW</v>
      </c>
      <c r="G20" s="208">
        <v>1027.3600000000001</v>
      </c>
      <c r="H20" s="208">
        <v>938.91</v>
      </c>
      <c r="I20" s="208">
        <v>845.28</v>
      </c>
      <c r="J20" s="208">
        <v>989.00999999999988</v>
      </c>
      <c r="K20" s="208">
        <v>930.56000000000006</v>
      </c>
      <c r="L20" s="208">
        <v>957.9</v>
      </c>
      <c r="M20" s="208">
        <v>951.30000000000007</v>
      </c>
      <c r="N20" s="208">
        <v>990.09999999999991</v>
      </c>
      <c r="O20" s="208">
        <v>1043.77</v>
      </c>
      <c r="P20" s="208">
        <v>976.70999999999992</v>
      </c>
      <c r="Q20" s="208">
        <v>974.97000000000014</v>
      </c>
      <c r="R20" s="208">
        <v>981.88</v>
      </c>
      <c r="S20" s="208"/>
      <c r="T20" s="209">
        <v>11607.749999999998</v>
      </c>
      <c r="U20" s="198"/>
      <c r="V20" s="198"/>
      <c r="W20" s="198"/>
      <c r="X20" s="198"/>
      <c r="Y20" s="198"/>
      <c r="Z20" s="198"/>
    </row>
    <row r="21" spans="1:26">
      <c r="A21" s="180" t="str">
        <f>+A20</f>
        <v>I</v>
      </c>
      <c r="B21" s="187" t="s">
        <v>198</v>
      </c>
      <c r="C21" s="180"/>
      <c r="D21" s="180"/>
      <c r="E21" s="254">
        <v>72</v>
      </c>
      <c r="F21" s="173" t="s">
        <v>208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3">
        <v>0</v>
      </c>
      <c r="R21" s="203">
        <v>0</v>
      </c>
      <c r="S21" s="203"/>
      <c r="T21" s="184">
        <v>0</v>
      </c>
      <c r="U21" s="203"/>
      <c r="V21" s="192"/>
      <c r="W21" s="203"/>
      <c r="X21" s="203"/>
      <c r="Y21" s="203"/>
      <c r="Z21" s="203"/>
    </row>
    <row r="22" spans="1:26">
      <c r="F22" s="173" t="s">
        <v>200</v>
      </c>
      <c r="G22" s="203">
        <v>1050.5600000000002</v>
      </c>
      <c r="H22" s="203">
        <v>1135.7400000000002</v>
      </c>
      <c r="I22" s="203">
        <v>1087.33</v>
      </c>
      <c r="J22" s="203">
        <v>1150.2500000000005</v>
      </c>
      <c r="K22" s="203">
        <v>1000.8900000000002</v>
      </c>
      <c r="L22" s="203">
        <v>989.57</v>
      </c>
      <c r="M22" s="203">
        <v>869.44</v>
      </c>
      <c r="N22" s="203">
        <v>802.83000000000015</v>
      </c>
      <c r="O22" s="203">
        <v>997.82</v>
      </c>
      <c r="P22" s="203">
        <v>989.63000000000011</v>
      </c>
      <c r="Q22" s="203">
        <v>937.49000000000024</v>
      </c>
      <c r="R22" s="203">
        <v>1298.8200000000002</v>
      </c>
      <c r="S22" s="203"/>
      <c r="T22" s="184">
        <v>12310.37</v>
      </c>
      <c r="U22" s="203"/>
      <c r="V22" s="203"/>
      <c r="W22" s="203"/>
      <c r="X22" s="203"/>
      <c r="Y22" s="203"/>
      <c r="Z22" s="203"/>
    </row>
    <row r="23" spans="1:26" s="191" customFormat="1" outlineLevel="1">
      <c r="A23" s="188" t="str">
        <f>+A21</f>
        <v>I</v>
      </c>
      <c r="B23" s="193" t="str">
        <f>+B21</f>
        <v>RCY</v>
      </c>
      <c r="C23" s="194" t="s">
        <v>201</v>
      </c>
      <c r="D23" s="189"/>
      <c r="E23" s="189"/>
      <c r="F23" s="189" t="str">
        <f>"Total "&amp;F17&amp;" "&amp;B23</f>
        <v>Total Roll-off / Industrial RCY</v>
      </c>
      <c r="G23" s="208">
        <v>1050.5600000000002</v>
      </c>
      <c r="H23" s="208">
        <v>1135.7400000000002</v>
      </c>
      <c r="I23" s="208">
        <v>1087.33</v>
      </c>
      <c r="J23" s="208">
        <v>1150.2500000000005</v>
      </c>
      <c r="K23" s="208">
        <v>1000.8900000000002</v>
      </c>
      <c r="L23" s="208">
        <v>989.57</v>
      </c>
      <c r="M23" s="208">
        <v>869.44</v>
      </c>
      <c r="N23" s="208">
        <v>802.83000000000015</v>
      </c>
      <c r="O23" s="208">
        <v>997.82</v>
      </c>
      <c r="P23" s="208">
        <v>989.63000000000011</v>
      </c>
      <c r="Q23" s="208">
        <v>937.49000000000024</v>
      </c>
      <c r="R23" s="208">
        <v>1298.8200000000002</v>
      </c>
      <c r="S23" s="208"/>
      <c r="T23" s="209"/>
      <c r="U23" s="198"/>
      <c r="V23" s="198"/>
      <c r="W23" s="198"/>
      <c r="X23" s="198"/>
      <c r="Y23" s="198"/>
      <c r="Z23" s="198"/>
    </row>
    <row r="24" spans="1:26" s="256" customFormat="1">
      <c r="A24" s="195">
        <v>6666666</v>
      </c>
      <c r="B24" s="255" t="s">
        <v>202</v>
      </c>
      <c r="F24" s="256" t="s">
        <v>203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/>
      <c r="T24" s="197">
        <v>0</v>
      </c>
      <c r="U24" s="196"/>
      <c r="V24" s="196"/>
      <c r="W24" s="196"/>
      <c r="X24" s="196"/>
      <c r="Y24" s="196"/>
      <c r="Z24" s="196"/>
    </row>
    <row r="25" spans="1:26">
      <c r="A25" s="199"/>
      <c r="B25" s="199"/>
      <c r="C25" s="199"/>
      <c r="D25" s="199"/>
      <c r="E25" s="199"/>
      <c r="F25" s="200" t="str">
        <f>"Total "&amp;F17</f>
        <v>Total Roll-off / Industrial</v>
      </c>
      <c r="G25" s="201">
        <v>2077.92</v>
      </c>
      <c r="H25" s="201">
        <v>2075.8900000000003</v>
      </c>
      <c r="I25" s="201">
        <v>1933.4599999999998</v>
      </c>
      <c r="J25" s="201">
        <v>2139.2600000000002</v>
      </c>
      <c r="K25" s="201">
        <v>1931.45</v>
      </c>
      <c r="L25" s="201">
        <v>1947.4700000000003</v>
      </c>
      <c r="M25" s="201">
        <v>1820.7400000000002</v>
      </c>
      <c r="N25" s="201">
        <v>1792.9299999999996</v>
      </c>
      <c r="O25" s="201">
        <v>2041.5900000000001</v>
      </c>
      <c r="P25" s="201">
        <v>1966.3400000000001</v>
      </c>
      <c r="Q25" s="201">
        <v>1912.46</v>
      </c>
      <c r="R25" s="201">
        <v>2280.6999999999989</v>
      </c>
      <c r="S25" s="201"/>
      <c r="T25" s="202">
        <v>23920.21</v>
      </c>
      <c r="U25" s="203"/>
      <c r="V25" s="203"/>
      <c r="W25" s="203"/>
      <c r="X25" s="203"/>
      <c r="Y25" s="203"/>
      <c r="Z25" s="203"/>
    </row>
    <row r="26" spans="1:26">
      <c r="C26" s="180"/>
      <c r="D26" s="180"/>
      <c r="E26" s="180"/>
      <c r="F26" s="204" t="s">
        <v>204</v>
      </c>
      <c r="G26" s="205">
        <v>1.7982923454455957E-3</v>
      </c>
      <c r="H26" s="205">
        <v>-1.1560968873948196E-2</v>
      </c>
      <c r="I26" s="205">
        <v>-8.3600032824553416E-3</v>
      </c>
      <c r="J26" s="205">
        <v>-2.4434600139892071E-3</v>
      </c>
      <c r="K26" s="205">
        <v>-2.1877294710455075E-2</v>
      </c>
      <c r="L26" s="205">
        <v>-1.9790717690344573E-2</v>
      </c>
      <c r="M26" s="205">
        <v>-1.9351850355744382E-2</v>
      </c>
      <c r="N26" s="205">
        <v>1.2061850488893633E-3</v>
      </c>
      <c r="O26" s="205">
        <v>-2.5259434423184901E-3</v>
      </c>
      <c r="P26" s="205">
        <v>-6.1912776269970049E-3</v>
      </c>
      <c r="Q26" s="205">
        <v>6.8122473045821863E-3</v>
      </c>
      <c r="R26" s="205">
        <v>-1.4654673337308521E-2</v>
      </c>
      <c r="S26" s="205"/>
      <c r="T26" s="257">
        <v>-8.1593930254147962E-3</v>
      </c>
      <c r="U26" s="203"/>
      <c r="V26" s="203"/>
      <c r="W26" s="203"/>
      <c r="X26" s="203"/>
      <c r="Y26" s="203"/>
      <c r="Z26" s="203"/>
    </row>
    <row r="27" spans="1:26">
      <c r="C27" s="180"/>
      <c r="D27" s="180"/>
      <c r="E27" s="180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3"/>
      <c r="V27" s="203"/>
      <c r="W27" s="203"/>
      <c r="X27" s="203"/>
      <c r="Y27" s="203"/>
      <c r="Z27" s="203"/>
    </row>
    <row r="28" spans="1:26">
      <c r="C28" s="180"/>
      <c r="D28" s="180"/>
      <c r="E28" s="180"/>
      <c r="F28" s="173" t="s">
        <v>205</v>
      </c>
      <c r="G28" s="203">
        <v>53.24</v>
      </c>
      <c r="H28" s="203">
        <v>31.370000000000008</v>
      </c>
      <c r="I28" s="203">
        <v>29.339999999999996</v>
      </c>
      <c r="J28" s="203">
        <v>31.32</v>
      </c>
      <c r="K28" s="203">
        <v>35</v>
      </c>
      <c r="L28" s="203">
        <v>58.11999999999999</v>
      </c>
      <c r="M28" s="203">
        <v>46.45</v>
      </c>
      <c r="N28" s="203">
        <v>48.61</v>
      </c>
      <c r="O28" s="203">
        <v>48.469999999999992</v>
      </c>
      <c r="P28" s="203">
        <v>57.320000000000014</v>
      </c>
      <c r="Q28" s="203">
        <v>46.640000000000008</v>
      </c>
      <c r="R28" s="203">
        <v>45.050000000000004</v>
      </c>
      <c r="S28" s="203"/>
      <c r="T28" s="184">
        <v>530.92999999999995</v>
      </c>
      <c r="U28" s="203"/>
      <c r="V28" s="203"/>
      <c r="W28" s="203"/>
      <c r="X28" s="203"/>
      <c r="Y28" s="203"/>
      <c r="Z28" s="203"/>
    </row>
    <row r="29" spans="1:26">
      <c r="C29" s="180"/>
      <c r="D29" s="180"/>
      <c r="E29" s="180"/>
      <c r="F29" s="173" t="s">
        <v>206</v>
      </c>
      <c r="G29" s="203">
        <v>1910.26</v>
      </c>
      <c r="H29" s="203">
        <v>2000.4000000000003</v>
      </c>
      <c r="I29" s="203">
        <v>1851.5899999999997</v>
      </c>
      <c r="J29" s="203">
        <v>2042.8800000000003</v>
      </c>
      <c r="K29" s="203">
        <v>1839.65</v>
      </c>
      <c r="L29" s="203">
        <v>1827.4700000000003</v>
      </c>
      <c r="M29" s="203">
        <v>1745.2500000000002</v>
      </c>
      <c r="N29" s="203">
        <v>1702.5399999999997</v>
      </c>
      <c r="O29" s="203">
        <v>1944.5800000000002</v>
      </c>
      <c r="P29" s="203">
        <v>1882.4700000000003</v>
      </c>
      <c r="Q29" s="203">
        <v>1795.51</v>
      </c>
      <c r="R29" s="203">
        <v>2194.0499999999993</v>
      </c>
      <c r="S29" s="203"/>
      <c r="T29" s="184">
        <v>22736.649999999998</v>
      </c>
      <c r="U29" s="203"/>
      <c r="V29" s="203"/>
      <c r="W29" s="203"/>
      <c r="X29" s="203"/>
      <c r="Y29" s="203"/>
      <c r="Z29" s="203"/>
    </row>
    <row r="30" spans="1:26">
      <c r="A30" s="258" t="str">
        <f>+A18</f>
        <v>I</v>
      </c>
      <c r="C30" s="180"/>
      <c r="D30" s="180"/>
      <c r="E30" s="180"/>
      <c r="F30" s="189" t="str">
        <f>"Total "&amp;F17&amp;" Pass Thru Disp."</f>
        <v>Total Roll-off / Industrial Pass Thru Disp.</v>
      </c>
      <c r="G30" s="208">
        <v>1963.5</v>
      </c>
      <c r="H30" s="208">
        <v>2031.7700000000004</v>
      </c>
      <c r="I30" s="208">
        <v>1880.9299999999996</v>
      </c>
      <c r="J30" s="208">
        <v>2074.2000000000003</v>
      </c>
      <c r="K30" s="208">
        <v>1874.65</v>
      </c>
      <c r="L30" s="208">
        <v>1885.5900000000001</v>
      </c>
      <c r="M30" s="208">
        <v>1791.7000000000003</v>
      </c>
      <c r="N30" s="208">
        <v>1751.1499999999996</v>
      </c>
      <c r="O30" s="208">
        <v>1993.0500000000002</v>
      </c>
      <c r="P30" s="208">
        <v>1939.7900000000002</v>
      </c>
      <c r="Q30" s="208">
        <v>1842.15</v>
      </c>
      <c r="R30" s="208">
        <v>2239.0999999999995</v>
      </c>
      <c r="S30" s="208"/>
      <c r="T30" s="209">
        <v>23267.58</v>
      </c>
      <c r="U30" s="203"/>
      <c r="V30" s="203"/>
      <c r="W30" s="203"/>
      <c r="X30" s="203"/>
      <c r="Y30" s="203"/>
      <c r="Z30" s="203"/>
    </row>
    <row r="31" spans="1:26">
      <c r="C31" s="180"/>
      <c r="D31" s="180"/>
      <c r="E31" s="180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184"/>
      <c r="U31" s="203"/>
      <c r="V31" s="203"/>
      <c r="W31" s="203"/>
      <c r="X31" s="203"/>
      <c r="Y31" s="203"/>
      <c r="Z31" s="203"/>
    </row>
    <row r="32" spans="1:26" ht="15.75" thickBot="1">
      <c r="C32" s="180"/>
      <c r="D32" s="180"/>
      <c r="E32" s="180"/>
      <c r="F32" s="174" t="s">
        <v>15</v>
      </c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184"/>
      <c r="U32" s="203"/>
      <c r="V32" s="259" t="s">
        <v>299</v>
      </c>
      <c r="W32" s="203"/>
      <c r="X32" s="203"/>
      <c r="Y32" s="203"/>
      <c r="Z32" s="203"/>
    </row>
    <row r="33" spans="1:26" ht="15.75" thickBot="1">
      <c r="C33" s="180"/>
      <c r="D33" s="260" t="s">
        <v>194</v>
      </c>
      <c r="E33" s="260"/>
      <c r="F33" s="173" t="s">
        <v>195</v>
      </c>
      <c r="G33" s="203">
        <v>50.704309671514892</v>
      </c>
      <c r="H33" s="203">
        <v>43.301698136170877</v>
      </c>
      <c r="I33" s="203">
        <v>41.451682657966394</v>
      </c>
      <c r="J33" s="203">
        <v>52.608386171334551</v>
      </c>
      <c r="K33" s="203">
        <v>44.739785427895868</v>
      </c>
      <c r="L33" s="203">
        <v>55.999745892552063</v>
      </c>
      <c r="M33" s="203">
        <v>55.356154346450701</v>
      </c>
      <c r="N33" s="203">
        <v>57.146367827462797</v>
      </c>
      <c r="O33" s="203">
        <v>61.245170583312451</v>
      </c>
      <c r="P33" s="203">
        <v>69.966206925446642</v>
      </c>
      <c r="Q33" s="203">
        <v>58.973367483276689</v>
      </c>
      <c r="R33" s="203">
        <v>82.535655319153278</v>
      </c>
      <c r="S33" s="203"/>
      <c r="T33" s="227">
        <v>674.0285304425372</v>
      </c>
      <c r="U33" s="203"/>
      <c r="V33" s="261">
        <f>T33*2000/'[1]Resi Com Hours Summary'!J6</f>
        <v>3614.4584775780436</v>
      </c>
      <c r="W33" s="203"/>
      <c r="X33" s="203"/>
      <c r="Y33" s="203"/>
      <c r="Z33" s="203"/>
    </row>
    <row r="34" spans="1:26">
      <c r="D34" s="260" t="s">
        <v>196</v>
      </c>
      <c r="E34" s="260"/>
      <c r="F34" s="173" t="s">
        <v>197</v>
      </c>
      <c r="G34" s="203">
        <v>1758.1027456664724</v>
      </c>
      <c r="H34" s="203">
        <v>1650.9168390821264</v>
      </c>
      <c r="I34" s="203">
        <v>1548.3667380018703</v>
      </c>
      <c r="J34" s="203">
        <v>1875.4263901673844</v>
      </c>
      <c r="K34" s="203">
        <v>1811.9000207732433</v>
      </c>
      <c r="L34" s="203">
        <v>1786.9889210115844</v>
      </c>
      <c r="M34" s="203">
        <v>1958.6351241777593</v>
      </c>
      <c r="N34" s="203">
        <v>1841.1039734067294</v>
      </c>
      <c r="O34" s="203">
        <v>1934.2093734561586</v>
      </c>
      <c r="P34" s="203">
        <v>1907.4430609217065</v>
      </c>
      <c r="Q34" s="203">
        <v>1790.679009659405</v>
      </c>
      <c r="R34" s="203">
        <v>2039.6040199991835</v>
      </c>
      <c r="S34" s="203"/>
      <c r="T34" s="184">
        <v>21903.376216323621</v>
      </c>
      <c r="U34" s="203"/>
      <c r="V34" s="262">
        <f>T34*2000/'[1]Resi Com Hours Summary'!I6</f>
        <v>5139.5356965738238</v>
      </c>
      <c r="W34" s="203"/>
      <c r="X34" s="203"/>
      <c r="Y34" s="203"/>
      <c r="Z34" s="203"/>
    </row>
    <row r="35" spans="1:26" s="191" customFormat="1" outlineLevel="1">
      <c r="A35" s="263" t="s">
        <v>207</v>
      </c>
      <c r="B35" s="263" t="s">
        <v>193</v>
      </c>
      <c r="C35" s="189"/>
      <c r="D35" s="189"/>
      <c r="E35" s="189"/>
      <c r="F35" s="210" t="str">
        <f>"Total "&amp;F32&amp;" "&amp;B35</f>
        <v>Total Commercial MSW</v>
      </c>
      <c r="G35" s="211">
        <v>1737.67</v>
      </c>
      <c r="H35" s="211">
        <v>1641.31</v>
      </c>
      <c r="I35" s="211">
        <v>1526.99</v>
      </c>
      <c r="J35" s="211">
        <v>1868.39</v>
      </c>
      <c r="K35" s="211">
        <v>1792.54</v>
      </c>
      <c r="L35" s="211">
        <v>1771.3999999999999</v>
      </c>
      <c r="M35" s="211">
        <v>1905.2900000000002</v>
      </c>
      <c r="N35" s="211">
        <v>1841.7099999999998</v>
      </c>
      <c r="O35" s="211">
        <v>1887.21</v>
      </c>
      <c r="P35" s="211">
        <v>1894.19</v>
      </c>
      <c r="Q35" s="211">
        <v>1788.3799999999999</v>
      </c>
      <c r="R35" s="211">
        <v>2062.56</v>
      </c>
      <c r="S35" s="211"/>
      <c r="T35" s="190">
        <v>-859.76474676615544</v>
      </c>
      <c r="U35" s="198"/>
      <c r="V35" s="264"/>
      <c r="W35" s="203"/>
      <c r="X35" s="198"/>
      <c r="Y35" s="198"/>
      <c r="Z35" s="198"/>
    </row>
    <row r="36" spans="1:26">
      <c r="C36" s="180"/>
      <c r="D36" s="260" t="s">
        <v>194</v>
      </c>
      <c r="E36" s="260"/>
      <c r="F36" s="173" t="s">
        <v>208</v>
      </c>
      <c r="G36" s="203">
        <v>5.9475617631197393</v>
      </c>
      <c r="H36" s="203">
        <v>7.4364693740379604</v>
      </c>
      <c r="I36" s="203">
        <v>5.5382302967984316</v>
      </c>
      <c r="J36" s="203">
        <v>6.5190090982582163</v>
      </c>
      <c r="K36" s="203">
        <v>6.3434101102342977</v>
      </c>
      <c r="L36" s="203">
        <v>5.6574326161058126</v>
      </c>
      <c r="M36" s="203">
        <v>6.9455504731716049</v>
      </c>
      <c r="N36" s="203">
        <v>5.4723236200803802</v>
      </c>
      <c r="O36" s="203">
        <v>5.5744814592933656</v>
      </c>
      <c r="P36" s="203">
        <v>6.1610565937186266</v>
      </c>
      <c r="Q36" s="203">
        <v>6.5081295449423431</v>
      </c>
      <c r="R36" s="203">
        <v>8.4941328352099745</v>
      </c>
      <c r="S36" s="203"/>
      <c r="T36" s="184">
        <v>76.597787784970762</v>
      </c>
      <c r="U36" s="203"/>
      <c r="V36" s="265">
        <f>T36*2000/('[1]Resi Com Hours Summary'!J12+'[1]Resi Com Hours Summary'!J8)</f>
        <v>664.30081503533938</v>
      </c>
      <c r="W36" s="203"/>
      <c r="X36" s="203"/>
      <c r="Y36" s="203"/>
      <c r="Z36" s="203"/>
    </row>
    <row r="37" spans="1:26">
      <c r="D37" s="260" t="s">
        <v>196</v>
      </c>
      <c r="E37" s="260"/>
      <c r="F37" s="173" t="s">
        <v>200</v>
      </c>
      <c r="G37" s="203">
        <v>141.83873361782815</v>
      </c>
      <c r="H37" s="203">
        <v>132.2593170894414</v>
      </c>
      <c r="I37" s="203">
        <v>111.86962724294277</v>
      </c>
      <c r="J37" s="203">
        <v>133.45053500749725</v>
      </c>
      <c r="K37" s="203">
        <v>115.67337209822863</v>
      </c>
      <c r="L37" s="203">
        <v>113.02249294161177</v>
      </c>
      <c r="M37" s="203">
        <v>120.77140992143012</v>
      </c>
      <c r="N37" s="203">
        <v>113.52082500075433</v>
      </c>
      <c r="O37" s="203">
        <v>117.96086646539692</v>
      </c>
      <c r="P37" s="203">
        <v>120.8983085582409</v>
      </c>
      <c r="Q37" s="203">
        <v>122.18347363487744</v>
      </c>
      <c r="R37" s="203">
        <v>142.27871703948597</v>
      </c>
      <c r="S37" s="203"/>
      <c r="T37" s="184">
        <v>1485.7276786177354</v>
      </c>
      <c r="U37" s="203"/>
      <c r="V37" s="266">
        <f>T37*2000/('[1]Resi Com Hours Summary'!I12+'[1]Resi Com Hours Summary'!I8)</f>
        <v>337.94293774354463</v>
      </c>
      <c r="W37" s="203"/>
      <c r="X37" s="203"/>
      <c r="Y37" s="203"/>
      <c r="Z37" s="203"/>
    </row>
    <row r="38" spans="1:26" s="191" customFormat="1" outlineLevel="1">
      <c r="A38" s="188" t="str">
        <f>+A35</f>
        <v>C</v>
      </c>
      <c r="B38" s="193" t="s">
        <v>198</v>
      </c>
      <c r="C38" s="194" t="s">
        <v>201</v>
      </c>
      <c r="D38" s="267"/>
      <c r="E38" s="189"/>
      <c r="F38" s="210" t="str">
        <f>"Total "&amp;F32&amp;" Recycling"</f>
        <v>Total Commercial Recycling</v>
      </c>
      <c r="G38" s="211">
        <v>550.27</v>
      </c>
      <c r="H38" s="211">
        <v>521.37</v>
      </c>
      <c r="I38" s="211">
        <v>467.54</v>
      </c>
      <c r="J38" s="211">
        <v>525.85</v>
      </c>
      <c r="K38" s="211">
        <v>477.9</v>
      </c>
      <c r="L38" s="211">
        <v>463.24</v>
      </c>
      <c r="M38" s="211">
        <v>517.91999999999996</v>
      </c>
      <c r="N38" s="211">
        <v>474.15000000000003</v>
      </c>
      <c r="O38" s="211">
        <v>478.98</v>
      </c>
      <c r="P38" s="211">
        <v>530.65</v>
      </c>
      <c r="Q38" s="211">
        <v>532.51</v>
      </c>
      <c r="R38" s="211">
        <v>650.73</v>
      </c>
      <c r="S38" s="211"/>
      <c r="T38" s="190">
        <v>4628.7845335972943</v>
      </c>
      <c r="U38" s="198"/>
      <c r="V38" s="268"/>
      <c r="W38" s="203"/>
      <c r="X38" s="198"/>
      <c r="Y38" s="198"/>
      <c r="Z38" s="198"/>
    </row>
    <row r="39" spans="1:26" outlineLevel="1">
      <c r="A39" s="199"/>
      <c r="B39" s="199"/>
      <c r="C39" s="199"/>
      <c r="D39" s="199"/>
      <c r="E39" s="199"/>
      <c r="F39" s="269" t="str">
        <f>"Total "&amp;F32&amp;" per Disposal Report"</f>
        <v>Total Commercial per Disposal Report</v>
      </c>
      <c r="G39" s="270">
        <v>2287.94</v>
      </c>
      <c r="H39" s="270">
        <v>2162.6799999999998</v>
      </c>
      <c r="I39" s="270">
        <v>1994.5299999999997</v>
      </c>
      <c r="J39" s="270">
        <v>2394.2399999999993</v>
      </c>
      <c r="K39" s="270">
        <v>2270.4399999999996</v>
      </c>
      <c r="L39" s="270">
        <v>2234.64</v>
      </c>
      <c r="M39" s="270">
        <v>2423.2099999999996</v>
      </c>
      <c r="N39" s="270">
        <v>2315.86</v>
      </c>
      <c r="O39" s="270">
        <v>2366.1900000000005</v>
      </c>
      <c r="P39" s="270">
        <v>2424.84</v>
      </c>
      <c r="Q39" s="270">
        <v>2320.89</v>
      </c>
      <c r="R39" s="270">
        <v>2713.2900000000013</v>
      </c>
      <c r="S39" s="270"/>
      <c r="T39" s="271">
        <v>27908.749999999996</v>
      </c>
      <c r="U39" s="203"/>
      <c r="V39" s="272"/>
      <c r="W39" s="203"/>
      <c r="X39" s="203"/>
      <c r="Y39" s="203"/>
      <c r="Z39" s="203"/>
    </row>
    <row r="40" spans="1:26">
      <c r="C40" s="180"/>
      <c r="D40" s="180"/>
      <c r="E40" s="180"/>
      <c r="F40" s="204" t="s">
        <v>204</v>
      </c>
      <c r="G40" s="205">
        <v>-8.9520041572221931E-4</v>
      </c>
      <c r="H40" s="205">
        <v>1.7740926882368058E-3</v>
      </c>
      <c r="I40" s="205">
        <v>-3.4674514232040377E-3</v>
      </c>
      <c r="J40" s="205">
        <v>-9.4304193615712961E-4</v>
      </c>
      <c r="K40" s="205">
        <v>-3.6773417821506227E-3</v>
      </c>
      <c r="L40" s="205">
        <v>-4.4284454107227367E-3</v>
      </c>
      <c r="M40" s="205">
        <v>-1.7941381490427677E-2</v>
      </c>
      <c r="N40" s="205">
        <v>6.2650956399257218E-4</v>
      </c>
      <c r="O40" s="205">
        <v>-1.9545364139622601E-2</v>
      </c>
      <c r="P40" s="205">
        <v>6.4375557096174596E-4</v>
      </c>
      <c r="Q40" s="205">
        <v>-3.1825795644891963E-3</v>
      </c>
      <c r="R40" s="205">
        <v>4.5390091927899334E-3</v>
      </c>
      <c r="S40" s="203"/>
      <c r="T40" s="257">
        <v>-3.9017676806433199E-3</v>
      </c>
      <c r="U40" s="203"/>
      <c r="V40" s="203"/>
      <c r="W40" s="203"/>
      <c r="X40" s="203"/>
      <c r="Y40" s="203"/>
      <c r="Z40" s="203"/>
    </row>
    <row r="41" spans="1:26">
      <c r="C41" s="180"/>
      <c r="D41" s="180"/>
      <c r="E41" s="180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7"/>
      <c r="U41" s="203"/>
      <c r="V41" s="203"/>
      <c r="W41" s="203"/>
      <c r="X41" s="203"/>
      <c r="Y41" s="203"/>
      <c r="Z41" s="203"/>
    </row>
    <row r="42" spans="1:26" ht="15.75" thickBot="1">
      <c r="C42" s="180"/>
      <c r="D42" s="180"/>
      <c r="E42" s="180"/>
      <c r="F42" s="174" t="s">
        <v>14</v>
      </c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184"/>
      <c r="U42" s="203"/>
      <c r="V42" s="259" t="s">
        <v>300</v>
      </c>
      <c r="W42" s="203"/>
      <c r="X42" s="203"/>
      <c r="Y42" s="203"/>
      <c r="Z42" s="203"/>
    </row>
    <row r="43" spans="1:26" ht="15.75" thickBot="1">
      <c r="C43" s="180"/>
      <c r="D43" s="260" t="s">
        <v>194</v>
      </c>
      <c r="E43" s="260"/>
      <c r="F43" s="173" t="s">
        <v>195</v>
      </c>
      <c r="G43" s="203">
        <v>377.00984307949352</v>
      </c>
      <c r="H43" s="203">
        <v>367.92541504810595</v>
      </c>
      <c r="I43" s="203">
        <v>307.69978042297805</v>
      </c>
      <c r="J43" s="203">
        <v>364.55727442143098</v>
      </c>
      <c r="K43" s="203">
        <v>392.68491572882613</v>
      </c>
      <c r="L43" s="203">
        <v>345.17295375270328</v>
      </c>
      <c r="M43" s="203">
        <v>376.96290949739023</v>
      </c>
      <c r="N43" s="203">
        <v>385.37786946418856</v>
      </c>
      <c r="O43" s="203">
        <v>362.08798680048551</v>
      </c>
      <c r="P43" s="203">
        <v>411.44597884291028</v>
      </c>
      <c r="Q43" s="203">
        <v>367.41602364303111</v>
      </c>
      <c r="R43" s="203">
        <v>357.61298378906667</v>
      </c>
      <c r="S43" s="203"/>
      <c r="T43" s="227">
        <v>4415.9539344906098</v>
      </c>
      <c r="U43" s="203"/>
      <c r="V43" s="273">
        <f>T43*2000/'[1]Resi Hours Summary'!E7</f>
        <v>7.8704490863261647</v>
      </c>
      <c r="W43" s="203"/>
      <c r="X43" s="203"/>
      <c r="Y43" s="203"/>
      <c r="Z43" s="203"/>
    </row>
    <row r="44" spans="1:26">
      <c r="D44" s="260" t="s">
        <v>196</v>
      </c>
      <c r="E44" s="260"/>
      <c r="F44" s="173" t="s">
        <v>197</v>
      </c>
      <c r="G44" s="203">
        <v>1091.484150533915</v>
      </c>
      <c r="H44" s="203">
        <v>1045.184914200601</v>
      </c>
      <c r="I44" s="203">
        <v>892.98801433221831</v>
      </c>
      <c r="J44" s="203">
        <v>1010.7463857650619</v>
      </c>
      <c r="K44" s="203">
        <v>1000.9379256881659</v>
      </c>
      <c r="L44" s="203">
        <v>980.75162550561333</v>
      </c>
      <c r="M44" s="203">
        <v>1072.1860650878687</v>
      </c>
      <c r="N44" s="203">
        <v>1051.3940256808769</v>
      </c>
      <c r="O44" s="203">
        <v>1012.2930706182292</v>
      </c>
      <c r="P44" s="203">
        <v>960.20576921585371</v>
      </c>
      <c r="Q44" s="203">
        <v>794.06369763562827</v>
      </c>
      <c r="R44" s="203">
        <v>981.89206558412127</v>
      </c>
      <c r="S44" s="203"/>
      <c r="T44" s="184">
        <v>11894.127709848155</v>
      </c>
      <c r="U44" s="203"/>
      <c r="V44" s="266">
        <f>T44*2000/'[1]Resi Hours Summary'!F7</f>
        <v>87.414142726258319</v>
      </c>
      <c r="W44" s="203"/>
      <c r="X44" s="203"/>
      <c r="Y44" s="203"/>
      <c r="Z44" s="203"/>
    </row>
    <row r="45" spans="1:26" s="191" customFormat="1" outlineLevel="1">
      <c r="A45" s="187" t="s">
        <v>194</v>
      </c>
      <c r="B45" s="187" t="s">
        <v>193</v>
      </c>
      <c r="C45" s="189"/>
      <c r="D45" s="267"/>
      <c r="E45" s="189"/>
      <c r="F45" s="210" t="str">
        <f>"Total "&amp;F42&amp;" "&amp;B45</f>
        <v>Total Residential MSW</v>
      </c>
      <c r="G45" s="211">
        <v>1507.21</v>
      </c>
      <c r="H45" s="211">
        <v>1445.98</v>
      </c>
      <c r="I45" s="211">
        <v>1271.1799999999998</v>
      </c>
      <c r="J45" s="211">
        <v>1468.8</v>
      </c>
      <c r="K45" s="211">
        <v>1438.46</v>
      </c>
      <c r="L45" s="211">
        <v>1396.1</v>
      </c>
      <c r="M45" s="211">
        <v>1527.17</v>
      </c>
      <c r="N45" s="211">
        <v>1486.6399999999996</v>
      </c>
      <c r="O45" s="211">
        <v>1462.18</v>
      </c>
      <c r="P45" s="211">
        <v>1470.1700000000003</v>
      </c>
      <c r="Q45" s="211">
        <v>1282.3799999999997</v>
      </c>
      <c r="R45" s="211">
        <v>1394.8900000000003</v>
      </c>
      <c r="S45" s="211"/>
      <c r="T45" s="190">
        <v>841.07835566123504</v>
      </c>
      <c r="U45" s="198"/>
      <c r="V45" s="264"/>
      <c r="W45" s="198"/>
      <c r="X45" s="198"/>
      <c r="Y45" s="198"/>
      <c r="Z45" s="198"/>
    </row>
    <row r="46" spans="1:26">
      <c r="C46" s="180"/>
      <c r="D46" s="260" t="s">
        <v>194</v>
      </c>
      <c r="E46" s="260"/>
      <c r="F46" s="173" t="s">
        <v>209</v>
      </c>
      <c r="G46" s="203">
        <v>178.02784235098682</v>
      </c>
      <c r="H46" s="203">
        <v>118.64873040952108</v>
      </c>
      <c r="I46" s="203">
        <v>73.337023081584036</v>
      </c>
      <c r="J46" s="203">
        <v>135.31309697583958</v>
      </c>
      <c r="K46" s="203">
        <v>201.94015130560427</v>
      </c>
      <c r="L46" s="203">
        <v>257.05447731855531</v>
      </c>
      <c r="M46" s="203">
        <v>258.59192978139396</v>
      </c>
      <c r="N46" s="203">
        <v>162.77748616059304</v>
      </c>
      <c r="O46" s="203">
        <v>154.70204010120315</v>
      </c>
      <c r="P46" s="203">
        <v>112.68571266514421</v>
      </c>
      <c r="Q46" s="203">
        <v>142.64192128236476</v>
      </c>
      <c r="R46" s="203">
        <v>204.25742012442038</v>
      </c>
      <c r="S46" s="203"/>
      <c r="T46" s="184">
        <v>1999.9778315572107</v>
      </c>
      <c r="U46" s="203"/>
      <c r="V46" s="265">
        <f>T46*2000/'[1]Resi Hours Summary'!E9</f>
        <v>6.2606422912865316</v>
      </c>
      <c r="W46" s="203"/>
      <c r="X46" s="203"/>
      <c r="Y46" s="203"/>
      <c r="Z46" s="203"/>
    </row>
    <row r="47" spans="1:26">
      <c r="D47" s="260" t="s">
        <v>196</v>
      </c>
      <c r="E47" s="260"/>
      <c r="F47" s="173" t="s">
        <v>210</v>
      </c>
      <c r="G47" s="203">
        <v>1192.6678642892925</v>
      </c>
      <c r="H47" s="203">
        <v>864.45371615077204</v>
      </c>
      <c r="I47" s="203">
        <v>638.79288652645812</v>
      </c>
      <c r="J47" s="203">
        <v>1187.7777917659432</v>
      </c>
      <c r="K47" s="203">
        <v>1697.8295400107911</v>
      </c>
      <c r="L47" s="203">
        <v>1913.8321030799277</v>
      </c>
      <c r="M47" s="203">
        <v>1805.8955764752266</v>
      </c>
      <c r="N47" s="203">
        <v>1385.3959409331637</v>
      </c>
      <c r="O47" s="203">
        <v>1155.0691805995527</v>
      </c>
      <c r="P47" s="203">
        <v>1232.5738695224011</v>
      </c>
      <c r="Q47" s="203">
        <v>1214.4862076305606</v>
      </c>
      <c r="R47" s="203">
        <v>1786.1597584625351</v>
      </c>
      <c r="S47" s="203"/>
      <c r="T47" s="184">
        <v>16074.934435446623</v>
      </c>
      <c r="U47" s="203"/>
      <c r="V47" s="266">
        <f>T47*2000/'[1]Resi Hours Summary'!F9</f>
        <v>197.65219509115553</v>
      </c>
      <c r="W47" s="203"/>
      <c r="X47" s="203"/>
      <c r="Y47" s="203"/>
      <c r="Z47" s="203"/>
    </row>
    <row r="48" spans="1:26" s="191" customFormat="1" outlineLevel="1">
      <c r="A48" s="188" t="str">
        <f>+A45</f>
        <v>R</v>
      </c>
      <c r="B48" s="188" t="s">
        <v>201</v>
      </c>
      <c r="C48" s="189"/>
      <c r="D48" s="267"/>
      <c r="E48" s="189"/>
      <c r="F48" s="210" t="str">
        <f>"Total "&amp;F42&amp;" "&amp;B48</f>
        <v>Total Residential YW</v>
      </c>
      <c r="G48" s="211">
        <v>1308.68</v>
      </c>
      <c r="H48" s="211">
        <v>967.87000000000012</v>
      </c>
      <c r="I48" s="211">
        <v>701.79000000000008</v>
      </c>
      <c r="J48" s="211">
        <v>1295.3700000000001</v>
      </c>
      <c r="K48" s="211">
        <v>1882.01</v>
      </c>
      <c r="L48" s="211">
        <v>2173.73</v>
      </c>
      <c r="M48" s="211">
        <v>2043.1399999999999</v>
      </c>
      <c r="N48" s="211">
        <v>1520.2000000000003</v>
      </c>
      <c r="O48" s="211">
        <v>1304.1500000000001</v>
      </c>
      <c r="P48" s="211">
        <v>1321.56</v>
      </c>
      <c r="Q48" s="211">
        <v>1328.04</v>
      </c>
      <c r="R48" s="211">
        <v>1996.99</v>
      </c>
      <c r="S48" s="211"/>
      <c r="T48" s="190">
        <v>-231.38226700383166</v>
      </c>
      <c r="U48" s="198"/>
      <c r="V48" s="264"/>
      <c r="W48" s="198"/>
      <c r="X48" s="198"/>
      <c r="Y48" s="198"/>
      <c r="Z48" s="198"/>
    </row>
    <row r="49" spans="1:26">
      <c r="C49" s="180"/>
      <c r="D49" s="260" t="s">
        <v>194</v>
      </c>
      <c r="E49" s="260"/>
      <c r="F49" s="173" t="s">
        <v>199</v>
      </c>
      <c r="G49" s="203">
        <v>143.16258049758778</v>
      </c>
      <c r="H49" s="203">
        <v>142.5863007508845</v>
      </c>
      <c r="I49" s="203">
        <v>120.24904905547973</v>
      </c>
      <c r="J49" s="203">
        <v>162.44408265270539</v>
      </c>
      <c r="K49" s="203">
        <v>145.3958045424634</v>
      </c>
      <c r="L49" s="203">
        <v>117.54243040086787</v>
      </c>
      <c r="M49" s="203">
        <v>111.72882347227085</v>
      </c>
      <c r="N49" s="203">
        <v>104.7892334107285</v>
      </c>
      <c r="O49" s="203">
        <v>137.05999790564269</v>
      </c>
      <c r="P49" s="203">
        <v>129.09386867166577</v>
      </c>
      <c r="Q49" s="203">
        <v>120.69321203282381</v>
      </c>
      <c r="R49" s="203">
        <v>123.80393094478254</v>
      </c>
      <c r="S49" s="203"/>
      <c r="T49" s="184">
        <v>1558.5493143379026</v>
      </c>
      <c r="U49" s="203"/>
      <c r="V49" s="265">
        <f>T49*2000/'[1]Resi Hours Summary'!E8</f>
        <v>4.7632954370323661</v>
      </c>
      <c r="W49" s="203"/>
      <c r="X49" s="203"/>
      <c r="Y49" s="203"/>
      <c r="Z49" s="203"/>
    </row>
    <row r="50" spans="1:26">
      <c r="D50" s="260" t="s">
        <v>196</v>
      </c>
      <c r="E50" s="260"/>
      <c r="F50" s="173" t="s">
        <v>211</v>
      </c>
      <c r="G50" s="203">
        <v>718.77300446609377</v>
      </c>
      <c r="H50" s="203">
        <v>744.76312085600932</v>
      </c>
      <c r="I50" s="203">
        <v>624.43069454132524</v>
      </c>
      <c r="J50" s="203">
        <v>718.59355593991779</v>
      </c>
      <c r="K50" s="203">
        <v>678.88105094313619</v>
      </c>
      <c r="L50" s="203">
        <v>651.00100244158307</v>
      </c>
      <c r="M50" s="203">
        <v>679.35952694681907</v>
      </c>
      <c r="N50" s="203">
        <v>662.50051643934171</v>
      </c>
      <c r="O50" s="203">
        <v>680.81698402666325</v>
      </c>
      <c r="P50" s="203">
        <v>660.5840735468048</v>
      </c>
      <c r="Q50" s="203">
        <v>622.19526022886612</v>
      </c>
      <c r="R50" s="203">
        <v>685.59440347726775</v>
      </c>
      <c r="S50" s="203"/>
      <c r="T50" s="184">
        <v>8127.4931938538266</v>
      </c>
      <c r="U50" s="203"/>
      <c r="V50" s="266">
        <f>T50*2000/'[1]Resi Hours Summary'!F8</f>
        <v>74.261389288568679</v>
      </c>
      <c r="W50" s="203"/>
      <c r="X50" s="203"/>
      <c r="Y50" s="203"/>
      <c r="Z50" s="203"/>
    </row>
    <row r="51" spans="1:26" s="191" customFormat="1" outlineLevel="1">
      <c r="A51" s="188" t="str">
        <f>+A48</f>
        <v>R</v>
      </c>
      <c r="B51" s="188" t="s">
        <v>198</v>
      </c>
      <c r="C51" s="189"/>
      <c r="D51" s="267"/>
      <c r="E51" s="189"/>
      <c r="F51" s="210" t="str">
        <f>"Total "&amp;F42&amp;" "&amp;B49</f>
        <v xml:space="preserve">Total Residential </v>
      </c>
      <c r="G51" s="211">
        <v>951.90999999999985</v>
      </c>
      <c r="H51" s="211">
        <v>919.61999999999989</v>
      </c>
      <c r="I51" s="211">
        <v>763.22</v>
      </c>
      <c r="J51" s="211">
        <v>915.89</v>
      </c>
      <c r="K51" s="211">
        <v>846.21999999999991</v>
      </c>
      <c r="L51" s="211">
        <v>785.36</v>
      </c>
      <c r="M51" s="211">
        <v>817.15000000000009</v>
      </c>
      <c r="N51" s="211">
        <v>815.65000000000009</v>
      </c>
      <c r="O51" s="211">
        <v>827.06</v>
      </c>
      <c r="P51" s="211">
        <v>826.56999999999994</v>
      </c>
      <c r="Q51" s="211">
        <v>769.8</v>
      </c>
      <c r="R51" s="211">
        <v>841.74</v>
      </c>
      <c r="S51" s="211"/>
      <c r="T51" s="190">
        <v>394.14749180826766</v>
      </c>
      <c r="U51" s="198"/>
      <c r="V51" s="268"/>
      <c r="W51" s="198"/>
      <c r="X51" s="198"/>
      <c r="Y51" s="198"/>
      <c r="Z51" s="198"/>
    </row>
    <row r="52" spans="1:26" outlineLevel="1">
      <c r="A52" s="199"/>
      <c r="B52" s="199"/>
      <c r="C52" s="199"/>
      <c r="D52" s="199"/>
      <c r="E52" s="199"/>
      <c r="F52" s="269" t="str">
        <f>"Total "&amp;F42&amp;" per Disposal Report"</f>
        <v>Total Residential per Disposal Report</v>
      </c>
      <c r="G52" s="270">
        <v>3767.8000000000006</v>
      </c>
      <c r="H52" s="270">
        <v>3333.47</v>
      </c>
      <c r="I52" s="270">
        <v>2736.1899999999996</v>
      </c>
      <c r="J52" s="270">
        <v>3680.0599999999995</v>
      </c>
      <c r="K52" s="270">
        <v>4166.6899999999996</v>
      </c>
      <c r="L52" s="270">
        <v>4355.1899999999987</v>
      </c>
      <c r="M52" s="270">
        <v>4387.46</v>
      </c>
      <c r="N52" s="270">
        <v>3822.49</v>
      </c>
      <c r="O52" s="270">
        <v>3593.3900000000003</v>
      </c>
      <c r="P52" s="270">
        <v>3618.3</v>
      </c>
      <c r="Q52" s="270">
        <v>3380.2200000000003</v>
      </c>
      <c r="R52" s="270">
        <v>4233.62</v>
      </c>
      <c r="S52" s="270"/>
      <c r="T52" s="271">
        <v>45074.880000000005</v>
      </c>
      <c r="U52" s="203"/>
      <c r="V52" s="272"/>
      <c r="W52" s="203"/>
      <c r="X52" s="203"/>
      <c r="Y52" s="203"/>
      <c r="Z52" s="203"/>
    </row>
    <row r="53" spans="1:26">
      <c r="C53" s="180"/>
      <c r="D53" s="180"/>
      <c r="E53" s="180"/>
      <c r="F53" s="173" t="str">
        <f>"Total "&amp;F42</f>
        <v>Total Residential</v>
      </c>
      <c r="G53" s="223">
        <v>3701.1252852173698</v>
      </c>
      <c r="H53" s="223">
        <v>3283.5621974158939</v>
      </c>
      <c r="I53" s="223">
        <v>2657.4974479600432</v>
      </c>
      <c r="J53" s="223">
        <v>3579.4321875208984</v>
      </c>
      <c r="K53" s="223">
        <v>4117.6693882189866</v>
      </c>
      <c r="L53" s="223">
        <v>4265.3545924992504</v>
      </c>
      <c r="M53" s="223">
        <v>4304.724831260969</v>
      </c>
      <c r="N53" s="223">
        <v>3752.2350720888926</v>
      </c>
      <c r="O53" s="223">
        <v>3502.0292600517769</v>
      </c>
      <c r="P53" s="223">
        <v>3506.5892724647802</v>
      </c>
      <c r="Q53" s="223">
        <v>3261.4963224532744</v>
      </c>
      <c r="R53" s="223">
        <v>4139.3205623821941</v>
      </c>
      <c r="S53" s="223"/>
      <c r="T53" s="184">
        <v>44071.036419534321</v>
      </c>
      <c r="U53" s="203"/>
      <c r="V53" s="274">
        <f>T53*2000/'[1]Resi Hours Summary'!D10</f>
        <v>28.718765521931786</v>
      </c>
      <c r="W53" s="203"/>
      <c r="X53" s="203"/>
      <c r="Y53" s="203"/>
      <c r="Z53" s="203"/>
    </row>
    <row r="54" spans="1:26">
      <c r="C54" s="180"/>
      <c r="D54" s="180"/>
      <c r="E54" s="180"/>
      <c r="F54" s="204" t="s">
        <v>204</v>
      </c>
      <c r="G54" s="205">
        <v>-2.5983776976685968E-2</v>
      </c>
      <c r="H54" s="205">
        <v>-3.0173139711525465E-2</v>
      </c>
      <c r="I54" s="205">
        <v>-2.83906008957302E-2</v>
      </c>
      <c r="J54" s="205">
        <v>-2.6092299869427071E-2</v>
      </c>
      <c r="K54" s="205">
        <v>-2.3202722295210254E-2</v>
      </c>
      <c r="L54" s="205">
        <v>-1.0810698474420954E-2</v>
      </c>
      <c r="M54" s="205">
        <v>-2.8149385299403473E-2</v>
      </c>
      <c r="N54" s="205">
        <v>-2.0976438610329606E-2</v>
      </c>
      <c r="O54" s="205">
        <v>-2.2159200742790763E-2</v>
      </c>
      <c r="P54" s="205">
        <v>-2.8419556776430044E-2</v>
      </c>
      <c r="Q54" s="205">
        <v>-2.8781822594799444E-2</v>
      </c>
      <c r="R54" s="205">
        <v>-2.5152241956846622E-2</v>
      </c>
      <c r="S54" s="203"/>
      <c r="T54" s="205">
        <v>-2.4553441693055622E-2</v>
      </c>
      <c r="U54" s="203"/>
      <c r="V54" s="203"/>
      <c r="W54" s="203"/>
      <c r="X54" s="203"/>
      <c r="Y54" s="203"/>
      <c r="Z54" s="203"/>
    </row>
    <row r="55" spans="1:26">
      <c r="C55" s="180"/>
      <c r="D55" s="180"/>
      <c r="E55" s="180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84"/>
      <c r="U55" s="203"/>
      <c r="V55" s="203"/>
      <c r="W55" s="203"/>
      <c r="X55" s="203"/>
      <c r="Y55" s="203"/>
      <c r="Z55" s="203"/>
    </row>
    <row r="56" spans="1:26">
      <c r="C56" s="180"/>
      <c r="D56" s="180"/>
      <c r="E56" s="180"/>
      <c r="F56" s="213" t="s">
        <v>212</v>
      </c>
      <c r="G56" s="203">
        <v>4304.6610489513951</v>
      </c>
      <c r="H56" s="203">
        <v>4046.2388664670043</v>
      </c>
      <c r="I56" s="203">
        <v>3635.7862154150334</v>
      </c>
      <c r="J56" s="203">
        <v>4292.3484365252116</v>
      </c>
      <c r="K56" s="203">
        <v>4180.8226476181317</v>
      </c>
      <c r="L56" s="203">
        <v>4126.8132461624527</v>
      </c>
      <c r="M56" s="203">
        <v>4414.4402531094693</v>
      </c>
      <c r="N56" s="203">
        <v>4325.1222363792585</v>
      </c>
      <c r="O56" s="203">
        <v>4413.6056014581854</v>
      </c>
      <c r="P56" s="203">
        <v>4325.771015905917</v>
      </c>
      <c r="Q56" s="203">
        <v>3986.1020984213415</v>
      </c>
      <c r="R56" s="203">
        <v>4443.5247246915251</v>
      </c>
      <c r="S56" s="203"/>
      <c r="T56" s="184">
        <v>50495.236391104918</v>
      </c>
      <c r="U56" s="203"/>
      <c r="V56" s="203"/>
      <c r="W56" s="203"/>
      <c r="X56" s="203"/>
      <c r="Y56" s="203"/>
      <c r="Z56" s="203"/>
    </row>
    <row r="57" spans="1:26" outlineLevel="1">
      <c r="C57" s="180"/>
      <c r="D57" s="180"/>
      <c r="E57" s="180"/>
      <c r="F57" s="214" t="s">
        <v>204</v>
      </c>
      <c r="G57" s="205">
        <v>-5.5051417581200024E-3</v>
      </c>
      <c r="H57" s="205">
        <v>-1.0135635590200698E-2</v>
      </c>
      <c r="I57" s="205">
        <v>-1.3807449116949533E-2</v>
      </c>
      <c r="J57" s="205">
        <v>-1.4035205061454281E-2</v>
      </c>
      <c r="K57" s="205">
        <v>-7.3596099505363055E-3</v>
      </c>
      <c r="L57" s="205">
        <v>-1.0356535692457425E-2</v>
      </c>
      <c r="M57" s="205">
        <v>-6.3989598819075288E-3</v>
      </c>
      <c r="N57" s="205">
        <v>-4.7191692851764611E-3</v>
      </c>
      <c r="O57" s="205">
        <v>-1.0315789618781768E-2</v>
      </c>
      <c r="P57" s="205">
        <v>-7.4841820245740154E-3</v>
      </c>
      <c r="Q57" s="205">
        <v>-1.7957152291249501E-2</v>
      </c>
      <c r="R57" s="205">
        <v>-2.4884951339116945E-3</v>
      </c>
      <c r="S57" s="205"/>
      <c r="T57" s="205">
        <v>-9.0855530058758793E-3</v>
      </c>
      <c r="U57" s="203"/>
      <c r="V57" s="203"/>
      <c r="W57" s="203"/>
      <c r="X57" s="203"/>
      <c r="Y57" s="203"/>
      <c r="Z57" s="203"/>
    </row>
    <row r="58" spans="1:26">
      <c r="C58" s="180"/>
      <c r="D58" s="180"/>
      <c r="E58" s="180"/>
      <c r="F58" s="213" t="s">
        <v>213</v>
      </c>
      <c r="G58" s="203">
        <v>2060.2818803446298</v>
      </c>
      <c r="H58" s="203">
        <v>2162.7852080703733</v>
      </c>
      <c r="I58" s="203">
        <v>1949.417601136546</v>
      </c>
      <c r="J58" s="203">
        <v>2171.2571826983794</v>
      </c>
      <c r="K58" s="203">
        <v>1947.1836376940628</v>
      </c>
      <c r="L58" s="203">
        <v>1876.7933584001687</v>
      </c>
      <c r="M58" s="203">
        <v>1788.245310813692</v>
      </c>
      <c r="N58" s="203">
        <v>1689.1128984709051</v>
      </c>
      <c r="O58" s="203">
        <v>1939.2323298569961</v>
      </c>
      <c r="P58" s="203">
        <v>1906.3673073704304</v>
      </c>
      <c r="Q58" s="203">
        <v>1809.07007544151</v>
      </c>
      <c r="R58" s="203">
        <v>2258.9911842967463</v>
      </c>
      <c r="S58" s="203"/>
      <c r="T58" s="184">
        <v>23558.737974594438</v>
      </c>
      <c r="U58" s="203"/>
      <c r="V58" s="203"/>
      <c r="W58" s="203"/>
      <c r="X58" s="203"/>
      <c r="Y58" s="203"/>
      <c r="Z58" s="203"/>
    </row>
    <row r="59" spans="1:26">
      <c r="C59" s="180"/>
      <c r="D59" s="180"/>
      <c r="E59" s="180"/>
      <c r="F59" s="213" t="s">
        <v>214</v>
      </c>
      <c r="G59" s="203">
        <v>1370.6957066402792</v>
      </c>
      <c r="H59" s="203">
        <v>983.10244656029317</v>
      </c>
      <c r="I59" s="203">
        <v>712.12990960804211</v>
      </c>
      <c r="J59" s="203">
        <v>1323.0908887417827</v>
      </c>
      <c r="K59" s="203">
        <v>1899.7696913163954</v>
      </c>
      <c r="L59" s="203">
        <v>2170.8865803984831</v>
      </c>
      <c r="M59" s="203">
        <v>2064.4875062566207</v>
      </c>
      <c r="N59" s="203">
        <v>1548.1734270937568</v>
      </c>
      <c r="O59" s="203">
        <v>1309.771220700756</v>
      </c>
      <c r="P59" s="203">
        <v>1345.2595821875452</v>
      </c>
      <c r="Q59" s="203">
        <v>1357.1281289129254</v>
      </c>
      <c r="R59" s="203">
        <v>1990.4171785869555</v>
      </c>
      <c r="S59" s="203"/>
      <c r="T59" s="184">
        <v>18074.912267003834</v>
      </c>
      <c r="U59" s="203"/>
      <c r="V59" s="206"/>
      <c r="W59" s="203"/>
      <c r="X59" s="203"/>
      <c r="Y59" s="203"/>
      <c r="Z59" s="203"/>
    </row>
    <row r="60" spans="1:26" outlineLevel="1">
      <c r="C60" s="180"/>
      <c r="D60" s="180"/>
      <c r="E60" s="180"/>
      <c r="F60" s="214" t="s">
        <v>204</v>
      </c>
      <c r="G60" s="205">
        <v>-0.10547963473689326</v>
      </c>
      <c r="H60" s="205">
        <v>-0.11559579804989306</v>
      </c>
      <c r="I60" s="205">
        <v>-0.11272581141898375</v>
      </c>
      <c r="J60" s="205">
        <v>-9.5403411071490085E-2</v>
      </c>
      <c r="K60" s="205">
        <v>-9.635051572057729E-2</v>
      </c>
      <c r="L60" s="205">
        <v>-7.4464839505126057E-2</v>
      </c>
      <c r="M60" s="205">
        <v>-0.10623755893596798</v>
      </c>
      <c r="N60" s="205">
        <v>-9.8796183497302126E-2</v>
      </c>
      <c r="O60" s="205">
        <v>-9.2938510132121954E-2</v>
      </c>
      <c r="P60" s="205">
        <v>-0.10978719787387325</v>
      </c>
      <c r="Q60" s="205">
        <v>-0.10229198794593808</v>
      </c>
      <c r="R60" s="205">
        <v>-0.11602518682887575</v>
      </c>
      <c r="S60" s="205"/>
      <c r="T60" s="205">
        <v>-0.10189482409320438</v>
      </c>
      <c r="U60" s="203"/>
      <c r="V60" s="203"/>
      <c r="W60" s="203"/>
      <c r="X60" s="203"/>
      <c r="Y60" s="203"/>
      <c r="Z60" s="203"/>
    </row>
    <row r="61" spans="1:26">
      <c r="C61" s="180"/>
      <c r="D61" s="180"/>
      <c r="E61" s="180"/>
      <c r="F61" s="215" t="s">
        <v>215</v>
      </c>
      <c r="G61" s="201">
        <v>7735.6386359363041</v>
      </c>
      <c r="H61" s="201">
        <v>7192.1265210976708</v>
      </c>
      <c r="I61" s="201">
        <v>6297.3337261596216</v>
      </c>
      <c r="J61" s="201">
        <v>7786.6965079653737</v>
      </c>
      <c r="K61" s="201">
        <v>8027.7759766285899</v>
      </c>
      <c r="L61" s="201">
        <v>8174.4931849611039</v>
      </c>
      <c r="M61" s="201">
        <v>8267.1730701797824</v>
      </c>
      <c r="N61" s="201">
        <v>7562.4085619439202</v>
      </c>
      <c r="O61" s="201">
        <v>7662.609152015938</v>
      </c>
      <c r="P61" s="201">
        <v>7577.397905463893</v>
      </c>
      <c r="Q61" s="201">
        <v>7152.3003027757768</v>
      </c>
      <c r="R61" s="201">
        <v>8692.9330875752257</v>
      </c>
      <c r="S61" s="201"/>
      <c r="T61" s="202">
        <v>92128.886632703186</v>
      </c>
      <c r="U61" s="203"/>
      <c r="V61" s="203"/>
      <c r="W61" s="203"/>
      <c r="X61" s="203"/>
      <c r="Y61" s="203"/>
      <c r="Z61" s="203"/>
    </row>
    <row r="62" spans="1:26">
      <c r="C62" s="180"/>
      <c r="D62" s="180"/>
      <c r="E62" s="180"/>
      <c r="F62" s="214" t="s">
        <v>204</v>
      </c>
      <c r="G62" s="205">
        <v>-5.2474187297428254E-2</v>
      </c>
      <c r="H62" s="205">
        <v>-5.9205869513198617E-2</v>
      </c>
      <c r="I62" s="205">
        <v>-5.8184888361172638E-2</v>
      </c>
      <c r="J62" s="205">
        <v>-5.229019428803694E-2</v>
      </c>
      <c r="K62" s="205">
        <v>-5.2093119379782671E-2</v>
      </c>
      <c r="L62" s="205">
        <v>-4.3173608335720703E-2</v>
      </c>
      <c r="M62" s="205">
        <v>-5.556447089186789E-2</v>
      </c>
      <c r="N62" s="205">
        <v>-4.7292822334633833E-2</v>
      </c>
      <c r="O62" s="205">
        <v>-4.7118121843293337E-2</v>
      </c>
      <c r="P62" s="205">
        <v>-5.4129380933051974E-2</v>
      </c>
      <c r="Q62" s="205">
        <v>-5.7167336177736505E-2</v>
      </c>
      <c r="R62" s="205">
        <v>-6.1417732509528422E-2</v>
      </c>
      <c r="S62" s="203"/>
      <c r="T62" s="205">
        <v>-5.3296207675358476E-2</v>
      </c>
      <c r="U62" s="203"/>
      <c r="V62" s="203"/>
      <c r="W62" s="203"/>
      <c r="X62" s="203"/>
      <c r="Y62" s="203"/>
      <c r="Z62" s="203"/>
    </row>
    <row r="63" spans="1:26">
      <c r="C63" s="180"/>
      <c r="D63" s="180"/>
      <c r="E63" s="180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7"/>
      <c r="U63" s="203"/>
      <c r="V63" s="203"/>
      <c r="W63" s="203"/>
      <c r="X63" s="203"/>
      <c r="Y63" s="203"/>
      <c r="Z63" s="203"/>
    </row>
    <row r="64" spans="1:26" ht="15.75" thickBot="1">
      <c r="C64" s="180"/>
      <c r="D64" s="180"/>
      <c r="E64" s="180"/>
      <c r="F64" s="181" t="s">
        <v>216</v>
      </c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1"/>
    </row>
    <row r="65" spans="3:26">
      <c r="C65" s="180"/>
      <c r="D65" s="180"/>
      <c r="E65" s="180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7"/>
      <c r="U65" s="203"/>
      <c r="V65" s="203"/>
      <c r="W65" s="203"/>
      <c r="X65" s="203"/>
      <c r="Y65" s="203"/>
      <c r="Z65" s="203"/>
    </row>
    <row r="66" spans="3:26">
      <c r="C66" s="180"/>
      <c r="D66" s="180"/>
      <c r="E66" s="180"/>
      <c r="F66" s="174" t="str">
        <f>+F17</f>
        <v>Roll-off / Industrial</v>
      </c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7"/>
      <c r="U66" s="203"/>
      <c r="V66" s="203"/>
      <c r="W66" s="203"/>
      <c r="X66" s="203"/>
      <c r="Y66" s="203"/>
      <c r="Z66" s="203"/>
    </row>
    <row r="67" spans="3:26">
      <c r="C67" s="180"/>
      <c r="D67" s="180"/>
      <c r="E67" s="180"/>
      <c r="F67" s="173" t="str">
        <f>+F18</f>
        <v>Regulated Garbage</v>
      </c>
      <c r="G67" s="216">
        <v>140.82</v>
      </c>
      <c r="H67" s="217">
        <v>140.82</v>
      </c>
      <c r="I67" s="217">
        <v>140.82</v>
      </c>
      <c r="J67" s="217">
        <v>140.82</v>
      </c>
      <c r="K67" s="217">
        <v>140.82</v>
      </c>
      <c r="L67" s="217">
        <v>140.82</v>
      </c>
      <c r="M67" s="217">
        <v>140.82</v>
      </c>
      <c r="N67" s="217">
        <v>140.82</v>
      </c>
      <c r="O67" s="217">
        <v>140.82</v>
      </c>
      <c r="P67" s="217">
        <v>140.82</v>
      </c>
      <c r="Q67" s="217">
        <v>140.82</v>
      </c>
      <c r="R67" s="217">
        <v>140.82</v>
      </c>
      <c r="S67" s="217"/>
      <c r="T67" s="218"/>
      <c r="U67" s="203"/>
      <c r="V67" s="203"/>
      <c r="W67" s="203"/>
      <c r="X67" s="203"/>
      <c r="Y67" s="203"/>
      <c r="Z67" s="203"/>
    </row>
    <row r="68" spans="3:26">
      <c r="C68" s="180"/>
      <c r="D68" s="180"/>
      <c r="E68" s="180"/>
      <c r="F68" s="173" t="str">
        <f>+F19</f>
        <v>Unregulated Garbage</v>
      </c>
      <c r="G68" s="217">
        <v>140.82</v>
      </c>
      <c r="H68" s="217">
        <v>140.82</v>
      </c>
      <c r="I68" s="217">
        <v>140.82</v>
      </c>
      <c r="J68" s="217">
        <v>140.82</v>
      </c>
      <c r="K68" s="217">
        <v>140.82</v>
      </c>
      <c r="L68" s="217">
        <v>140.82</v>
      </c>
      <c r="M68" s="217">
        <v>140.82</v>
      </c>
      <c r="N68" s="217">
        <v>140.82</v>
      </c>
      <c r="O68" s="217">
        <v>140.82</v>
      </c>
      <c r="P68" s="217">
        <v>140.82</v>
      </c>
      <c r="Q68" s="217">
        <v>140.82</v>
      </c>
      <c r="R68" s="217">
        <v>140.82</v>
      </c>
      <c r="S68" s="217"/>
      <c r="T68" s="218"/>
      <c r="U68" s="203"/>
      <c r="V68" s="203"/>
      <c r="W68" s="203"/>
      <c r="X68" s="203"/>
      <c r="Y68" s="203"/>
      <c r="Z68" s="203"/>
    </row>
    <row r="69" spans="3:26">
      <c r="C69" s="180"/>
      <c r="D69" s="180"/>
      <c r="E69" s="180"/>
      <c r="F69" s="173" t="str">
        <f>+F21</f>
        <v>Regulated RCY (MF)</v>
      </c>
      <c r="G69" s="275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  <c r="M69" s="217">
        <v>0</v>
      </c>
      <c r="N69" s="217">
        <v>0</v>
      </c>
      <c r="O69" s="217">
        <v>0</v>
      </c>
      <c r="P69" s="217">
        <v>0</v>
      </c>
      <c r="Q69" s="217">
        <v>0</v>
      </c>
      <c r="R69" s="217">
        <v>0</v>
      </c>
      <c r="S69" s="217"/>
      <c r="T69" s="218"/>
      <c r="U69" s="203"/>
      <c r="V69" s="203"/>
      <c r="W69" s="203"/>
      <c r="X69" s="203"/>
      <c r="Y69" s="203"/>
      <c r="Z69" s="203"/>
    </row>
    <row r="70" spans="3:26">
      <c r="C70" s="180"/>
      <c r="D70" s="180"/>
      <c r="E70" s="180"/>
      <c r="F70" s="173" t="str">
        <f>+F22</f>
        <v>Unregulated RCY / COGS</v>
      </c>
      <c r="G70" s="217">
        <v>82.916720606152907</v>
      </c>
      <c r="H70" s="217">
        <v>87.3556095585257</v>
      </c>
      <c r="I70" s="217">
        <v>87.678064616997617</v>
      </c>
      <c r="J70" s="217">
        <v>86.741360573788285</v>
      </c>
      <c r="K70" s="217">
        <v>89.582751351297318</v>
      </c>
      <c r="L70" s="217">
        <v>86.887830067605123</v>
      </c>
      <c r="M70" s="217">
        <v>89.756199392712546</v>
      </c>
      <c r="N70" s="217">
        <v>83.35782170571602</v>
      </c>
      <c r="O70" s="217">
        <v>89.08754083902906</v>
      </c>
      <c r="P70" s="217">
        <v>85.83654497135295</v>
      </c>
      <c r="Q70" s="217">
        <v>80.620710620913272</v>
      </c>
      <c r="R70" s="217">
        <v>68.131580973499013</v>
      </c>
      <c r="S70" s="217"/>
      <c r="T70" s="218"/>
      <c r="U70" s="203"/>
      <c r="V70" s="203"/>
      <c r="W70" s="203"/>
      <c r="X70" s="203"/>
      <c r="Y70" s="203"/>
      <c r="Z70" s="203"/>
    </row>
    <row r="71" spans="3:26">
      <c r="C71" s="180"/>
      <c r="D71" s="180"/>
      <c r="E71" s="180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7"/>
      <c r="U71" s="203"/>
      <c r="V71" s="203"/>
      <c r="W71" s="203"/>
      <c r="X71" s="203"/>
      <c r="Y71" s="203"/>
      <c r="Z71" s="203"/>
    </row>
    <row r="72" spans="3:26">
      <c r="C72" s="180"/>
      <c r="D72" s="180"/>
      <c r="E72" s="180"/>
      <c r="F72" s="173" t="s">
        <v>217</v>
      </c>
      <c r="G72" s="217">
        <v>140.82</v>
      </c>
      <c r="H72" s="217">
        <v>140.82</v>
      </c>
      <c r="I72" s="217">
        <v>140.82</v>
      </c>
      <c r="J72" s="217">
        <v>140.82</v>
      </c>
      <c r="K72" s="217">
        <v>140.82</v>
      </c>
      <c r="L72" s="217">
        <v>140.82</v>
      </c>
      <c r="M72" s="217">
        <v>140.82</v>
      </c>
      <c r="N72" s="217">
        <v>140.82</v>
      </c>
      <c r="O72" s="217">
        <v>140.82</v>
      </c>
      <c r="P72" s="217">
        <v>140.82</v>
      </c>
      <c r="Q72" s="217">
        <v>140.82</v>
      </c>
      <c r="R72" s="217">
        <v>140.82</v>
      </c>
      <c r="S72" s="203"/>
      <c r="T72" s="207"/>
      <c r="U72" s="203"/>
      <c r="V72" s="203"/>
      <c r="W72" s="203"/>
      <c r="X72" s="203"/>
      <c r="Y72" s="203"/>
      <c r="Z72" s="203"/>
    </row>
    <row r="73" spans="3:26">
      <c r="C73" s="180"/>
      <c r="D73" s="180"/>
      <c r="E73" s="180"/>
      <c r="F73" s="173" t="s">
        <v>218</v>
      </c>
      <c r="G73" s="217">
        <v>122.08734057144055</v>
      </c>
      <c r="H73" s="217">
        <v>120.23820565886822</v>
      </c>
      <c r="I73" s="217">
        <v>121.6068466561172</v>
      </c>
      <c r="J73" s="217">
        <v>121.89766780231825</v>
      </c>
      <c r="K73" s="217">
        <v>121.053222080287</v>
      </c>
      <c r="L73" s="217">
        <v>117.13272535253655</v>
      </c>
      <c r="M73" s="217">
        <v>116.73765993410686</v>
      </c>
      <c r="N73" s="217">
        <v>121.29669775746827</v>
      </c>
      <c r="O73" s="217">
        <v>117.98667300908163</v>
      </c>
      <c r="P73" s="217">
        <v>119.08484469872026</v>
      </c>
      <c r="Q73" s="217">
        <v>121.22171149144253</v>
      </c>
      <c r="R73" s="217">
        <v>102.13660080672732</v>
      </c>
      <c r="S73" s="203"/>
      <c r="T73" s="207"/>
      <c r="U73" s="203"/>
      <c r="V73" s="203"/>
      <c r="W73" s="203"/>
      <c r="X73" s="203"/>
      <c r="Y73" s="203"/>
      <c r="Z73" s="203"/>
    </row>
    <row r="74" spans="3:26">
      <c r="C74" s="180"/>
      <c r="D74" s="180"/>
      <c r="E74" s="180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7"/>
      <c r="U74" s="203"/>
      <c r="V74" s="203"/>
      <c r="W74" s="203"/>
      <c r="X74" s="203"/>
      <c r="Y74" s="203"/>
      <c r="Z74" s="203"/>
    </row>
    <row r="75" spans="3:26">
      <c r="C75" s="180"/>
      <c r="D75" s="180"/>
      <c r="E75" s="180"/>
      <c r="F75" s="174" t="str">
        <f>+F32</f>
        <v>Commercial</v>
      </c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7"/>
      <c r="U75" s="203"/>
      <c r="V75" s="203"/>
      <c r="W75" s="203"/>
      <c r="X75" s="203"/>
      <c r="Y75" s="203"/>
      <c r="Z75" s="203"/>
    </row>
    <row r="76" spans="3:26">
      <c r="C76" s="180"/>
      <c r="D76" s="180"/>
      <c r="E76" s="180"/>
      <c r="F76" s="173" t="str">
        <f>+F33</f>
        <v>Regulated Garbage</v>
      </c>
      <c r="G76" s="217">
        <v>140.82</v>
      </c>
      <c r="H76" s="217">
        <v>140.82</v>
      </c>
      <c r="I76" s="217">
        <v>140.82</v>
      </c>
      <c r="J76" s="217">
        <v>140.82</v>
      </c>
      <c r="K76" s="217">
        <v>140.82</v>
      </c>
      <c r="L76" s="217">
        <v>140.82</v>
      </c>
      <c r="M76" s="217">
        <v>140.82</v>
      </c>
      <c r="N76" s="217">
        <v>140.82</v>
      </c>
      <c r="O76" s="217">
        <v>140.82</v>
      </c>
      <c r="P76" s="217">
        <v>140.82</v>
      </c>
      <c r="Q76" s="217">
        <v>140.82</v>
      </c>
      <c r="R76" s="217">
        <v>140.82</v>
      </c>
      <c r="S76" s="203"/>
      <c r="T76" s="207"/>
      <c r="U76" s="203"/>
      <c r="V76" s="203"/>
      <c r="W76" s="203"/>
      <c r="X76" s="203"/>
      <c r="Y76" s="203"/>
      <c r="Z76" s="203"/>
    </row>
    <row r="77" spans="3:26">
      <c r="C77" s="180"/>
      <c r="D77" s="180"/>
      <c r="E77" s="180"/>
      <c r="F77" s="173" t="str">
        <f>+F34</f>
        <v>Unregulated Garbage</v>
      </c>
      <c r="G77" s="217">
        <v>140.82</v>
      </c>
      <c r="H77" s="217">
        <v>140.82</v>
      </c>
      <c r="I77" s="217">
        <v>140.82</v>
      </c>
      <c r="J77" s="217">
        <v>140.82</v>
      </c>
      <c r="K77" s="217">
        <v>140.82</v>
      </c>
      <c r="L77" s="217">
        <v>140.82</v>
      </c>
      <c r="M77" s="217">
        <v>140.82</v>
      </c>
      <c r="N77" s="217">
        <v>140.82</v>
      </c>
      <c r="O77" s="217">
        <v>140.82</v>
      </c>
      <c r="P77" s="217">
        <v>140.82</v>
      </c>
      <c r="Q77" s="217">
        <v>140.82</v>
      </c>
      <c r="R77" s="217">
        <v>140.82</v>
      </c>
      <c r="S77" s="203"/>
      <c r="T77" s="207"/>
      <c r="U77" s="203"/>
      <c r="V77" s="203"/>
      <c r="W77" s="203"/>
      <c r="X77" s="203"/>
      <c r="Y77" s="203"/>
      <c r="Z77" s="203"/>
    </row>
    <row r="78" spans="3:26">
      <c r="C78" s="180"/>
      <c r="D78" s="180"/>
      <c r="E78" s="180"/>
      <c r="F78" s="173" t="str">
        <f>+F36</f>
        <v>Regulated RCY (MF)</v>
      </c>
      <c r="G78" s="275">
        <v>116.77</v>
      </c>
      <c r="H78" s="217">
        <v>116.77</v>
      </c>
      <c r="I78" s="217">
        <v>116.77</v>
      </c>
      <c r="J78" s="217">
        <v>116.77</v>
      </c>
      <c r="K78" s="217">
        <v>116.77</v>
      </c>
      <c r="L78" s="217">
        <v>116.77</v>
      </c>
      <c r="M78" s="217">
        <v>116.77</v>
      </c>
      <c r="N78" s="217">
        <v>116.77</v>
      </c>
      <c r="O78" s="217">
        <v>116.77</v>
      </c>
      <c r="P78" s="217">
        <v>116.77</v>
      </c>
      <c r="Q78" s="217">
        <v>116.77</v>
      </c>
      <c r="R78" s="217">
        <v>116.77</v>
      </c>
      <c r="S78" s="203"/>
      <c r="T78" s="207"/>
      <c r="U78" s="203"/>
      <c r="V78" s="203"/>
      <c r="W78" s="203"/>
      <c r="X78" s="203"/>
      <c r="Y78" s="203"/>
      <c r="Z78" s="203"/>
    </row>
    <row r="79" spans="3:26">
      <c r="C79" s="180"/>
      <c r="D79" s="180"/>
      <c r="E79" s="180"/>
      <c r="F79" s="173" t="str">
        <f>+F37</f>
        <v>Unregulated RCY / COGS</v>
      </c>
      <c r="G79" s="216">
        <v>116.77</v>
      </c>
      <c r="H79" s="217">
        <v>116.77</v>
      </c>
      <c r="I79" s="217">
        <v>116.77</v>
      </c>
      <c r="J79" s="217">
        <v>116.77</v>
      </c>
      <c r="K79" s="217">
        <v>116.77</v>
      </c>
      <c r="L79" s="217">
        <v>116.77</v>
      </c>
      <c r="M79" s="217">
        <v>116.77</v>
      </c>
      <c r="N79" s="217">
        <v>116.77</v>
      </c>
      <c r="O79" s="217">
        <v>116.77</v>
      </c>
      <c r="P79" s="217">
        <v>116.77</v>
      </c>
      <c r="Q79" s="217">
        <v>116.77</v>
      </c>
      <c r="R79" s="217">
        <v>116.77</v>
      </c>
      <c r="S79" s="203"/>
      <c r="T79" s="207"/>
      <c r="U79" s="203"/>
      <c r="V79" s="203"/>
      <c r="W79" s="203"/>
      <c r="X79" s="203"/>
      <c r="Y79" s="203"/>
      <c r="Z79" s="203"/>
    </row>
    <row r="80" spans="3:26">
      <c r="C80" s="180"/>
      <c r="D80" s="180"/>
      <c r="E80" s="180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7"/>
      <c r="U80" s="203"/>
      <c r="V80" s="203"/>
      <c r="W80" s="203"/>
      <c r="X80" s="203"/>
      <c r="Y80" s="203"/>
      <c r="Z80" s="203"/>
    </row>
    <row r="81" spans="3:26">
      <c r="C81" s="180"/>
      <c r="D81" s="180"/>
      <c r="E81" s="180"/>
      <c r="F81" s="174" t="str">
        <f>+F42</f>
        <v>Residential</v>
      </c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7"/>
      <c r="U81" s="203"/>
      <c r="V81" s="203"/>
      <c r="W81" s="203"/>
      <c r="X81" s="203"/>
      <c r="Y81" s="203"/>
      <c r="Z81" s="203"/>
    </row>
    <row r="82" spans="3:26">
      <c r="C82" s="180"/>
      <c r="D82" s="180"/>
      <c r="E82" s="180"/>
      <c r="F82" s="173" t="str">
        <f>+F43</f>
        <v>Regulated Garbage</v>
      </c>
      <c r="G82" s="217">
        <v>140.82</v>
      </c>
      <c r="H82" s="217">
        <v>140.82</v>
      </c>
      <c r="I82" s="217">
        <v>140.82</v>
      </c>
      <c r="J82" s="217">
        <v>140.82</v>
      </c>
      <c r="K82" s="217">
        <v>140.82</v>
      </c>
      <c r="L82" s="217">
        <v>140.82</v>
      </c>
      <c r="M82" s="217">
        <v>140.82</v>
      </c>
      <c r="N82" s="217">
        <v>140.82</v>
      </c>
      <c r="O82" s="217">
        <v>140.82</v>
      </c>
      <c r="P82" s="217">
        <v>140.82</v>
      </c>
      <c r="Q82" s="217">
        <v>140.82</v>
      </c>
      <c r="R82" s="217">
        <v>140.82</v>
      </c>
      <c r="S82" s="203"/>
      <c r="T82" s="207"/>
      <c r="U82" s="203"/>
      <c r="V82" s="203"/>
      <c r="W82" s="203"/>
      <c r="X82" s="203"/>
      <c r="Y82" s="203"/>
      <c r="Z82" s="203"/>
    </row>
    <row r="83" spans="3:26">
      <c r="C83" s="180"/>
      <c r="D83" s="180"/>
      <c r="E83" s="180"/>
      <c r="F83" s="173" t="str">
        <f>+F44</f>
        <v>Unregulated Garbage</v>
      </c>
      <c r="G83" s="217">
        <v>140.82</v>
      </c>
      <c r="H83" s="217">
        <v>140.82</v>
      </c>
      <c r="I83" s="217">
        <v>140.82</v>
      </c>
      <c r="J83" s="217">
        <v>140.82</v>
      </c>
      <c r="K83" s="217">
        <v>140.82</v>
      </c>
      <c r="L83" s="217">
        <v>140.82</v>
      </c>
      <c r="M83" s="217">
        <v>140.82</v>
      </c>
      <c r="N83" s="217">
        <v>140.82</v>
      </c>
      <c r="O83" s="217">
        <v>140.82</v>
      </c>
      <c r="P83" s="217">
        <v>140.82</v>
      </c>
      <c r="Q83" s="217">
        <v>140.82</v>
      </c>
      <c r="R83" s="217">
        <v>140.82</v>
      </c>
      <c r="S83" s="203"/>
      <c r="T83" s="207"/>
      <c r="U83" s="203"/>
      <c r="V83" s="203"/>
      <c r="W83" s="203"/>
      <c r="X83" s="203"/>
      <c r="Y83" s="203"/>
      <c r="Z83" s="203"/>
    </row>
    <row r="84" spans="3:26">
      <c r="C84" s="180"/>
      <c r="D84" s="180"/>
      <c r="E84" s="180"/>
      <c r="F84" s="173" t="str">
        <f>+F46</f>
        <v>Regulated Yardwaste</v>
      </c>
      <c r="G84" s="216">
        <v>66.099999999999994</v>
      </c>
      <c r="H84" s="217">
        <v>66.099999999999994</v>
      </c>
      <c r="I84" s="217">
        <v>66.099999999999994</v>
      </c>
      <c r="J84" s="217">
        <v>66.099999999999994</v>
      </c>
      <c r="K84" s="217">
        <v>66.099999999999994</v>
      </c>
      <c r="L84" s="217">
        <v>66.099999999999994</v>
      </c>
      <c r="M84" s="217">
        <v>66.099999999999994</v>
      </c>
      <c r="N84" s="217">
        <v>66.099999999999994</v>
      </c>
      <c r="O84" s="217">
        <v>66.099999999999994</v>
      </c>
      <c r="P84" s="217">
        <v>66.099999999999994</v>
      </c>
      <c r="Q84" s="217">
        <v>66.099999999999994</v>
      </c>
      <c r="R84" s="217">
        <v>66.099999999999994</v>
      </c>
      <c r="S84" s="203"/>
      <c r="T84" s="207"/>
      <c r="U84" s="203"/>
      <c r="V84" s="203"/>
      <c r="W84" s="203"/>
      <c r="X84" s="203"/>
      <c r="Y84" s="203"/>
      <c r="Z84" s="203"/>
    </row>
    <row r="85" spans="3:26">
      <c r="C85" s="180"/>
      <c r="D85" s="180"/>
      <c r="E85" s="180"/>
      <c r="F85" s="173" t="str">
        <f>+F47</f>
        <v>Unregulated Yardwaste</v>
      </c>
      <c r="G85" s="216">
        <v>55.7</v>
      </c>
      <c r="H85" s="217">
        <v>55.7</v>
      </c>
      <c r="I85" s="217">
        <v>55.7</v>
      </c>
      <c r="J85" s="217">
        <v>55.7</v>
      </c>
      <c r="K85" s="217">
        <v>55.7</v>
      </c>
      <c r="L85" s="217">
        <v>55.7</v>
      </c>
      <c r="M85" s="217">
        <v>54.77</v>
      </c>
      <c r="N85" s="217">
        <v>54.77</v>
      </c>
      <c r="O85" s="217">
        <v>54.77</v>
      </c>
      <c r="P85" s="217">
        <v>54.77</v>
      </c>
      <c r="Q85" s="217">
        <v>54.77</v>
      </c>
      <c r="R85" s="217">
        <v>54.77</v>
      </c>
      <c r="S85" s="203"/>
      <c r="T85" s="207"/>
      <c r="U85" s="203"/>
      <c r="V85" s="203"/>
      <c r="W85" s="203"/>
      <c r="X85" s="203"/>
      <c r="Y85" s="203"/>
      <c r="Z85" s="203"/>
    </row>
    <row r="86" spans="3:26">
      <c r="C86" s="180"/>
      <c r="D86" s="180"/>
      <c r="E86" s="180"/>
      <c r="F86" s="173" t="str">
        <f>+F49</f>
        <v>Regulated RCY</v>
      </c>
      <c r="G86" s="276">
        <v>114.46</v>
      </c>
      <c r="H86" s="217">
        <v>114.46</v>
      </c>
      <c r="I86" s="217">
        <v>114.46</v>
      </c>
      <c r="J86" s="217">
        <v>114.46</v>
      </c>
      <c r="K86" s="217">
        <v>114.46</v>
      </c>
      <c r="L86" s="217">
        <v>114.46</v>
      </c>
      <c r="M86" s="217">
        <v>114.46</v>
      </c>
      <c r="N86" s="217">
        <v>114.46</v>
      </c>
      <c r="O86" s="217">
        <v>114.46</v>
      </c>
      <c r="P86" s="217">
        <v>114.46</v>
      </c>
      <c r="Q86" s="217">
        <v>114.46</v>
      </c>
      <c r="R86" s="217">
        <v>114.46</v>
      </c>
      <c r="S86" s="203"/>
      <c r="T86" s="207"/>
      <c r="U86" s="203"/>
      <c r="V86" s="203"/>
      <c r="W86" s="203"/>
      <c r="X86" s="203"/>
      <c r="Y86" s="203"/>
      <c r="Z86" s="203"/>
    </row>
    <row r="87" spans="3:26">
      <c r="C87" s="180"/>
      <c r="D87" s="180"/>
      <c r="E87" s="180"/>
      <c r="F87" s="173" t="str">
        <f>+F50</f>
        <v>Unregulated RCY</v>
      </c>
      <c r="G87" s="217">
        <v>114.46</v>
      </c>
      <c r="H87" s="217">
        <v>114.46</v>
      </c>
      <c r="I87" s="217">
        <v>114.46</v>
      </c>
      <c r="J87" s="217">
        <v>114.46</v>
      </c>
      <c r="K87" s="217">
        <v>114.46</v>
      </c>
      <c r="L87" s="217">
        <v>114.46</v>
      </c>
      <c r="M87" s="217">
        <v>114.46</v>
      </c>
      <c r="N87" s="217">
        <v>114.46</v>
      </c>
      <c r="O87" s="217">
        <v>114.46</v>
      </c>
      <c r="P87" s="217">
        <v>114.46</v>
      </c>
      <c r="Q87" s="217">
        <v>114.46</v>
      </c>
      <c r="R87" s="217">
        <v>114.46</v>
      </c>
      <c r="S87" s="203"/>
      <c r="T87" s="207"/>
      <c r="U87" s="203"/>
      <c r="V87" s="203"/>
      <c r="W87" s="203"/>
      <c r="X87" s="203"/>
      <c r="Y87" s="203"/>
      <c r="Z87" s="203"/>
    </row>
    <row r="88" spans="3:26">
      <c r="C88" s="180"/>
      <c r="D88" s="180"/>
      <c r="E88" s="180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7"/>
      <c r="U88" s="203"/>
      <c r="V88" s="203"/>
      <c r="W88" s="203"/>
      <c r="X88" s="203"/>
      <c r="Y88" s="203"/>
      <c r="Z88" s="203"/>
    </row>
    <row r="89" spans="3:26" ht="15.75" thickBot="1">
      <c r="C89" s="180"/>
      <c r="D89" s="180"/>
      <c r="E89" s="180"/>
      <c r="F89" s="181" t="s">
        <v>219</v>
      </c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1"/>
    </row>
    <row r="90" spans="3:26">
      <c r="C90" s="180"/>
      <c r="D90" s="180"/>
      <c r="E90" s="180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7"/>
      <c r="U90" s="203"/>
      <c r="V90" s="203"/>
      <c r="W90" s="203"/>
      <c r="X90" s="203"/>
      <c r="Y90" s="203"/>
      <c r="Z90" s="203"/>
    </row>
    <row r="91" spans="3:26">
      <c r="C91" s="180"/>
      <c r="D91" s="180"/>
      <c r="E91" s="180"/>
      <c r="F91" s="173" t="s">
        <v>220</v>
      </c>
      <c r="G91" s="203">
        <v>185187.62999999998</v>
      </c>
      <c r="H91" s="203">
        <v>141579.06</v>
      </c>
      <c r="I91" s="203">
        <v>182690.63999999998</v>
      </c>
      <c r="J91" s="203">
        <v>205328.25999999998</v>
      </c>
      <c r="K91" s="203">
        <v>205681.32</v>
      </c>
      <c r="L91" s="203">
        <v>228541.69999999998</v>
      </c>
      <c r="M91" s="203">
        <v>189349.04</v>
      </c>
      <c r="N91" s="203">
        <v>179390.56</v>
      </c>
      <c r="O91" s="203">
        <v>203165.50999999998</v>
      </c>
      <c r="P91" s="203">
        <v>171848.81999999998</v>
      </c>
      <c r="Q91" s="203">
        <v>195050.7</v>
      </c>
      <c r="R91" s="203">
        <v>163358.62</v>
      </c>
      <c r="S91" s="203"/>
      <c r="T91" s="184">
        <v>2251171.86</v>
      </c>
      <c r="U91" s="203"/>
      <c r="V91" s="203"/>
      <c r="W91" s="203"/>
      <c r="X91" s="203"/>
      <c r="Y91" s="203"/>
      <c r="Z91" s="203"/>
    </row>
    <row r="92" spans="3:26">
      <c r="C92" s="180"/>
      <c r="D92" s="180"/>
      <c r="E92" s="180"/>
      <c r="F92" s="186" t="s">
        <v>221</v>
      </c>
      <c r="G92" s="219">
        <v>170337.31</v>
      </c>
      <c r="H92" s="219">
        <v>143770.97999999998</v>
      </c>
      <c r="I92" s="219">
        <v>168446.19</v>
      </c>
      <c r="J92" s="219">
        <v>158479.62</v>
      </c>
      <c r="K92" s="219">
        <v>139839.28</v>
      </c>
      <c r="L92" s="219">
        <v>159813.16</v>
      </c>
      <c r="M92" s="219">
        <v>149607.39000000001</v>
      </c>
      <c r="N92" s="219">
        <v>152870.41999999998</v>
      </c>
      <c r="O92" s="219">
        <v>156741.10999999999</v>
      </c>
      <c r="P92" s="219">
        <v>151187.07</v>
      </c>
      <c r="Q92" s="219">
        <v>176445.99</v>
      </c>
      <c r="R92" s="219">
        <v>173211.97</v>
      </c>
      <c r="S92" s="219"/>
      <c r="T92" s="220">
        <v>1900750.49</v>
      </c>
      <c r="U92" s="203"/>
      <c r="V92" s="203"/>
      <c r="W92" s="203"/>
      <c r="X92" s="203"/>
      <c r="Y92" s="203"/>
      <c r="Z92" s="203"/>
    </row>
    <row r="93" spans="3:26">
      <c r="C93" s="180"/>
      <c r="D93" s="180"/>
      <c r="E93" s="180"/>
      <c r="F93" s="173" t="s">
        <v>17</v>
      </c>
      <c r="G93" s="203">
        <v>355524.93999999994</v>
      </c>
      <c r="H93" s="203">
        <v>285350.03999999998</v>
      </c>
      <c r="I93" s="203">
        <v>351136.82999999996</v>
      </c>
      <c r="J93" s="203">
        <v>363807.88</v>
      </c>
      <c r="K93" s="203">
        <v>345520.6</v>
      </c>
      <c r="L93" s="203">
        <v>388354.86</v>
      </c>
      <c r="M93" s="203">
        <v>338956.43000000005</v>
      </c>
      <c r="N93" s="203">
        <v>332260.98</v>
      </c>
      <c r="O93" s="203">
        <v>359906.62</v>
      </c>
      <c r="P93" s="203">
        <v>323035.89</v>
      </c>
      <c r="Q93" s="203">
        <v>371496.69</v>
      </c>
      <c r="R93" s="203">
        <v>336570.58999999997</v>
      </c>
      <c r="S93" s="203"/>
      <c r="T93" s="184">
        <v>4151922.35</v>
      </c>
      <c r="U93" s="203"/>
      <c r="V93" s="203"/>
      <c r="W93" s="203"/>
      <c r="X93" s="203"/>
      <c r="Y93" s="203"/>
      <c r="Z93" s="203"/>
    </row>
    <row r="94" spans="3:26">
      <c r="C94" s="180"/>
      <c r="D94" s="180"/>
      <c r="E94" s="180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7"/>
      <c r="U94" s="203"/>
      <c r="V94" s="203"/>
      <c r="W94" s="203"/>
      <c r="X94" s="203"/>
      <c r="Y94" s="203"/>
      <c r="Z94" s="203"/>
    </row>
    <row r="95" spans="3:26">
      <c r="C95" s="180"/>
      <c r="D95" s="180"/>
      <c r="E95" s="180"/>
      <c r="F95" s="173" t="s">
        <v>222</v>
      </c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7"/>
      <c r="U95" s="203"/>
      <c r="V95" s="203"/>
      <c r="W95" s="203"/>
      <c r="X95" s="203"/>
      <c r="Y95" s="203"/>
      <c r="Z95" s="203"/>
    </row>
    <row r="96" spans="3:26">
      <c r="C96" s="180"/>
      <c r="D96" s="180"/>
      <c r="E96" s="180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7"/>
      <c r="U96" s="203"/>
      <c r="V96" s="203"/>
      <c r="W96" s="203"/>
      <c r="X96" s="203"/>
      <c r="Y96" s="203"/>
      <c r="Z96" s="203"/>
    </row>
    <row r="97" spans="1:26">
      <c r="C97" s="180"/>
      <c r="D97" s="180"/>
      <c r="E97" s="180"/>
      <c r="F97" s="174" t="str">
        <f>+F66</f>
        <v>Roll-off / Industrial</v>
      </c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184"/>
      <c r="U97" s="203"/>
      <c r="V97" s="203"/>
      <c r="W97" s="203"/>
      <c r="X97" s="203"/>
      <c r="Y97" s="203"/>
      <c r="Z97" s="203"/>
    </row>
    <row r="98" spans="1:26">
      <c r="C98" s="180"/>
      <c r="D98" s="180"/>
      <c r="E98" s="180"/>
      <c r="F98" s="173" t="str">
        <f>+F67</f>
        <v>Regulated Garbage</v>
      </c>
      <c r="G98" s="203">
        <v>7497.2568000000001</v>
      </c>
      <c r="H98" s="203">
        <v>4417.5234000000009</v>
      </c>
      <c r="I98" s="203">
        <v>4131.6587999999992</v>
      </c>
      <c r="J98" s="203">
        <v>4410.4823999999999</v>
      </c>
      <c r="K98" s="203">
        <v>4928.7</v>
      </c>
      <c r="L98" s="203">
        <v>8184.4583999999986</v>
      </c>
      <c r="M98" s="203">
        <v>6541.0889999999999</v>
      </c>
      <c r="N98" s="203">
        <v>6845.2601999999997</v>
      </c>
      <c r="O98" s="203">
        <v>6825.5453999999982</v>
      </c>
      <c r="P98" s="203">
        <v>8071.8024000000014</v>
      </c>
      <c r="Q98" s="203">
        <v>6567.8448000000008</v>
      </c>
      <c r="R98" s="203">
        <v>6343.9410000000007</v>
      </c>
      <c r="S98" s="203"/>
      <c r="T98" s="184">
        <v>74765.562600000005</v>
      </c>
      <c r="U98" s="203"/>
      <c r="V98" s="203"/>
      <c r="W98" s="203"/>
      <c r="X98" s="203"/>
      <c r="Y98" s="203"/>
      <c r="Z98" s="203"/>
    </row>
    <row r="99" spans="1:26">
      <c r="C99" s="180"/>
      <c r="D99" s="180"/>
      <c r="E99" s="180"/>
      <c r="F99" s="221" t="s">
        <v>223</v>
      </c>
      <c r="G99" s="212">
        <v>-139356.88019999996</v>
      </c>
      <c r="H99" s="212">
        <v>-127444.91640000009</v>
      </c>
      <c r="I99" s="212">
        <v>-115128.79919999995</v>
      </c>
      <c r="J99" s="212">
        <v>-132618.6431999999</v>
      </c>
      <c r="K99" s="212">
        <v>-126274.70219999991</v>
      </c>
      <c r="L99" s="212">
        <v>-128454.59580000005</v>
      </c>
      <c r="M99" s="212">
        <v>-127651.9218</v>
      </c>
      <c r="N99" s="212">
        <v>-131759.64120000001</v>
      </c>
      <c r="O99" s="212">
        <v>-140089.14419999998</v>
      </c>
      <c r="P99" s="212">
        <v>-128175.77219999993</v>
      </c>
      <c r="Q99" s="212">
        <v>-130231.74420000002</v>
      </c>
      <c r="R99" s="212">
        <v>-132151.12080000003</v>
      </c>
      <c r="S99" s="212"/>
      <c r="T99" s="185">
        <v>-1559337.8813999998</v>
      </c>
      <c r="U99" s="203"/>
      <c r="V99" s="203"/>
      <c r="W99" s="203"/>
      <c r="X99" s="203"/>
      <c r="Y99" s="203"/>
      <c r="Z99" s="203"/>
    </row>
    <row r="100" spans="1:26">
      <c r="C100" s="180"/>
      <c r="D100" s="180"/>
      <c r="E100" s="180"/>
      <c r="F100" s="173" t="str">
        <f>+F68</f>
        <v>Unregulated Garbage</v>
      </c>
      <c r="G100" s="203">
        <v>137175.5784</v>
      </c>
      <c r="H100" s="203">
        <v>127799.78279999999</v>
      </c>
      <c r="I100" s="203">
        <v>114900.67079999999</v>
      </c>
      <c r="J100" s="203">
        <v>134861.90579999998</v>
      </c>
      <c r="K100" s="203">
        <v>126112.7592</v>
      </c>
      <c r="L100" s="203">
        <v>126707.01959999999</v>
      </c>
      <c r="M100" s="203">
        <v>127420.977</v>
      </c>
      <c r="N100" s="203">
        <v>132580.62179999996</v>
      </c>
      <c r="O100" s="203">
        <v>140158.14599999998</v>
      </c>
      <c r="P100" s="203">
        <v>129468.49979999998</v>
      </c>
      <c r="Q100" s="203">
        <v>130727.43060000002</v>
      </c>
      <c r="R100" s="203">
        <v>131924.40059999999</v>
      </c>
      <c r="S100" s="203"/>
      <c r="T100" s="184">
        <v>1559837.7923999999</v>
      </c>
      <c r="U100" s="203"/>
      <c r="V100" s="203"/>
      <c r="W100" s="203"/>
      <c r="X100" s="203"/>
      <c r="Y100" s="203"/>
      <c r="Z100" s="203"/>
    </row>
    <row r="101" spans="1:26">
      <c r="C101" s="180"/>
      <c r="D101" s="180"/>
      <c r="E101" s="180"/>
      <c r="F101" s="173" t="str">
        <f>+F69</f>
        <v>Regulated RCY (MF)</v>
      </c>
      <c r="G101" s="203">
        <v>0</v>
      </c>
      <c r="H101" s="203">
        <v>0</v>
      </c>
      <c r="I101" s="203">
        <v>0</v>
      </c>
      <c r="J101" s="203">
        <v>0</v>
      </c>
      <c r="K101" s="203">
        <v>0</v>
      </c>
      <c r="L101" s="203">
        <v>0</v>
      </c>
      <c r="M101" s="203">
        <v>0</v>
      </c>
      <c r="N101" s="203">
        <v>0</v>
      </c>
      <c r="O101" s="203">
        <v>0</v>
      </c>
      <c r="P101" s="203">
        <v>0</v>
      </c>
      <c r="Q101" s="203">
        <v>0</v>
      </c>
      <c r="R101" s="203">
        <v>0</v>
      </c>
      <c r="S101" s="203"/>
      <c r="T101" s="184">
        <v>0</v>
      </c>
      <c r="U101" s="203"/>
      <c r="V101" s="203"/>
      <c r="W101" s="203"/>
      <c r="X101" s="203"/>
      <c r="Y101" s="203"/>
      <c r="Z101" s="203"/>
    </row>
    <row r="102" spans="1:26">
      <c r="A102" s="180" t="str">
        <f>A23</f>
        <v>I</v>
      </c>
      <c r="B102" s="180" t="str">
        <f>B23</f>
        <v>RCY</v>
      </c>
      <c r="C102" s="180" t="str">
        <f>C23</f>
        <v>YW</v>
      </c>
      <c r="D102" s="180"/>
      <c r="E102" s="180"/>
      <c r="F102" s="186" t="str">
        <f>+F70</f>
        <v>Unregulated RCY / COGS</v>
      </c>
      <c r="G102" s="219">
        <v>87108.99</v>
      </c>
      <c r="H102" s="219">
        <v>99213.26</v>
      </c>
      <c r="I102" s="219">
        <v>95334.99</v>
      </c>
      <c r="J102" s="219">
        <v>99774.250000000015</v>
      </c>
      <c r="K102" s="219">
        <v>89662.48</v>
      </c>
      <c r="L102" s="219">
        <v>85981.590000000011</v>
      </c>
      <c r="M102" s="219">
        <v>78037.63</v>
      </c>
      <c r="N102" s="219">
        <v>66922.16</v>
      </c>
      <c r="O102" s="219">
        <v>88893.329999999987</v>
      </c>
      <c r="P102" s="219">
        <v>84946.420000000027</v>
      </c>
      <c r="Q102" s="219">
        <v>75581.11</v>
      </c>
      <c r="R102" s="219">
        <v>88490.66</v>
      </c>
      <c r="S102" s="219"/>
      <c r="T102" s="220">
        <v>1039946.87</v>
      </c>
      <c r="U102" s="203"/>
      <c r="V102" s="203"/>
      <c r="W102" s="203"/>
      <c r="X102" s="203"/>
      <c r="Y102" s="203"/>
      <c r="Z102" s="203"/>
    </row>
    <row r="103" spans="1:26">
      <c r="C103" s="180"/>
      <c r="D103" s="180"/>
      <c r="E103" s="180"/>
      <c r="F103" s="173" t="str">
        <f>+F25</f>
        <v>Total Roll-off / Industrial</v>
      </c>
      <c r="G103" s="203">
        <v>92424.945000000051</v>
      </c>
      <c r="H103" s="203">
        <v>103985.6497999999</v>
      </c>
      <c r="I103" s="203">
        <v>99238.520400000052</v>
      </c>
      <c r="J103" s="203">
        <v>106427.99500000008</v>
      </c>
      <c r="K103" s="203">
        <v>94429.237000000081</v>
      </c>
      <c r="L103" s="203">
        <v>92418.472199999946</v>
      </c>
      <c r="M103" s="203">
        <v>84347.7742</v>
      </c>
      <c r="N103" s="203">
        <v>74588.400799999959</v>
      </c>
      <c r="O103" s="203">
        <v>95787.877199999988</v>
      </c>
      <c r="P103" s="203">
        <v>94310.95000000007</v>
      </c>
      <c r="Q103" s="203">
        <v>82644.641200000013</v>
      </c>
      <c r="R103" s="203">
        <v>94607.88079999997</v>
      </c>
      <c r="S103" s="203"/>
      <c r="T103" s="184">
        <v>1115212.3436</v>
      </c>
      <c r="U103" s="203"/>
      <c r="V103" s="203"/>
      <c r="W103" s="203"/>
      <c r="X103" s="203"/>
      <c r="Y103" s="203"/>
      <c r="Z103" s="203"/>
    </row>
    <row r="104" spans="1:26">
      <c r="C104" s="180"/>
      <c r="D104" s="180"/>
      <c r="E104" s="180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7"/>
      <c r="U104" s="203"/>
      <c r="V104" s="203"/>
      <c r="W104" s="203"/>
      <c r="X104" s="203"/>
      <c r="Y104" s="203"/>
      <c r="Z104" s="203"/>
    </row>
    <row r="105" spans="1:26">
      <c r="A105" s="180" t="str">
        <f>A18</f>
        <v>I</v>
      </c>
      <c r="B105" s="180" t="str">
        <f>+B18</f>
        <v>MSW</v>
      </c>
      <c r="C105" s="180">
        <v>20</v>
      </c>
      <c r="D105" s="180">
        <v>25</v>
      </c>
      <c r="E105" s="180"/>
      <c r="F105" s="173" t="s">
        <v>224</v>
      </c>
      <c r="G105" s="203">
        <v>7497.2568000000001</v>
      </c>
      <c r="H105" s="203">
        <v>4417.5234000000009</v>
      </c>
      <c r="I105" s="203">
        <v>4131.6587999999992</v>
      </c>
      <c r="J105" s="203">
        <v>4410.4823999999999</v>
      </c>
      <c r="K105" s="203">
        <v>4928.7</v>
      </c>
      <c r="L105" s="203">
        <v>8184.4583999999986</v>
      </c>
      <c r="M105" s="203">
        <v>6541.0889999999999</v>
      </c>
      <c r="N105" s="203">
        <v>6845.2601999999997</v>
      </c>
      <c r="O105" s="203">
        <v>6825.5453999999982</v>
      </c>
      <c r="P105" s="203">
        <v>8071.8024000000014</v>
      </c>
      <c r="Q105" s="203">
        <v>6567.8448000000008</v>
      </c>
      <c r="R105" s="203">
        <v>6343.9410000000007</v>
      </c>
      <c r="S105" s="203"/>
      <c r="T105" s="184">
        <v>74765.562600000005</v>
      </c>
      <c r="U105" s="203"/>
      <c r="V105" s="203"/>
      <c r="W105" s="203"/>
      <c r="X105" s="203"/>
      <c r="Y105" s="203"/>
      <c r="Z105" s="203"/>
    </row>
    <row r="106" spans="1:26">
      <c r="C106" s="180"/>
      <c r="D106" s="180"/>
      <c r="E106" s="180"/>
      <c r="F106" s="173" t="s">
        <v>225</v>
      </c>
      <c r="G106" s="203">
        <v>233218.56320000003</v>
      </c>
      <c r="H106" s="203">
        <v>240524.50660000002</v>
      </c>
      <c r="I106" s="203">
        <v>225166.02120000002</v>
      </c>
      <c r="J106" s="203">
        <v>249022.30759999994</v>
      </c>
      <c r="K106" s="203">
        <v>222695.56</v>
      </c>
      <c r="L106" s="203">
        <v>214056.5416</v>
      </c>
      <c r="M106" s="203">
        <v>203736.40100000001</v>
      </c>
      <c r="N106" s="203">
        <v>206512.4798</v>
      </c>
      <c r="O106" s="203">
        <v>229434.52459999998</v>
      </c>
      <c r="P106" s="203">
        <v>224173.64759999997</v>
      </c>
      <c r="Q106" s="203">
        <v>217654.79519999999</v>
      </c>
      <c r="R106" s="203">
        <v>224092.80899999998</v>
      </c>
      <c r="S106" s="203"/>
      <c r="T106" s="184">
        <v>2690288.1573999999</v>
      </c>
      <c r="U106" s="203"/>
      <c r="V106" s="203"/>
      <c r="W106" s="203"/>
      <c r="X106" s="203"/>
      <c r="Y106" s="203"/>
      <c r="Z106" s="203"/>
    </row>
    <row r="107" spans="1:26">
      <c r="A107" s="180" t="s">
        <v>192</v>
      </c>
      <c r="C107" s="180"/>
      <c r="D107" s="180"/>
      <c r="E107" s="180"/>
      <c r="F107" s="277" t="str">
        <f>+F30</f>
        <v>Total Roll-off / Industrial Pass Thru Disp.</v>
      </c>
      <c r="G107" s="278">
        <v>240715.82000000004</v>
      </c>
      <c r="H107" s="278">
        <v>244942.03000000003</v>
      </c>
      <c r="I107" s="278">
        <v>229297.68000000002</v>
      </c>
      <c r="J107" s="278">
        <v>253432.78999999995</v>
      </c>
      <c r="K107" s="278">
        <v>227624.26</v>
      </c>
      <c r="L107" s="278">
        <v>222241</v>
      </c>
      <c r="M107" s="278">
        <v>210277.49000000002</v>
      </c>
      <c r="N107" s="278">
        <v>213357.74</v>
      </c>
      <c r="O107" s="278">
        <v>236260.06999999998</v>
      </c>
      <c r="P107" s="278">
        <v>232245.44999999998</v>
      </c>
      <c r="Q107" s="278">
        <v>224222.63999999998</v>
      </c>
      <c r="R107" s="278">
        <v>230436.74999999997</v>
      </c>
      <c r="S107" s="278"/>
      <c r="T107" s="279">
        <v>2765053.72</v>
      </c>
      <c r="U107" s="203"/>
      <c r="V107" s="203"/>
      <c r="W107" s="203"/>
      <c r="X107" s="203"/>
      <c r="Y107" s="203"/>
      <c r="Z107" s="203"/>
    </row>
    <row r="108" spans="1:26">
      <c r="C108" s="180"/>
      <c r="D108" s="180"/>
      <c r="E108" s="180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80"/>
      <c r="U108" s="203"/>
      <c r="V108" s="203"/>
      <c r="W108" s="203"/>
      <c r="X108" s="203"/>
      <c r="Y108" s="203"/>
      <c r="Z108" s="203"/>
    </row>
    <row r="109" spans="1:26">
      <c r="C109" s="180"/>
      <c r="D109" s="180"/>
      <c r="E109" s="180"/>
      <c r="F109" s="174" t="str">
        <f>+F75</f>
        <v>Commercial</v>
      </c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7"/>
      <c r="U109" s="203"/>
      <c r="V109" s="203"/>
      <c r="W109" s="203"/>
      <c r="X109" s="203"/>
      <c r="Y109" s="203"/>
      <c r="Z109" s="203"/>
    </row>
    <row r="110" spans="1:26">
      <c r="C110" s="180"/>
      <c r="D110" s="180"/>
      <c r="E110" s="180"/>
      <c r="F110" s="173" t="str">
        <f>+F76</f>
        <v>Regulated Garbage</v>
      </c>
      <c r="G110" s="203">
        <v>7140.1808879427272</v>
      </c>
      <c r="H110" s="203">
        <v>6097.7451315355829</v>
      </c>
      <c r="I110" s="203">
        <v>5837.2259518948276</v>
      </c>
      <c r="J110" s="203">
        <v>7408.3129406473308</v>
      </c>
      <c r="K110" s="203">
        <v>6300.2565839562958</v>
      </c>
      <c r="L110" s="203">
        <v>7885.8842165891811</v>
      </c>
      <c r="M110" s="203">
        <v>7795.2536550671875</v>
      </c>
      <c r="N110" s="203">
        <v>8047.3515174633103</v>
      </c>
      <c r="O110" s="203">
        <v>8624.5449215420595</v>
      </c>
      <c r="P110" s="203">
        <v>9852.6412592413963</v>
      </c>
      <c r="Q110" s="203">
        <v>8304.6296089950229</v>
      </c>
      <c r="R110" s="203">
        <v>11622.670982043164</v>
      </c>
      <c r="S110" s="203"/>
      <c r="T110" s="184">
        <v>94916.697656918084</v>
      </c>
      <c r="U110" s="203"/>
      <c r="V110" s="203"/>
      <c r="W110" s="203"/>
      <c r="X110" s="203"/>
      <c r="Y110" s="203"/>
      <c r="Z110" s="203"/>
    </row>
    <row r="111" spans="1:26">
      <c r="C111" s="180"/>
      <c r="D111" s="180"/>
      <c r="E111" s="180"/>
      <c r="F111" s="221" t="s">
        <v>223</v>
      </c>
      <c r="G111" s="212">
        <v>-247328.9502032586</v>
      </c>
      <c r="H111" s="212">
        <v>-232281.29703970172</v>
      </c>
      <c r="I111" s="212">
        <v>-217751.97704748242</v>
      </c>
      <c r="J111" s="212">
        <v>-263883.66751017899</v>
      </c>
      <c r="K111" s="212">
        <v>-254934.60492714299</v>
      </c>
      <c r="L111" s="212">
        <v>-251477.03776729904</v>
      </c>
      <c r="M111" s="212">
        <v>-275591.06891926524</v>
      </c>
      <c r="N111" s="212">
        <v>-258983.20938569179</v>
      </c>
      <c r="O111" s="212">
        <v>-272125.47140817513</v>
      </c>
      <c r="P111" s="212">
        <v>-267808.96040873718</v>
      </c>
      <c r="Q111" s="212">
        <v>-251990.10354668903</v>
      </c>
      <c r="R111" s="212">
        <v>-287217.03809628502</v>
      </c>
      <c r="S111" s="212"/>
      <c r="T111" s="185">
        <v>-3081373.3862599074</v>
      </c>
      <c r="U111" s="203"/>
      <c r="V111" s="203"/>
      <c r="W111" s="203"/>
      <c r="X111" s="203"/>
      <c r="Y111" s="203"/>
      <c r="Z111" s="203"/>
    </row>
    <row r="112" spans="1:26">
      <c r="C112" s="180"/>
      <c r="D112" s="180"/>
      <c r="E112" s="180"/>
      <c r="F112" s="173" t="str">
        <f>+F77</f>
        <v>Unregulated Garbage</v>
      </c>
      <c r="G112" s="203">
        <v>247576.02864475263</v>
      </c>
      <c r="H112" s="203">
        <v>232482.10927954502</v>
      </c>
      <c r="I112" s="203">
        <v>218041.00404542335</v>
      </c>
      <c r="J112" s="203">
        <v>264097.54426337103</v>
      </c>
      <c r="K112" s="203">
        <v>255151.76092528811</v>
      </c>
      <c r="L112" s="203">
        <v>251643.7798568513</v>
      </c>
      <c r="M112" s="203">
        <v>275814.99818671204</v>
      </c>
      <c r="N112" s="203">
        <v>259264.26153513562</v>
      </c>
      <c r="O112" s="203">
        <v>272375.36397009622</v>
      </c>
      <c r="P112" s="203">
        <v>268606.13183899468</v>
      </c>
      <c r="Q112" s="203">
        <v>252163.41814023739</v>
      </c>
      <c r="R112" s="203">
        <v>287217.03809628502</v>
      </c>
      <c r="S112" s="203"/>
      <c r="T112" s="184">
        <v>3084433.438782692</v>
      </c>
      <c r="U112" s="203"/>
      <c r="V112" s="203"/>
      <c r="W112" s="203"/>
      <c r="X112" s="203"/>
      <c r="Y112" s="203"/>
      <c r="Z112" s="203"/>
    </row>
    <row r="113" spans="3:26">
      <c r="C113" s="180"/>
      <c r="D113" s="180"/>
      <c r="E113" s="180"/>
      <c r="F113" s="173" t="str">
        <f>+F78</f>
        <v>Regulated RCY (MF)</v>
      </c>
      <c r="G113" s="203">
        <v>694.49678707949192</v>
      </c>
      <c r="H113" s="203">
        <v>868.3565288064126</v>
      </c>
      <c r="I113" s="203">
        <v>646.69915175715289</v>
      </c>
      <c r="J113" s="203">
        <v>761.22469240361193</v>
      </c>
      <c r="K113" s="203">
        <v>740.7199985720589</v>
      </c>
      <c r="L113" s="203">
        <v>660.61840658267568</v>
      </c>
      <c r="M113" s="203">
        <v>811.03192875224829</v>
      </c>
      <c r="N113" s="203">
        <v>639.00322911678597</v>
      </c>
      <c r="O113" s="203">
        <v>650.93220000168628</v>
      </c>
      <c r="P113" s="203">
        <v>719.42657844852397</v>
      </c>
      <c r="Q113" s="203">
        <v>759.95428696291742</v>
      </c>
      <c r="R113" s="203">
        <v>991.85989116746873</v>
      </c>
      <c r="S113" s="203"/>
      <c r="T113" s="184">
        <v>8944.3236796510355</v>
      </c>
      <c r="U113" s="203"/>
      <c r="V113" s="203"/>
      <c r="W113" s="203"/>
      <c r="X113" s="203"/>
      <c r="Y113" s="203"/>
      <c r="Z113" s="203"/>
    </row>
    <row r="114" spans="3:26">
      <c r="C114" s="180"/>
      <c r="D114" s="180"/>
      <c r="E114" s="180"/>
      <c r="F114" s="186" t="str">
        <f>+F79</f>
        <v>Unregulated RCY / COGS</v>
      </c>
      <c r="G114" s="219">
        <v>16562.508924553793</v>
      </c>
      <c r="H114" s="219">
        <v>15443.920456534071</v>
      </c>
      <c r="I114" s="219">
        <v>13063.016373158427</v>
      </c>
      <c r="J114" s="219">
        <v>15583.018972825454</v>
      </c>
      <c r="K114" s="219">
        <v>13507.179659910156</v>
      </c>
      <c r="L114" s="219">
        <v>13197.636500792007</v>
      </c>
      <c r="M114" s="219">
        <v>14102.477536525395</v>
      </c>
      <c r="N114" s="219">
        <v>13255.826735338083</v>
      </c>
      <c r="O114" s="219">
        <v>13774.290377164398</v>
      </c>
      <c r="P114" s="219">
        <v>14117.295490345788</v>
      </c>
      <c r="Q114" s="219">
        <v>14267.364216344638</v>
      </c>
      <c r="R114" s="219">
        <v>16613.885788700776</v>
      </c>
      <c r="S114" s="219"/>
      <c r="T114" s="220">
        <v>173488.421032193</v>
      </c>
      <c r="U114" s="203"/>
      <c r="V114" s="203"/>
      <c r="W114" s="203"/>
      <c r="X114" s="203"/>
      <c r="Y114" s="203"/>
      <c r="Z114" s="203"/>
    </row>
    <row r="115" spans="3:26">
      <c r="C115" s="180"/>
      <c r="D115" s="180"/>
      <c r="E115" s="180"/>
      <c r="F115" s="173" t="str">
        <f>+F39</f>
        <v>Total Commercial per Disposal Report</v>
      </c>
      <c r="G115" s="203">
        <v>24644.265041070037</v>
      </c>
      <c r="H115" s="203">
        <v>22610.834356719359</v>
      </c>
      <c r="I115" s="203">
        <v>19835.968474751342</v>
      </c>
      <c r="J115" s="203">
        <v>23966.43335906844</v>
      </c>
      <c r="K115" s="203">
        <v>20765.312240583633</v>
      </c>
      <c r="L115" s="203">
        <v>21910.881213516121</v>
      </c>
      <c r="M115" s="203">
        <v>22932.692387791627</v>
      </c>
      <c r="N115" s="203">
        <v>22223.233631362004</v>
      </c>
      <c r="O115" s="203">
        <v>23299.660060629227</v>
      </c>
      <c r="P115" s="203">
        <v>25486.534758293194</v>
      </c>
      <c r="Q115" s="203">
        <v>23505.262705850939</v>
      </c>
      <c r="R115" s="203">
        <v>29228.416661911389</v>
      </c>
      <c r="S115" s="203"/>
      <c r="T115" s="184">
        <v>280409.49489154731</v>
      </c>
      <c r="U115" s="203"/>
      <c r="V115" s="203"/>
      <c r="W115" s="203"/>
      <c r="X115" s="203"/>
      <c r="Y115" s="203"/>
      <c r="Z115" s="203"/>
    </row>
    <row r="116" spans="3:26">
      <c r="C116" s="180"/>
      <c r="D116" s="180"/>
      <c r="E116" s="180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7"/>
      <c r="U116" s="203"/>
      <c r="V116" s="203"/>
      <c r="W116" s="203"/>
      <c r="X116" s="203"/>
      <c r="Y116" s="203"/>
      <c r="Z116" s="203"/>
    </row>
    <row r="117" spans="3:26">
      <c r="C117" s="180"/>
      <c r="D117" s="180"/>
      <c r="E117" s="180"/>
      <c r="F117" s="174" t="str">
        <f>+F81</f>
        <v>Residential</v>
      </c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7"/>
      <c r="U117" s="203"/>
      <c r="X117" s="203"/>
      <c r="Y117" s="203"/>
      <c r="Z117" s="203"/>
    </row>
    <row r="118" spans="3:26">
      <c r="C118" s="180"/>
      <c r="D118" s="180"/>
      <c r="E118" s="180"/>
      <c r="F118" s="173" t="str">
        <f>+F82</f>
        <v>Regulated Garbage</v>
      </c>
      <c r="G118" s="203">
        <v>53090.526102454278</v>
      </c>
      <c r="H118" s="203">
        <v>51811.256947074275</v>
      </c>
      <c r="I118" s="203">
        <v>43330.283079163768</v>
      </c>
      <c r="J118" s="203">
        <v>51336.95538402591</v>
      </c>
      <c r="K118" s="203">
        <v>55297.889832933295</v>
      </c>
      <c r="L118" s="203">
        <v>48607.25534745567</v>
      </c>
      <c r="M118" s="203">
        <v>53083.916915422487</v>
      </c>
      <c r="N118" s="203">
        <v>54268.91157794703</v>
      </c>
      <c r="O118" s="203">
        <v>50989.230301244366</v>
      </c>
      <c r="P118" s="203">
        <v>57939.822740658623</v>
      </c>
      <c r="Q118" s="203">
        <v>51739.524449411641</v>
      </c>
      <c r="R118" s="203">
        <v>50359.060377176364</v>
      </c>
      <c r="S118" s="203"/>
      <c r="T118" s="184">
        <v>621854.63305496774</v>
      </c>
      <c r="U118" s="203"/>
      <c r="V118" s="203"/>
      <c r="W118" s="203"/>
      <c r="X118" s="203"/>
      <c r="Y118" s="203"/>
      <c r="Z118" s="203"/>
    </row>
    <row r="119" spans="3:26">
      <c r="C119" s="180"/>
      <c r="D119" s="180"/>
      <c r="E119" s="180"/>
      <c r="F119" s="221" t="s">
        <v>223</v>
      </c>
      <c r="G119" s="212">
        <v>-143892.01651260059</v>
      </c>
      <c r="H119" s="212">
        <v>-138158.95684151366</v>
      </c>
      <c r="I119" s="212">
        <v>-117575.93787405954</v>
      </c>
      <c r="J119" s="212">
        <v>-130972.94654160753</v>
      </c>
      <c r="K119" s="212">
        <v>-130446.34667693613</v>
      </c>
      <c r="L119" s="212">
        <v>-127105.7918220362</v>
      </c>
      <c r="M119" s="212">
        <v>-140387.74456214279</v>
      </c>
      <c r="N119" s="212">
        <v>-138684.01906844249</v>
      </c>
      <c r="O119" s="212">
        <v>-130734.0490479258</v>
      </c>
      <c r="P119" s="212">
        <v>-124653.03598753815</v>
      </c>
      <c r="Q119" s="212">
        <v>-111820.04990104916</v>
      </c>
      <c r="R119" s="212">
        <v>-138270.04067555594</v>
      </c>
      <c r="S119" s="212"/>
      <c r="T119" s="185">
        <v>-1572700.9355114079</v>
      </c>
      <c r="U119" s="203"/>
      <c r="V119" s="203"/>
      <c r="W119" s="203"/>
      <c r="X119" s="203"/>
      <c r="Y119" s="203"/>
      <c r="Z119" s="203"/>
    </row>
    <row r="120" spans="3:26">
      <c r="C120" s="180"/>
      <c r="D120" s="180"/>
      <c r="E120" s="180"/>
      <c r="F120" s="173" t="str">
        <f>+F83</f>
        <v>Unregulated Garbage</v>
      </c>
      <c r="G120" s="203">
        <v>153702.79807818591</v>
      </c>
      <c r="H120" s="203">
        <v>147182.93961772864</v>
      </c>
      <c r="I120" s="203">
        <v>125750.57217826297</v>
      </c>
      <c r="J120" s="203">
        <v>142333.30604343599</v>
      </c>
      <c r="K120" s="203">
        <v>140952.07869540752</v>
      </c>
      <c r="L120" s="203">
        <v>138109.44390370045</v>
      </c>
      <c r="M120" s="203">
        <v>150985.24168567365</v>
      </c>
      <c r="N120" s="203">
        <v>148057.30669638107</v>
      </c>
      <c r="O120" s="203">
        <v>142551.11020445902</v>
      </c>
      <c r="P120" s="203">
        <v>135216.17642097652</v>
      </c>
      <c r="Q120" s="203">
        <v>111820.04990104916</v>
      </c>
      <c r="R120" s="203">
        <v>138270.04067555594</v>
      </c>
      <c r="S120" s="203"/>
      <c r="T120" s="184">
        <v>1674931.0641008168</v>
      </c>
      <c r="U120" s="203"/>
      <c r="V120" s="203"/>
      <c r="W120" s="203"/>
      <c r="X120" s="203"/>
      <c r="Y120" s="203"/>
      <c r="Z120" s="203"/>
    </row>
    <row r="121" spans="3:26">
      <c r="C121" s="180"/>
      <c r="D121" s="180"/>
      <c r="E121" s="180"/>
      <c r="F121" s="173" t="str">
        <f>+F84</f>
        <v>Regulated Yardwaste</v>
      </c>
      <c r="G121" s="203">
        <v>11767.640379400227</v>
      </c>
      <c r="H121" s="203">
        <v>7842.6810800693429</v>
      </c>
      <c r="I121" s="203">
        <v>4847.5772256927039</v>
      </c>
      <c r="J121" s="203">
        <v>8944.1957101029966</v>
      </c>
      <c r="K121" s="203">
        <v>13348.244001300442</v>
      </c>
      <c r="L121" s="203">
        <v>16991.300950756504</v>
      </c>
      <c r="M121" s="203">
        <v>17092.926558550138</v>
      </c>
      <c r="N121" s="203">
        <v>10759.591835215198</v>
      </c>
      <c r="O121" s="203">
        <v>10225.804850689528</v>
      </c>
      <c r="P121" s="203">
        <v>7448.5256071660315</v>
      </c>
      <c r="Q121" s="203">
        <v>9428.6309967643101</v>
      </c>
      <c r="R121" s="203">
        <v>13501.415470224185</v>
      </c>
      <c r="S121" s="203"/>
      <c r="T121" s="184">
        <v>132198.5346659316</v>
      </c>
      <c r="U121" s="203"/>
      <c r="V121" s="203"/>
      <c r="W121" s="203"/>
      <c r="X121" s="203"/>
      <c r="Y121" s="203"/>
      <c r="Z121" s="203"/>
    </row>
    <row r="122" spans="3:26">
      <c r="C122" s="180"/>
      <c r="D122" s="180"/>
      <c r="E122" s="180"/>
      <c r="F122" s="173" t="str">
        <f>+F85</f>
        <v>Unregulated Yardwaste</v>
      </c>
      <c r="G122" s="203">
        <v>66431.600040913603</v>
      </c>
      <c r="H122" s="203">
        <v>48150.071989598007</v>
      </c>
      <c r="I122" s="203">
        <v>35580.763779523717</v>
      </c>
      <c r="J122" s="203">
        <v>66159.223001363047</v>
      </c>
      <c r="K122" s="203">
        <v>94569.105378601074</v>
      </c>
      <c r="L122" s="203">
        <v>106600.44814155198</v>
      </c>
      <c r="M122" s="203">
        <v>98908.900723548169</v>
      </c>
      <c r="N122" s="203">
        <v>75878.135684909386</v>
      </c>
      <c r="O122" s="203">
        <v>63263.139021437506</v>
      </c>
      <c r="P122" s="203">
        <v>67508.070833741906</v>
      </c>
      <c r="Q122" s="203">
        <v>66517.409591925811</v>
      </c>
      <c r="R122" s="203">
        <v>97827.969970993057</v>
      </c>
      <c r="S122" s="203"/>
      <c r="T122" s="184">
        <v>887394.83815810736</v>
      </c>
      <c r="U122" s="203"/>
      <c r="V122" s="203"/>
      <c r="W122" s="203"/>
      <c r="X122" s="203"/>
      <c r="Y122" s="203"/>
      <c r="Z122" s="203"/>
    </row>
    <row r="123" spans="3:26">
      <c r="C123" s="180"/>
      <c r="D123" s="180"/>
      <c r="E123" s="180"/>
      <c r="F123" s="173" t="str">
        <f>+F86</f>
        <v>Regulated RCY</v>
      </c>
      <c r="G123" s="203">
        <v>16386.388963753896</v>
      </c>
      <c r="H123" s="203">
        <v>16320.42798394624</v>
      </c>
      <c r="I123" s="203">
        <v>13763.706154890209</v>
      </c>
      <c r="J123" s="203">
        <v>18593.349700428658</v>
      </c>
      <c r="K123" s="203">
        <v>16642.00378793036</v>
      </c>
      <c r="L123" s="203">
        <v>13453.906583683336</v>
      </c>
      <c r="M123" s="203">
        <v>12788.48113463612</v>
      </c>
      <c r="N123" s="203">
        <v>11994.175656191983</v>
      </c>
      <c r="O123" s="203">
        <v>15687.887360279861</v>
      </c>
      <c r="P123" s="203">
        <v>14776.084208158863</v>
      </c>
      <c r="Q123" s="203">
        <v>13814.545049277012</v>
      </c>
      <c r="R123" s="203">
        <v>14170.597935939808</v>
      </c>
      <c r="S123" s="203"/>
      <c r="T123" s="184">
        <v>178391.55451911635</v>
      </c>
      <c r="U123" s="203"/>
      <c r="V123" s="203"/>
      <c r="W123" s="203"/>
      <c r="X123" s="203"/>
      <c r="Y123" s="203"/>
      <c r="Z123" s="203"/>
    </row>
    <row r="124" spans="3:26">
      <c r="C124" s="180"/>
      <c r="D124" s="180"/>
      <c r="E124" s="180"/>
      <c r="F124" s="186" t="str">
        <f>+F87</f>
        <v>Unregulated RCY</v>
      </c>
      <c r="G124" s="219">
        <v>82270.758091189084</v>
      </c>
      <c r="H124" s="219">
        <v>85245.586813178816</v>
      </c>
      <c r="I124" s="219">
        <v>71472.33729720008</v>
      </c>
      <c r="J124" s="219">
        <v>82250.218412882983</v>
      </c>
      <c r="K124" s="219">
        <v>77704.725090951368</v>
      </c>
      <c r="L124" s="219">
        <v>74513.574739463598</v>
      </c>
      <c r="M124" s="219">
        <v>77759.491454332907</v>
      </c>
      <c r="N124" s="219">
        <v>75829.809111647046</v>
      </c>
      <c r="O124" s="219">
        <v>77926.311991691866</v>
      </c>
      <c r="P124" s="219">
        <v>75610.453058167273</v>
      </c>
      <c r="Q124" s="219">
        <v>71216.469485796013</v>
      </c>
      <c r="R124" s="219">
        <v>78473.135422008068</v>
      </c>
      <c r="S124" s="219"/>
      <c r="T124" s="220">
        <v>930272.87096850923</v>
      </c>
      <c r="U124" s="203"/>
      <c r="V124" s="203"/>
      <c r="W124" s="203"/>
      <c r="X124" s="203"/>
      <c r="Y124" s="203"/>
      <c r="Z124" s="203"/>
    </row>
    <row r="125" spans="3:26">
      <c r="C125" s="180"/>
      <c r="D125" s="180"/>
      <c r="E125" s="180"/>
      <c r="F125" s="173" t="str">
        <f>+F52</f>
        <v>Total Residential per Disposal Report</v>
      </c>
      <c r="G125" s="203">
        <v>239757.69514329638</v>
      </c>
      <c r="H125" s="203">
        <v>218394.00759008169</v>
      </c>
      <c r="I125" s="203">
        <v>177169.3018406739</v>
      </c>
      <c r="J125" s="203">
        <v>238644.30171063205</v>
      </c>
      <c r="K125" s="203">
        <v>268067.70011018793</v>
      </c>
      <c r="L125" s="203">
        <v>271170.13784457534</v>
      </c>
      <c r="M125" s="203">
        <v>270231.21391002071</v>
      </c>
      <c r="N125" s="203">
        <v>238103.91149384921</v>
      </c>
      <c r="O125" s="203">
        <v>229909.43468187633</v>
      </c>
      <c r="P125" s="203">
        <v>233846.09688133106</v>
      </c>
      <c r="Q125" s="203">
        <v>212716.57957317476</v>
      </c>
      <c r="R125" s="203">
        <v>254332.17917634151</v>
      </c>
      <c r="S125" s="203"/>
      <c r="T125" s="184">
        <v>2852342.5599560412</v>
      </c>
      <c r="U125" s="203"/>
      <c r="V125" s="203"/>
      <c r="W125" s="203"/>
      <c r="X125" s="203"/>
      <c r="Y125" s="203"/>
      <c r="Z125" s="203"/>
    </row>
    <row r="126" spans="3:26">
      <c r="C126" s="180"/>
      <c r="D126" s="180"/>
      <c r="E126" s="180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7"/>
      <c r="U126" s="203"/>
      <c r="V126" s="203"/>
      <c r="W126" s="203"/>
      <c r="X126" s="203"/>
      <c r="Y126" s="203"/>
      <c r="Z126" s="203"/>
    </row>
    <row r="127" spans="3:26">
      <c r="C127" s="180"/>
      <c r="D127" s="180"/>
      <c r="E127" s="180"/>
      <c r="F127" s="173" t="s">
        <v>226</v>
      </c>
      <c r="G127" s="203">
        <v>96576.489920630615</v>
      </c>
      <c r="H127" s="203">
        <v>87357.991071431854</v>
      </c>
      <c r="I127" s="203">
        <v>72557.150363398658</v>
      </c>
      <c r="J127" s="203">
        <v>91454.520827608518</v>
      </c>
      <c r="K127" s="203">
        <v>97257.814204692448</v>
      </c>
      <c r="L127" s="203">
        <v>95783.423905067364</v>
      </c>
      <c r="M127" s="203">
        <v>98112.69919242819</v>
      </c>
      <c r="N127" s="203">
        <v>92554.294015934312</v>
      </c>
      <c r="O127" s="203">
        <v>93003.945033757496</v>
      </c>
      <c r="P127" s="203">
        <v>98808.302793673443</v>
      </c>
      <c r="Q127" s="203">
        <v>90615.129191410902</v>
      </c>
      <c r="R127" s="203">
        <v>96989.545656550981</v>
      </c>
      <c r="S127" s="203"/>
      <c r="T127" s="184">
        <v>1111071.3061765847</v>
      </c>
      <c r="U127" s="203"/>
      <c r="V127" s="203"/>
      <c r="W127" s="203"/>
      <c r="X127" s="203"/>
      <c r="Y127" s="203"/>
      <c r="Z127" s="203"/>
    </row>
    <row r="128" spans="3:26">
      <c r="C128" s="180"/>
      <c r="D128" s="180"/>
      <c r="E128" s="180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7"/>
      <c r="U128" s="203"/>
      <c r="V128" s="203"/>
      <c r="W128" s="203"/>
      <c r="X128" s="203"/>
      <c r="Y128" s="203"/>
      <c r="Z128" s="203"/>
    </row>
    <row r="129" spans="1:26">
      <c r="C129" s="180"/>
      <c r="D129" s="180"/>
      <c r="E129" s="180"/>
      <c r="F129" s="173" t="s">
        <v>227</v>
      </c>
      <c r="G129" s="203">
        <v>356826.90518436651</v>
      </c>
      <c r="H129" s="203">
        <v>344990.49174680095</v>
      </c>
      <c r="I129" s="203">
        <v>296243.79071542528</v>
      </c>
      <c r="J129" s="203">
        <v>369038.73006970057</v>
      </c>
      <c r="K129" s="203">
        <v>383262.24935077166</v>
      </c>
      <c r="L129" s="203">
        <v>385499.49125809141</v>
      </c>
      <c r="M129" s="203">
        <v>377511.68049781234</v>
      </c>
      <c r="N129" s="203">
        <v>334915.54592521116</v>
      </c>
      <c r="O129" s="203">
        <v>348996.97194250557</v>
      </c>
      <c r="P129" s="203">
        <v>353643.58163962432</v>
      </c>
      <c r="Q129" s="203">
        <v>318866.48347902572</v>
      </c>
      <c r="R129" s="203">
        <v>378168.47663825285</v>
      </c>
      <c r="S129" s="203"/>
      <c r="T129" s="203">
        <v>4247964.3984475881</v>
      </c>
      <c r="U129" s="203"/>
      <c r="V129" s="203"/>
      <c r="W129" s="203"/>
      <c r="X129" s="203"/>
      <c r="Y129" s="203"/>
      <c r="Z129" s="203"/>
    </row>
    <row r="130" spans="1:26">
      <c r="C130" s="180"/>
      <c r="D130" s="180"/>
      <c r="E130" s="180"/>
      <c r="F130" s="204" t="s">
        <v>204</v>
      </c>
      <c r="G130" s="205">
        <v>3.6620924100756458E-3</v>
      </c>
      <c r="H130" s="205">
        <v>0.20900803709998073</v>
      </c>
      <c r="I130" s="205">
        <v>-0.15632948353658793</v>
      </c>
      <c r="J130" s="205">
        <v>1.4378055994005878E-2</v>
      </c>
      <c r="K130" s="205">
        <v>0.10923125669141487</v>
      </c>
      <c r="L130" s="205">
        <v>-7.3524733072957149E-3</v>
      </c>
      <c r="M130" s="205">
        <v>0.11374692168492651</v>
      </c>
      <c r="N130" s="205">
        <v>7.9894001552971439E-3</v>
      </c>
      <c r="O130" s="205">
        <v>-3.0312440647783712E-2</v>
      </c>
      <c r="P130" s="205">
        <v>9.4750127113195637E-2</v>
      </c>
      <c r="Q130" s="205">
        <v>-0.14167072799753422</v>
      </c>
      <c r="R130" s="205">
        <v>0.12359334972866431</v>
      </c>
      <c r="S130" s="205"/>
      <c r="T130" s="205">
        <v>2.3131947168421485E-2</v>
      </c>
      <c r="U130" s="203"/>
      <c r="V130" s="203"/>
      <c r="W130" s="203"/>
      <c r="X130" s="203"/>
      <c r="Y130" s="203"/>
      <c r="Z130" s="203"/>
    </row>
    <row r="131" spans="1:26">
      <c r="C131" s="180"/>
      <c r="D131" s="180"/>
      <c r="E131" s="180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7"/>
      <c r="U131" s="203"/>
      <c r="V131" s="203"/>
      <c r="W131" s="203"/>
      <c r="X131" s="203"/>
      <c r="Y131" s="203"/>
      <c r="Z131" s="203"/>
    </row>
    <row r="132" spans="1:26">
      <c r="C132" s="180"/>
      <c r="D132" s="180"/>
      <c r="E132" s="180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7"/>
      <c r="U132" s="203"/>
      <c r="V132" s="203"/>
      <c r="W132" s="203"/>
      <c r="X132" s="203"/>
      <c r="Y132" s="203"/>
      <c r="Z132" s="203"/>
    </row>
    <row r="133" spans="1:26" ht="15.75" hidden="1" thickBot="1">
      <c r="F133" s="181" t="s">
        <v>228</v>
      </c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1"/>
    </row>
    <row r="134" spans="1:26" hidden="1">
      <c r="G134" s="196" t="s">
        <v>301</v>
      </c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7"/>
      <c r="U134" s="203"/>
      <c r="V134" s="203"/>
      <c r="W134" s="203"/>
      <c r="X134" s="203"/>
      <c r="Y134" s="203"/>
      <c r="Z134" s="203"/>
    </row>
    <row r="135" spans="1:26" hidden="1">
      <c r="F135" s="173" t="s">
        <v>229</v>
      </c>
      <c r="G135" s="281">
        <v>547.15</v>
      </c>
      <c r="H135" s="281">
        <v>459.28</v>
      </c>
      <c r="I135" s="281">
        <v>434.9</v>
      </c>
      <c r="J135" s="281">
        <v>396.33</v>
      </c>
      <c r="K135" s="281">
        <v>371.39</v>
      </c>
      <c r="L135" s="281">
        <v>491.28</v>
      </c>
      <c r="M135" s="281">
        <v>438.86</v>
      </c>
      <c r="N135" s="281">
        <v>388.96</v>
      </c>
      <c r="O135" s="281">
        <v>729.15</v>
      </c>
      <c r="P135" s="281">
        <v>655.02</v>
      </c>
      <c r="Q135" s="281">
        <v>608.96</v>
      </c>
      <c r="R135" s="281">
        <v>600.46</v>
      </c>
      <c r="S135" s="203"/>
      <c r="T135" s="184">
        <v>6121.74</v>
      </c>
      <c r="U135" s="203"/>
      <c r="V135" s="203"/>
      <c r="W135" s="203"/>
      <c r="X135" s="203"/>
      <c r="Y135" s="203"/>
      <c r="Z135" s="203"/>
    </row>
    <row r="136" spans="1:26" ht="45" hidden="1">
      <c r="A136" s="222" t="s">
        <v>230</v>
      </c>
      <c r="B136" s="222" t="s">
        <v>231</v>
      </c>
      <c r="C136" s="222" t="s">
        <v>232</v>
      </c>
      <c r="D136" s="222" t="s">
        <v>233</v>
      </c>
      <c r="E136" s="222" t="s">
        <v>302</v>
      </c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184"/>
      <c r="U136" s="203"/>
      <c r="V136" s="203"/>
      <c r="W136" s="203"/>
      <c r="X136" s="203"/>
      <c r="Y136" s="203"/>
      <c r="Z136" s="203"/>
    </row>
    <row r="137" spans="1:26" hidden="1">
      <c r="F137" s="174" t="s">
        <v>234</v>
      </c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7"/>
      <c r="U137" s="203"/>
      <c r="V137" s="203"/>
      <c r="W137" s="203"/>
      <c r="X137" s="203"/>
      <c r="Y137" s="203"/>
      <c r="Z137" s="203"/>
    </row>
    <row r="138" spans="1:26" hidden="1">
      <c r="A138" s="180" t="s">
        <v>303</v>
      </c>
      <c r="F138" s="173" t="s">
        <v>235</v>
      </c>
      <c r="G138" s="203">
        <v>0</v>
      </c>
      <c r="H138" s="203">
        <v>0</v>
      </c>
      <c r="I138" s="203">
        <v>0</v>
      </c>
      <c r="J138" s="203">
        <v>0</v>
      </c>
      <c r="K138" s="203">
        <v>0</v>
      </c>
      <c r="L138" s="203">
        <v>0</v>
      </c>
      <c r="M138" s="203">
        <v>0</v>
      </c>
      <c r="N138" s="203">
        <v>0</v>
      </c>
      <c r="O138" s="203">
        <v>0</v>
      </c>
      <c r="P138" s="203">
        <v>0</v>
      </c>
      <c r="Q138" s="203">
        <v>0</v>
      </c>
      <c r="R138" s="203">
        <v>0</v>
      </c>
      <c r="S138" s="203"/>
      <c r="T138" s="184">
        <v>0</v>
      </c>
      <c r="U138" s="203"/>
      <c r="V138" s="203"/>
      <c r="W138" s="203"/>
      <c r="X138" s="203"/>
      <c r="Y138" s="203"/>
      <c r="Z138" s="203"/>
    </row>
    <row r="139" spans="1:26" hidden="1">
      <c r="A139" s="187" t="s">
        <v>236</v>
      </c>
      <c r="B139" s="187" t="s">
        <v>242</v>
      </c>
      <c r="C139" s="282" t="s">
        <v>304</v>
      </c>
      <c r="D139" s="282" t="s">
        <v>305</v>
      </c>
      <c r="E139" s="282" t="s">
        <v>239</v>
      </c>
      <c r="F139" s="173" t="s">
        <v>238</v>
      </c>
      <c r="G139" s="223">
        <v>1556.19</v>
      </c>
      <c r="H139" s="223">
        <v>1474.6599999999999</v>
      </c>
      <c r="I139" s="223">
        <v>1252.52</v>
      </c>
      <c r="J139" s="223">
        <v>1473.33</v>
      </c>
      <c r="K139" s="223">
        <v>1344.2799999999997</v>
      </c>
      <c r="L139" s="223">
        <v>1272.4100000000001</v>
      </c>
      <c r="M139" s="223">
        <v>1354.9099999999999</v>
      </c>
      <c r="N139" s="223">
        <v>1281.97</v>
      </c>
      <c r="O139" s="223">
        <v>1346.22</v>
      </c>
      <c r="P139" s="223">
        <v>1388.05</v>
      </c>
      <c r="Q139" s="223">
        <v>1339.31</v>
      </c>
      <c r="R139" s="223">
        <v>1546.35</v>
      </c>
      <c r="S139" s="203"/>
      <c r="T139" s="184">
        <v>16630.199999999997</v>
      </c>
      <c r="U139" s="203"/>
      <c r="V139" s="203"/>
      <c r="W139" s="203"/>
      <c r="X139" s="203"/>
      <c r="Y139" s="203"/>
      <c r="Z139" s="203"/>
    </row>
    <row r="140" spans="1:26" hidden="1">
      <c r="A140" s="187" t="s">
        <v>239</v>
      </c>
      <c r="B140" s="187" t="s">
        <v>305</v>
      </c>
      <c r="C140" s="282"/>
      <c r="D140" s="282"/>
      <c r="E140" s="282"/>
      <c r="F140" s="173" t="s">
        <v>240</v>
      </c>
      <c r="G140" s="223">
        <v>971.9899999999999</v>
      </c>
      <c r="H140" s="223">
        <v>926.78</v>
      </c>
      <c r="I140" s="223">
        <v>772.11</v>
      </c>
      <c r="J140" s="223">
        <v>926.01</v>
      </c>
      <c r="K140" s="223">
        <v>840.5999999999998</v>
      </c>
      <c r="L140" s="223">
        <v>797.07</v>
      </c>
      <c r="M140" s="223">
        <v>823.1</v>
      </c>
      <c r="N140" s="223">
        <v>792.76</v>
      </c>
      <c r="O140" s="223">
        <v>847.5</v>
      </c>
      <c r="P140" s="223">
        <v>843.4799999999999</v>
      </c>
      <c r="Q140" s="223">
        <v>797.03</v>
      </c>
      <c r="R140" s="223">
        <v>939.28</v>
      </c>
      <c r="S140" s="203"/>
      <c r="T140" s="184">
        <v>10277.710000000001</v>
      </c>
      <c r="U140" s="203"/>
      <c r="V140" s="203"/>
      <c r="W140" s="203"/>
      <c r="X140" s="203"/>
      <c r="Y140" s="203"/>
      <c r="Z140" s="203"/>
    </row>
    <row r="141" spans="1:26" hidden="1">
      <c r="A141" s="187" t="s">
        <v>306</v>
      </c>
      <c r="B141" s="187"/>
      <c r="C141" s="282"/>
      <c r="D141" s="282"/>
      <c r="E141" s="282"/>
      <c r="F141" s="173" t="s">
        <v>307</v>
      </c>
      <c r="G141" s="223">
        <v>0</v>
      </c>
      <c r="H141" s="223">
        <v>0</v>
      </c>
      <c r="I141" s="223">
        <v>0</v>
      </c>
      <c r="J141" s="223">
        <v>0</v>
      </c>
      <c r="K141" s="223">
        <v>0</v>
      </c>
      <c r="L141" s="223">
        <v>0</v>
      </c>
      <c r="M141" s="223">
        <v>0</v>
      </c>
      <c r="N141" s="223">
        <v>0</v>
      </c>
      <c r="O141" s="223">
        <v>0</v>
      </c>
      <c r="P141" s="223">
        <v>0</v>
      </c>
      <c r="Q141" s="223">
        <v>0</v>
      </c>
      <c r="R141" s="223">
        <v>0</v>
      </c>
      <c r="S141" s="203"/>
      <c r="T141" s="184">
        <v>0</v>
      </c>
      <c r="U141" s="203"/>
      <c r="V141" s="203"/>
      <c r="W141" s="203"/>
      <c r="X141" s="203"/>
      <c r="Y141" s="203"/>
      <c r="Z141" s="203"/>
    </row>
    <row r="142" spans="1:26" hidden="1">
      <c r="A142" s="187" t="s">
        <v>308</v>
      </c>
      <c r="B142" s="187" t="s">
        <v>309</v>
      </c>
      <c r="C142" s="282"/>
      <c r="D142" s="282"/>
      <c r="E142" s="282"/>
      <c r="F142" s="173" t="s">
        <v>310</v>
      </c>
      <c r="G142" s="223">
        <v>0</v>
      </c>
      <c r="H142" s="223">
        <v>0</v>
      </c>
      <c r="I142" s="223">
        <v>0</v>
      </c>
      <c r="J142" s="223">
        <v>0</v>
      </c>
      <c r="K142" s="223">
        <v>0</v>
      </c>
      <c r="L142" s="223">
        <v>0</v>
      </c>
      <c r="M142" s="223">
        <v>0</v>
      </c>
      <c r="N142" s="223">
        <v>0</v>
      </c>
      <c r="O142" s="223">
        <v>0</v>
      </c>
      <c r="P142" s="223">
        <v>0</v>
      </c>
      <c r="Q142" s="223">
        <v>0</v>
      </c>
      <c r="R142" s="223">
        <v>0</v>
      </c>
      <c r="S142" s="203"/>
      <c r="T142" s="184">
        <v>0</v>
      </c>
      <c r="U142" s="203"/>
      <c r="V142" s="203"/>
      <c r="W142" s="203"/>
      <c r="X142" s="203"/>
      <c r="Y142" s="203"/>
      <c r="Z142" s="203"/>
    </row>
    <row r="143" spans="1:26" hidden="1">
      <c r="A143" s="187" t="s">
        <v>242</v>
      </c>
      <c r="B143" s="187" t="s">
        <v>311</v>
      </c>
      <c r="C143" s="282"/>
      <c r="D143" s="282"/>
      <c r="E143" s="282"/>
      <c r="F143" s="173" t="s">
        <v>243</v>
      </c>
      <c r="G143" s="223">
        <v>0</v>
      </c>
      <c r="H143" s="223">
        <v>0</v>
      </c>
      <c r="I143" s="223">
        <v>5.7</v>
      </c>
      <c r="J143" s="223">
        <v>1.33</v>
      </c>
      <c r="K143" s="223">
        <v>1.57</v>
      </c>
      <c r="L143" s="223">
        <v>0</v>
      </c>
      <c r="M143" s="223">
        <v>2.06</v>
      </c>
      <c r="N143" s="223">
        <v>0.16</v>
      </c>
      <c r="O143" s="223">
        <v>0</v>
      </c>
      <c r="P143" s="223">
        <v>0</v>
      </c>
      <c r="Q143" s="223">
        <v>0</v>
      </c>
      <c r="R143" s="223">
        <v>0</v>
      </c>
      <c r="S143" s="203"/>
      <c r="T143" s="184">
        <v>10.82</v>
      </c>
      <c r="U143" s="203"/>
      <c r="V143" s="203"/>
      <c r="W143" s="203"/>
      <c r="X143" s="203"/>
      <c r="Y143" s="203"/>
      <c r="Z143" s="203"/>
    </row>
    <row r="144" spans="1:26" hidden="1">
      <c r="A144" s="187" t="s">
        <v>244</v>
      </c>
      <c r="B144" s="187" t="s">
        <v>245</v>
      </c>
      <c r="C144" s="282" t="s">
        <v>246</v>
      </c>
      <c r="D144" s="282"/>
      <c r="E144" s="282"/>
      <c r="F144" s="173" t="s">
        <v>247</v>
      </c>
      <c r="G144" s="223">
        <v>0</v>
      </c>
      <c r="H144" s="223">
        <v>0</v>
      </c>
      <c r="I144" s="223">
        <v>0</v>
      </c>
      <c r="J144" s="223">
        <v>0</v>
      </c>
      <c r="K144" s="223">
        <v>0</v>
      </c>
      <c r="L144" s="223">
        <v>0</v>
      </c>
      <c r="M144" s="223">
        <v>0</v>
      </c>
      <c r="N144" s="223">
        <v>0</v>
      </c>
      <c r="O144" s="223">
        <v>0</v>
      </c>
      <c r="P144" s="223">
        <v>0</v>
      </c>
      <c r="Q144" s="223">
        <v>0</v>
      </c>
      <c r="R144" s="223">
        <v>0</v>
      </c>
      <c r="S144" s="203"/>
      <c r="T144" s="184">
        <v>0</v>
      </c>
      <c r="U144" s="203"/>
      <c r="V144" s="203"/>
      <c r="W144" s="203"/>
      <c r="X144" s="203"/>
      <c r="Y144" s="203"/>
      <c r="Z144" s="203"/>
    </row>
    <row r="145" spans="1:26" hidden="1">
      <c r="A145" s="187" t="s">
        <v>237</v>
      </c>
      <c r="B145" s="187"/>
      <c r="C145" s="282"/>
      <c r="D145" s="282"/>
      <c r="E145" s="282"/>
      <c r="F145" s="173" t="s">
        <v>312</v>
      </c>
      <c r="G145" s="223">
        <v>0</v>
      </c>
      <c r="H145" s="223">
        <v>0</v>
      </c>
      <c r="I145" s="223">
        <v>0</v>
      </c>
      <c r="J145" s="223">
        <v>0</v>
      </c>
      <c r="K145" s="223">
        <v>0</v>
      </c>
      <c r="L145" s="223">
        <v>0</v>
      </c>
      <c r="M145" s="223">
        <v>0</v>
      </c>
      <c r="N145" s="223">
        <v>0</v>
      </c>
      <c r="O145" s="223">
        <v>0</v>
      </c>
      <c r="P145" s="223">
        <v>0</v>
      </c>
      <c r="Q145" s="223">
        <v>0</v>
      </c>
      <c r="R145" s="223">
        <v>0</v>
      </c>
      <c r="S145" s="203"/>
      <c r="T145" s="184">
        <v>0</v>
      </c>
      <c r="U145" s="203"/>
      <c r="V145" s="206"/>
      <c r="W145" s="203"/>
      <c r="X145" s="203"/>
      <c r="Y145" s="203"/>
      <c r="Z145" s="203"/>
    </row>
    <row r="146" spans="1:26" hidden="1">
      <c r="A146" s="187" t="s">
        <v>241</v>
      </c>
      <c r="B146" s="187"/>
      <c r="C146" s="282"/>
      <c r="D146" s="282"/>
      <c r="E146" s="282"/>
      <c r="F146" s="173" t="s">
        <v>313</v>
      </c>
      <c r="G146" s="223">
        <v>0</v>
      </c>
      <c r="H146" s="223">
        <v>0</v>
      </c>
      <c r="I146" s="223">
        <v>0</v>
      </c>
      <c r="J146" s="223">
        <v>0</v>
      </c>
      <c r="K146" s="223">
        <v>0</v>
      </c>
      <c r="L146" s="223">
        <v>0</v>
      </c>
      <c r="M146" s="223">
        <v>0</v>
      </c>
      <c r="N146" s="223">
        <v>0</v>
      </c>
      <c r="O146" s="223">
        <v>0</v>
      </c>
      <c r="P146" s="223">
        <v>0</v>
      </c>
      <c r="Q146" s="223">
        <v>0.28999999999999998</v>
      </c>
      <c r="R146" s="223">
        <v>0</v>
      </c>
      <c r="S146" s="203"/>
      <c r="T146" s="184"/>
      <c r="U146" s="203"/>
      <c r="V146" s="206"/>
      <c r="W146" s="203"/>
      <c r="X146" s="203"/>
      <c r="Y146" s="203"/>
      <c r="Z146" s="203"/>
    </row>
    <row r="147" spans="1:26" hidden="1">
      <c r="A147" s="187" t="s">
        <v>314</v>
      </c>
      <c r="B147" s="187"/>
      <c r="C147" s="282"/>
      <c r="D147" s="282"/>
      <c r="E147" s="282"/>
      <c r="F147" s="173" t="s">
        <v>315</v>
      </c>
      <c r="G147" s="223">
        <v>0</v>
      </c>
      <c r="H147" s="223">
        <v>0</v>
      </c>
      <c r="I147" s="223">
        <v>0</v>
      </c>
      <c r="J147" s="223">
        <v>0</v>
      </c>
      <c r="K147" s="223">
        <v>0</v>
      </c>
      <c r="L147" s="223">
        <v>0</v>
      </c>
      <c r="M147" s="223">
        <v>0</v>
      </c>
      <c r="N147" s="223">
        <v>0</v>
      </c>
      <c r="O147" s="223">
        <v>0</v>
      </c>
      <c r="P147" s="223">
        <v>0</v>
      </c>
      <c r="Q147" s="223">
        <v>0</v>
      </c>
      <c r="R147" s="223">
        <v>0</v>
      </c>
      <c r="S147" s="203"/>
      <c r="T147" s="184">
        <v>0</v>
      </c>
      <c r="U147" s="203"/>
      <c r="V147" s="203"/>
      <c r="W147" s="203"/>
      <c r="X147" s="203"/>
      <c r="Y147" s="203"/>
      <c r="Z147" s="203"/>
    </row>
    <row r="148" spans="1:26" hidden="1">
      <c r="G148" s="201">
        <v>2528.1799999999998</v>
      </c>
      <c r="H148" s="201">
        <v>2401.4399999999996</v>
      </c>
      <c r="I148" s="201">
        <v>2030.3300000000002</v>
      </c>
      <c r="J148" s="201">
        <v>2400.67</v>
      </c>
      <c r="K148" s="201">
        <v>2186.4499999999998</v>
      </c>
      <c r="L148" s="201">
        <v>2069.48</v>
      </c>
      <c r="M148" s="201">
        <v>2180.0699999999997</v>
      </c>
      <c r="N148" s="201">
        <v>2074.89</v>
      </c>
      <c r="O148" s="201">
        <v>2193.7200000000003</v>
      </c>
      <c r="P148" s="201">
        <v>2231.5299999999997</v>
      </c>
      <c r="Q148" s="201">
        <v>2136.63</v>
      </c>
      <c r="R148" s="201">
        <v>2485.63</v>
      </c>
      <c r="S148" s="201"/>
      <c r="T148" s="224">
        <v>26919.02</v>
      </c>
      <c r="U148" s="203"/>
      <c r="V148" s="203"/>
      <c r="W148" s="203"/>
      <c r="X148" s="203"/>
      <c r="Y148" s="203"/>
      <c r="Z148" s="203"/>
    </row>
    <row r="149" spans="1:26" hidden="1"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7"/>
      <c r="U149" s="203"/>
      <c r="V149" s="203"/>
      <c r="W149" s="203"/>
      <c r="X149" s="203"/>
      <c r="Y149" s="203"/>
      <c r="Z149" s="203"/>
    </row>
    <row r="150" spans="1:26" hidden="1">
      <c r="F150" s="174" t="s">
        <v>248</v>
      </c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7"/>
      <c r="U150" s="203"/>
      <c r="V150" s="203"/>
      <c r="W150" s="203"/>
      <c r="X150" s="203"/>
      <c r="Y150" s="203"/>
      <c r="Z150" s="203"/>
    </row>
    <row r="151" spans="1:26" hidden="1">
      <c r="F151" s="173" t="str">
        <f>+F139</f>
        <v>Rabanco MRF - Commercial</v>
      </c>
      <c r="G151" s="216">
        <v>69.489999999999995</v>
      </c>
      <c r="H151" s="217">
        <v>69.489999999999995</v>
      </c>
      <c r="I151" s="217">
        <v>69.489999999999995</v>
      </c>
      <c r="J151" s="217">
        <v>69.489999999999995</v>
      </c>
      <c r="K151" s="217">
        <v>69.489999999999995</v>
      </c>
      <c r="L151" s="217">
        <v>69.489999999999995</v>
      </c>
      <c r="M151" s="217">
        <v>69.489999999999995</v>
      </c>
      <c r="N151" s="217">
        <v>69.489999999999995</v>
      </c>
      <c r="O151" s="217">
        <v>69.489999999999995</v>
      </c>
      <c r="P151" s="217">
        <v>69.489999999999995</v>
      </c>
      <c r="Q151" s="217">
        <v>70.62</v>
      </c>
      <c r="R151" s="283">
        <v>70.62</v>
      </c>
      <c r="S151" s="203"/>
      <c r="T151" s="207"/>
      <c r="U151" s="203"/>
      <c r="V151" s="203"/>
      <c r="W151" s="203"/>
      <c r="X151" s="203"/>
      <c r="Y151" s="203"/>
      <c r="Z151" s="203"/>
    </row>
    <row r="152" spans="1:26" hidden="1">
      <c r="F152" s="173" t="str">
        <f>+F138</f>
        <v>Rabanco MRF - Mixed Comm</v>
      </c>
      <c r="G152" s="216">
        <v>69.489999999999995</v>
      </c>
      <c r="H152" s="217">
        <v>69.489999999999995</v>
      </c>
      <c r="I152" s="217">
        <v>69.489999999999995</v>
      </c>
      <c r="J152" s="217">
        <v>69.489999999999995</v>
      </c>
      <c r="K152" s="217">
        <v>69.489999999999995</v>
      </c>
      <c r="L152" s="217">
        <v>69.489999999999995</v>
      </c>
      <c r="M152" s="217">
        <v>69.489999999999995</v>
      </c>
      <c r="N152" s="217">
        <v>69.489999999999995</v>
      </c>
      <c r="O152" s="217">
        <v>69.489999999999995</v>
      </c>
      <c r="P152" s="217">
        <v>69.489999999999995</v>
      </c>
      <c r="Q152" s="217">
        <v>70.62</v>
      </c>
      <c r="R152" s="283">
        <v>70.62</v>
      </c>
      <c r="S152" s="203"/>
      <c r="T152" s="207"/>
      <c r="U152" s="203"/>
      <c r="V152" s="203"/>
      <c r="W152" s="203"/>
      <c r="X152" s="203"/>
      <c r="Y152" s="203"/>
      <c r="Z152" s="203"/>
    </row>
    <row r="153" spans="1:26" hidden="1">
      <c r="F153" s="173" t="str">
        <f>+F140</f>
        <v>Rabanco MRF - Resi / MF</v>
      </c>
      <c r="G153" s="216">
        <v>69.489999999999995</v>
      </c>
      <c r="H153" s="217">
        <v>69.489999999999995</v>
      </c>
      <c r="I153" s="217">
        <v>69.489999999999995</v>
      </c>
      <c r="J153" s="217">
        <v>69.489999999999995</v>
      </c>
      <c r="K153" s="217">
        <v>69.489999999999995</v>
      </c>
      <c r="L153" s="217">
        <v>69.489999999999995</v>
      </c>
      <c r="M153" s="217">
        <v>69.489999999999995</v>
      </c>
      <c r="N153" s="217">
        <v>69.489999999999995</v>
      </c>
      <c r="O153" s="217">
        <v>69.489999999999995</v>
      </c>
      <c r="P153" s="217">
        <v>69.489999999999995</v>
      </c>
      <c r="Q153" s="217">
        <v>70.62</v>
      </c>
      <c r="R153" s="217">
        <v>70.62</v>
      </c>
      <c r="S153" s="203"/>
      <c r="T153" s="207"/>
      <c r="U153" s="203"/>
      <c r="V153" s="203"/>
      <c r="W153" s="203"/>
      <c r="X153" s="203"/>
      <c r="Y153" s="203"/>
      <c r="Z153" s="203"/>
    </row>
    <row r="154" spans="1:26" hidden="1">
      <c r="F154" s="173" t="str">
        <f>+F141</f>
        <v>3rd &amp; Lander - MSW</v>
      </c>
      <c r="G154" s="216"/>
      <c r="H154" s="217">
        <v>0</v>
      </c>
      <c r="I154" s="217">
        <v>0</v>
      </c>
      <c r="J154" s="217">
        <v>0</v>
      </c>
      <c r="K154" s="217">
        <v>0</v>
      </c>
      <c r="L154" s="217">
        <v>0</v>
      </c>
      <c r="M154" s="217">
        <v>0</v>
      </c>
      <c r="N154" s="217">
        <v>0</v>
      </c>
      <c r="O154" s="217">
        <v>0</v>
      </c>
      <c r="P154" s="217">
        <v>0</v>
      </c>
      <c r="Q154" s="217">
        <v>0</v>
      </c>
      <c r="R154" s="217">
        <v>0</v>
      </c>
      <c r="S154" s="203"/>
      <c r="T154" s="207"/>
      <c r="U154" s="203"/>
      <c r="V154" s="203"/>
      <c r="W154" s="203"/>
      <c r="Y154" s="203"/>
    </row>
    <row r="155" spans="1:26" hidden="1">
      <c r="F155" s="173" t="str">
        <f>+F142</f>
        <v>3rd &amp; Lander - Yardwaste</v>
      </c>
      <c r="G155" s="216">
        <v>63.03</v>
      </c>
      <c r="H155" s="217">
        <v>63.03</v>
      </c>
      <c r="I155" s="217">
        <v>63.03</v>
      </c>
      <c r="J155" s="217">
        <v>66.180000000000007</v>
      </c>
      <c r="K155" s="217">
        <v>66.180000000000007</v>
      </c>
      <c r="L155" s="217">
        <v>66.180000000000007</v>
      </c>
      <c r="M155" s="217"/>
      <c r="N155" s="217"/>
      <c r="O155" s="217"/>
      <c r="P155" s="217"/>
      <c r="Q155" s="217">
        <v>0</v>
      </c>
      <c r="R155" s="217">
        <v>0</v>
      </c>
      <c r="S155" s="203"/>
      <c r="T155" s="207"/>
      <c r="U155" s="203"/>
      <c r="V155" s="203"/>
      <c r="W155" s="203"/>
      <c r="X155" s="203"/>
      <c r="Y155" s="203"/>
      <c r="Z155" s="203"/>
    </row>
    <row r="156" spans="1:26" hidden="1">
      <c r="F156" s="173" t="s">
        <v>316</v>
      </c>
      <c r="G156" s="216">
        <v>0</v>
      </c>
      <c r="H156" s="217">
        <v>0</v>
      </c>
      <c r="I156" s="217">
        <v>0</v>
      </c>
      <c r="J156" s="217">
        <v>0</v>
      </c>
      <c r="K156" s="217">
        <v>0</v>
      </c>
      <c r="L156" s="217">
        <v>0</v>
      </c>
      <c r="M156" s="217">
        <v>0</v>
      </c>
      <c r="N156" s="217">
        <v>0</v>
      </c>
      <c r="O156" s="217">
        <v>0</v>
      </c>
      <c r="P156" s="217">
        <v>0</v>
      </c>
      <c r="Q156" s="217">
        <v>0</v>
      </c>
      <c r="R156" s="217">
        <v>0</v>
      </c>
      <c r="S156" s="203"/>
      <c r="T156" s="207"/>
      <c r="U156" s="203"/>
      <c r="V156" s="203"/>
      <c r="W156" s="203"/>
      <c r="X156" s="203"/>
      <c r="Y156" s="203"/>
      <c r="Z156" s="203"/>
    </row>
    <row r="157" spans="1:26" hidden="1">
      <c r="F157" s="173" t="s">
        <v>315</v>
      </c>
      <c r="G157" s="216">
        <v>43</v>
      </c>
      <c r="H157" s="217">
        <v>43</v>
      </c>
      <c r="I157" s="217">
        <v>43</v>
      </c>
      <c r="J157" s="217">
        <v>43</v>
      </c>
      <c r="K157" s="217">
        <v>43</v>
      </c>
      <c r="L157" s="217">
        <v>43</v>
      </c>
      <c r="M157" s="217">
        <v>43</v>
      </c>
      <c r="N157" s="217">
        <v>43</v>
      </c>
      <c r="O157" s="217">
        <v>43</v>
      </c>
      <c r="P157" s="217">
        <v>43</v>
      </c>
      <c r="Q157" s="276">
        <v>46</v>
      </c>
      <c r="R157" s="283">
        <v>46</v>
      </c>
      <c r="S157" s="203"/>
      <c r="T157" s="207"/>
      <c r="U157" s="203"/>
      <c r="V157" s="203"/>
      <c r="W157" s="203"/>
      <c r="X157" s="203"/>
      <c r="Y157" s="203"/>
      <c r="Z157" s="203"/>
    </row>
    <row r="158" spans="1:26" hidden="1"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3"/>
      <c r="T158" s="207"/>
      <c r="U158" s="203"/>
      <c r="V158" s="203"/>
      <c r="W158" s="203"/>
      <c r="X158" s="203"/>
      <c r="Y158" s="203"/>
      <c r="Z158" s="203"/>
    </row>
    <row r="159" spans="1:26" hidden="1"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7"/>
      <c r="U159" s="203"/>
      <c r="V159" s="203"/>
      <c r="W159" s="203"/>
      <c r="X159" s="203"/>
      <c r="Y159" s="203"/>
      <c r="Z159" s="203"/>
    </row>
    <row r="160" spans="1:26" hidden="1">
      <c r="F160" s="173" t="s">
        <v>249</v>
      </c>
      <c r="G160" s="203">
        <v>175683.22819999998</v>
      </c>
      <c r="H160" s="203">
        <v>166876.06559999997</v>
      </c>
      <c r="I160" s="203">
        <v>140691.53869999998</v>
      </c>
      <c r="J160" s="203">
        <v>166730.13659999997</v>
      </c>
      <c r="K160" s="203">
        <v>151827.31119999994</v>
      </c>
      <c r="L160" s="203">
        <v>143808.16519999999</v>
      </c>
      <c r="M160" s="203">
        <v>151349.91489999997</v>
      </c>
      <c r="N160" s="203">
        <v>144172.9877</v>
      </c>
      <c r="O160" s="203">
        <v>152441.60279999999</v>
      </c>
      <c r="P160" s="203">
        <v>155069.01969999998</v>
      </c>
      <c r="Q160" s="203">
        <v>150868.3308</v>
      </c>
      <c r="R160" s="203">
        <v>175535.1906</v>
      </c>
      <c r="S160" s="203"/>
      <c r="T160" s="184">
        <v>1875053.4919999999</v>
      </c>
      <c r="U160" s="203"/>
      <c r="V160" s="203"/>
      <c r="W160" s="203"/>
      <c r="X160" s="203"/>
      <c r="Y160" s="203"/>
      <c r="Z160" s="203"/>
    </row>
    <row r="161" spans="6:26" hidden="1">
      <c r="F161" s="173" t="s">
        <v>250</v>
      </c>
      <c r="G161" s="203">
        <v>175136.07819999999</v>
      </c>
      <c r="H161" s="203">
        <v>166416.78559999997</v>
      </c>
      <c r="I161" s="203">
        <v>140256.63869999998</v>
      </c>
      <c r="J161" s="203">
        <v>166333.80659999998</v>
      </c>
      <c r="K161" s="203">
        <v>151455.92119999992</v>
      </c>
      <c r="L161" s="203">
        <v>143316.88519999999</v>
      </c>
      <c r="M161" s="203">
        <v>150911.05489999999</v>
      </c>
      <c r="N161" s="203">
        <v>143784.02770000001</v>
      </c>
      <c r="O161" s="203">
        <v>151712.4528</v>
      </c>
      <c r="P161" s="203">
        <v>154413.99969999999</v>
      </c>
      <c r="Q161" s="203">
        <v>150259.3708</v>
      </c>
      <c r="R161" s="203">
        <v>174934.73060000001</v>
      </c>
      <c r="S161" s="203"/>
      <c r="T161" s="184">
        <v>1868931.7519999999</v>
      </c>
      <c r="U161" s="203"/>
      <c r="V161" s="203"/>
      <c r="W161" s="203"/>
      <c r="X161" s="203"/>
      <c r="Y161" s="203"/>
      <c r="Z161" s="203"/>
    </row>
    <row r="162" spans="6:26" hidden="1">
      <c r="F162" s="173" t="s">
        <v>251</v>
      </c>
      <c r="G162" s="225">
        <v>320.087870236681</v>
      </c>
      <c r="H162" s="225">
        <v>362.34276606862915</v>
      </c>
      <c r="I162" s="225">
        <v>322.50319314785003</v>
      </c>
      <c r="J162" s="225">
        <v>419.68512754522743</v>
      </c>
      <c r="K162" s="225">
        <v>407.80829101483596</v>
      </c>
      <c r="L162" s="225">
        <v>291.72139146718774</v>
      </c>
      <c r="M162" s="225">
        <v>343.87060771088727</v>
      </c>
      <c r="N162" s="225">
        <v>369.66276146647476</v>
      </c>
      <c r="O162" s="225">
        <v>208.06754824110266</v>
      </c>
      <c r="P162" s="225">
        <v>235.73936627889222</v>
      </c>
      <c r="Q162" s="225">
        <v>246.74752167630058</v>
      </c>
      <c r="R162" s="225">
        <v>291.3345278619725</v>
      </c>
      <c r="S162" s="203"/>
      <c r="T162" s="226">
        <v>305.29420589570935</v>
      </c>
      <c r="U162" s="203"/>
      <c r="V162" s="203"/>
      <c r="W162" s="203"/>
      <c r="X162" s="203"/>
      <c r="Y162" s="203"/>
      <c r="Z162" s="203"/>
    </row>
    <row r="163" spans="6:26" hidden="1"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7"/>
      <c r="U163" s="203"/>
      <c r="V163" s="203"/>
      <c r="W163" s="203"/>
      <c r="X163" s="203"/>
      <c r="Y163" s="203"/>
      <c r="Z163" s="203"/>
    </row>
    <row r="164" spans="6:26" hidden="1">
      <c r="F164" s="174" t="s">
        <v>252</v>
      </c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7"/>
      <c r="U164" s="203"/>
      <c r="V164" s="203"/>
      <c r="W164" s="203"/>
      <c r="X164" s="203"/>
      <c r="Y164" s="203"/>
      <c r="Z164" s="203"/>
    </row>
    <row r="165" spans="6:26" hidden="1">
      <c r="F165" s="173" t="str">
        <f t="shared" ref="F165:F172" si="2">+F138</f>
        <v>Rabanco MRF - Mixed Comm</v>
      </c>
      <c r="G165" s="203">
        <v>0</v>
      </c>
      <c r="H165" s="203">
        <v>0</v>
      </c>
      <c r="I165" s="203">
        <v>0</v>
      </c>
      <c r="J165" s="203">
        <v>0</v>
      </c>
      <c r="K165" s="203">
        <v>0</v>
      </c>
      <c r="L165" s="203">
        <v>0</v>
      </c>
      <c r="M165" s="203">
        <v>0</v>
      </c>
      <c r="N165" s="203">
        <v>0</v>
      </c>
      <c r="O165" s="203">
        <v>0</v>
      </c>
      <c r="P165" s="203">
        <v>0</v>
      </c>
      <c r="Q165" s="203">
        <v>0</v>
      </c>
      <c r="R165" s="203">
        <v>0</v>
      </c>
      <c r="S165" s="203">
        <v>0</v>
      </c>
      <c r="T165" s="184">
        <v>0</v>
      </c>
      <c r="U165" s="203"/>
      <c r="V165" s="203"/>
      <c r="W165" s="203"/>
      <c r="X165" s="203"/>
      <c r="Y165" s="203"/>
      <c r="Z165" s="203"/>
    </row>
    <row r="166" spans="6:26" hidden="1">
      <c r="F166" s="173" t="str">
        <f t="shared" si="2"/>
        <v>Rabanco MRF - Commercial</v>
      </c>
      <c r="G166" s="203">
        <v>0</v>
      </c>
      <c r="H166" s="203">
        <v>0</v>
      </c>
      <c r="I166" s="203">
        <v>0</v>
      </c>
      <c r="J166" s="203">
        <v>0</v>
      </c>
      <c r="K166" s="203">
        <v>0</v>
      </c>
      <c r="L166" s="203">
        <v>0</v>
      </c>
      <c r="M166" s="203">
        <v>0</v>
      </c>
      <c r="N166" s="203">
        <v>0</v>
      </c>
      <c r="O166" s="203">
        <v>0</v>
      </c>
      <c r="P166" s="203">
        <v>0</v>
      </c>
      <c r="Q166" s="203">
        <v>0</v>
      </c>
      <c r="R166" s="203">
        <v>0</v>
      </c>
      <c r="S166" s="203">
        <v>0</v>
      </c>
      <c r="T166" s="184">
        <v>0</v>
      </c>
      <c r="U166" s="203"/>
      <c r="V166" s="203"/>
      <c r="W166" s="203"/>
      <c r="X166" s="203"/>
      <c r="Y166" s="203"/>
      <c r="Z166" s="203"/>
    </row>
    <row r="167" spans="6:26" hidden="1">
      <c r="F167" s="173" t="str">
        <f t="shared" si="2"/>
        <v>Rabanco MRF - Resi / MF</v>
      </c>
      <c r="G167" s="203">
        <v>152.96999999999997</v>
      </c>
      <c r="H167" s="203">
        <v>169.5</v>
      </c>
      <c r="I167" s="203">
        <v>108.03999999999999</v>
      </c>
      <c r="J167" s="203">
        <v>168.91</v>
      </c>
      <c r="K167" s="203">
        <v>125.98</v>
      </c>
      <c r="L167" s="203">
        <v>114.14</v>
      </c>
      <c r="M167" s="203">
        <v>122.05</v>
      </c>
      <c r="N167" s="203">
        <v>107.89</v>
      </c>
      <c r="O167" s="203">
        <v>155.68</v>
      </c>
      <c r="P167" s="203">
        <v>132.67000000000002</v>
      </c>
      <c r="Q167" s="203">
        <v>106.36999999999999</v>
      </c>
      <c r="R167" s="203">
        <v>118.06</v>
      </c>
      <c r="S167" s="203"/>
      <c r="T167" s="184">
        <v>1582.26</v>
      </c>
      <c r="U167" s="203"/>
      <c r="V167" s="203"/>
      <c r="W167" s="203"/>
      <c r="X167" s="203"/>
      <c r="Y167" s="203"/>
      <c r="Z167" s="203"/>
    </row>
    <row r="168" spans="6:26" hidden="1">
      <c r="F168" s="173" t="str">
        <f t="shared" si="2"/>
        <v>3rd &amp; Lander - MSW</v>
      </c>
      <c r="G168" s="203">
        <v>0</v>
      </c>
      <c r="H168" s="203">
        <v>0</v>
      </c>
      <c r="I168" s="203">
        <v>0</v>
      </c>
      <c r="J168" s="203">
        <v>0</v>
      </c>
      <c r="K168" s="203">
        <v>0</v>
      </c>
      <c r="L168" s="203">
        <v>0</v>
      </c>
      <c r="M168" s="203">
        <v>0</v>
      </c>
      <c r="N168" s="203">
        <v>0</v>
      </c>
      <c r="O168" s="203">
        <v>0</v>
      </c>
      <c r="P168" s="203">
        <v>0</v>
      </c>
      <c r="Q168" s="203">
        <v>0</v>
      </c>
      <c r="R168" s="203">
        <v>0</v>
      </c>
      <c r="S168" s="203">
        <v>0</v>
      </c>
      <c r="T168" s="184">
        <v>0</v>
      </c>
      <c r="U168" s="203"/>
      <c r="V168" s="203"/>
      <c r="W168" s="203"/>
      <c r="X168" s="203"/>
      <c r="Y168" s="203"/>
      <c r="Z168" s="203"/>
    </row>
    <row r="169" spans="6:26" hidden="1">
      <c r="F169" s="173" t="str">
        <f t="shared" si="2"/>
        <v>3rd &amp; Lander - Yardwaste</v>
      </c>
      <c r="G169" s="203">
        <v>0</v>
      </c>
      <c r="H169" s="203">
        <v>0</v>
      </c>
      <c r="I169" s="203">
        <v>0</v>
      </c>
      <c r="J169" s="203">
        <v>0</v>
      </c>
      <c r="K169" s="203">
        <v>0</v>
      </c>
      <c r="L169" s="203">
        <v>0</v>
      </c>
      <c r="M169" s="203">
        <v>0</v>
      </c>
      <c r="N169" s="203">
        <v>0</v>
      </c>
      <c r="O169" s="203">
        <v>0</v>
      </c>
      <c r="P169" s="203">
        <v>0</v>
      </c>
      <c r="Q169" s="203">
        <v>0</v>
      </c>
      <c r="R169" s="203">
        <v>0</v>
      </c>
      <c r="S169" s="203">
        <v>0</v>
      </c>
      <c r="T169" s="184">
        <v>0</v>
      </c>
      <c r="U169" s="203"/>
      <c r="V169" s="203"/>
      <c r="W169" s="203"/>
      <c r="X169" s="203"/>
      <c r="Y169" s="203"/>
      <c r="Z169" s="203"/>
    </row>
    <row r="170" spans="6:26" hidden="1">
      <c r="F170" s="173" t="str">
        <f t="shared" si="2"/>
        <v>3rd &amp; Lander - Cardboard</v>
      </c>
      <c r="G170" s="203">
        <v>0</v>
      </c>
      <c r="H170" s="203">
        <v>0</v>
      </c>
      <c r="I170" s="203">
        <v>0</v>
      </c>
      <c r="J170" s="203">
        <v>0</v>
      </c>
      <c r="K170" s="203">
        <v>0</v>
      </c>
      <c r="L170" s="203">
        <v>0</v>
      </c>
      <c r="M170" s="203">
        <v>0</v>
      </c>
      <c r="N170" s="203">
        <v>0</v>
      </c>
      <c r="O170" s="203">
        <v>0</v>
      </c>
      <c r="P170" s="203">
        <v>0</v>
      </c>
      <c r="Q170" s="203">
        <v>0</v>
      </c>
      <c r="R170" s="203">
        <v>0</v>
      </c>
      <c r="S170" s="203">
        <v>0</v>
      </c>
      <c r="T170" s="184">
        <v>0</v>
      </c>
      <c r="U170" s="203"/>
      <c r="V170" s="203"/>
      <c r="W170" s="203"/>
      <c r="X170" s="203"/>
      <c r="Y170" s="203"/>
      <c r="Z170" s="203"/>
    </row>
    <row r="171" spans="6:26" hidden="1">
      <c r="F171" s="173" t="str">
        <f t="shared" si="2"/>
        <v>City Contract Street Sweeping</v>
      </c>
      <c r="G171" s="203">
        <v>0</v>
      </c>
      <c r="H171" s="203">
        <v>0</v>
      </c>
      <c r="I171" s="203">
        <v>0</v>
      </c>
      <c r="J171" s="203">
        <v>0</v>
      </c>
      <c r="K171" s="203">
        <v>0</v>
      </c>
      <c r="L171" s="203">
        <v>0</v>
      </c>
      <c r="M171" s="203">
        <v>0</v>
      </c>
      <c r="N171" s="203">
        <v>0</v>
      </c>
      <c r="O171" s="203">
        <v>0</v>
      </c>
      <c r="P171" s="203">
        <v>0</v>
      </c>
      <c r="Q171" s="203">
        <v>0</v>
      </c>
      <c r="R171" s="203">
        <v>0</v>
      </c>
      <c r="S171" s="203">
        <v>0</v>
      </c>
      <c r="T171" s="184">
        <v>0</v>
      </c>
      <c r="U171" s="203"/>
      <c r="V171" s="203"/>
      <c r="W171" s="203"/>
      <c r="X171" s="203"/>
      <c r="Y171" s="203"/>
      <c r="Z171" s="203"/>
    </row>
    <row r="172" spans="6:26" hidden="1">
      <c r="F172" s="173" t="str">
        <f t="shared" si="2"/>
        <v>King County Transfer</v>
      </c>
      <c r="G172" s="203">
        <v>0</v>
      </c>
      <c r="H172" s="203">
        <v>0</v>
      </c>
      <c r="I172" s="203">
        <v>0</v>
      </c>
      <c r="J172" s="203">
        <v>0</v>
      </c>
      <c r="K172" s="203">
        <v>0</v>
      </c>
      <c r="L172" s="203">
        <v>0</v>
      </c>
      <c r="M172" s="203">
        <v>0</v>
      </c>
      <c r="N172" s="203">
        <v>0</v>
      </c>
      <c r="O172" s="203">
        <v>0</v>
      </c>
      <c r="P172" s="203">
        <v>0</v>
      </c>
      <c r="Q172" s="203">
        <v>0</v>
      </c>
      <c r="R172" s="203">
        <v>0</v>
      </c>
      <c r="S172" s="203"/>
      <c r="T172" s="184">
        <v>0</v>
      </c>
      <c r="U172" s="203"/>
      <c r="V172" s="203"/>
      <c r="W172" s="203"/>
      <c r="X172" s="203"/>
      <c r="Y172" s="203"/>
      <c r="Z172" s="203"/>
    </row>
    <row r="173" spans="6:26" hidden="1">
      <c r="F173" s="173" t="str">
        <f>+F147</f>
        <v>Rabanco Sand Blasting</v>
      </c>
      <c r="G173" s="203">
        <v>0</v>
      </c>
      <c r="H173" s="203">
        <v>0</v>
      </c>
      <c r="I173" s="203">
        <v>0</v>
      </c>
      <c r="J173" s="203">
        <v>0</v>
      </c>
      <c r="K173" s="203">
        <v>0</v>
      </c>
      <c r="L173" s="203">
        <v>0</v>
      </c>
      <c r="M173" s="203">
        <v>0</v>
      </c>
      <c r="N173" s="203">
        <v>0</v>
      </c>
      <c r="O173" s="203">
        <v>0</v>
      </c>
      <c r="P173" s="203">
        <v>0</v>
      </c>
      <c r="Q173" s="203">
        <v>0</v>
      </c>
      <c r="R173" s="203">
        <v>0</v>
      </c>
      <c r="S173" s="203">
        <v>0</v>
      </c>
      <c r="T173" s="184">
        <v>0</v>
      </c>
      <c r="U173" s="203"/>
      <c r="V173" s="203"/>
      <c r="W173" s="203"/>
      <c r="X173" s="203"/>
      <c r="Y173" s="203"/>
      <c r="Z173" s="203"/>
    </row>
    <row r="174" spans="6:26" hidden="1">
      <c r="G174" s="201">
        <v>152.96999999999997</v>
      </c>
      <c r="H174" s="201">
        <v>169.5</v>
      </c>
      <c r="I174" s="201">
        <v>108.03999999999999</v>
      </c>
      <c r="J174" s="201">
        <v>168.91</v>
      </c>
      <c r="K174" s="201">
        <v>125.98</v>
      </c>
      <c r="L174" s="201">
        <v>114.14</v>
      </c>
      <c r="M174" s="201">
        <v>122.05</v>
      </c>
      <c r="N174" s="201">
        <v>107.89</v>
      </c>
      <c r="O174" s="201">
        <v>155.68</v>
      </c>
      <c r="P174" s="201">
        <v>132.67000000000002</v>
      </c>
      <c r="Q174" s="201">
        <v>106.36999999999999</v>
      </c>
      <c r="R174" s="201">
        <v>118.06</v>
      </c>
      <c r="S174" s="201"/>
      <c r="T174" s="224">
        <v>1582.26</v>
      </c>
      <c r="U174" s="203"/>
      <c r="V174" s="203"/>
      <c r="W174" s="203"/>
      <c r="X174" s="203"/>
      <c r="Y174" s="203"/>
      <c r="Z174" s="203"/>
    </row>
    <row r="175" spans="6:26" hidden="1"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7"/>
      <c r="U175" s="203"/>
      <c r="V175" s="203"/>
      <c r="W175" s="203"/>
      <c r="X175" s="203"/>
      <c r="Y175" s="203"/>
      <c r="Z175" s="203"/>
    </row>
    <row r="176" spans="6:26" hidden="1">
      <c r="F176" s="174" t="s">
        <v>253</v>
      </c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7"/>
      <c r="U176" s="203"/>
      <c r="V176" s="203"/>
      <c r="W176" s="203"/>
      <c r="X176" s="203"/>
      <c r="Y176" s="203"/>
      <c r="Z176" s="203"/>
    </row>
    <row r="177" spans="6:26" hidden="1">
      <c r="F177" s="173" t="str">
        <f>+F165</f>
        <v>Rabanco MRF - Mixed Comm</v>
      </c>
      <c r="G177" s="203">
        <v>0</v>
      </c>
      <c r="H177" s="203">
        <v>0</v>
      </c>
      <c r="I177" s="203">
        <v>0</v>
      </c>
      <c r="J177" s="203">
        <v>0</v>
      </c>
      <c r="K177" s="203">
        <v>0</v>
      </c>
      <c r="L177" s="203">
        <v>0</v>
      </c>
      <c r="M177" s="203">
        <v>0</v>
      </c>
      <c r="N177" s="203">
        <v>0</v>
      </c>
      <c r="O177" s="203">
        <v>0</v>
      </c>
      <c r="P177" s="203">
        <v>0</v>
      </c>
      <c r="Q177" s="203">
        <v>0</v>
      </c>
      <c r="R177" s="203">
        <v>0</v>
      </c>
      <c r="S177" s="203"/>
      <c r="T177" s="184">
        <v>0</v>
      </c>
      <c r="U177" s="203"/>
      <c r="V177" s="203"/>
      <c r="W177" s="203"/>
      <c r="X177" s="203"/>
      <c r="Y177" s="203"/>
      <c r="Z177" s="203"/>
    </row>
    <row r="178" spans="6:26" hidden="1">
      <c r="F178" s="173" t="str">
        <f t="shared" ref="F178:F185" si="3">+F166</f>
        <v>Rabanco MRF - Commercial</v>
      </c>
      <c r="G178" s="203">
        <v>1556.19</v>
      </c>
      <c r="H178" s="203">
        <v>1474.6599999999999</v>
      </c>
      <c r="I178" s="203">
        <v>1252.52</v>
      </c>
      <c r="J178" s="203">
        <v>1473.33</v>
      </c>
      <c r="K178" s="203">
        <v>1344.2799999999997</v>
      </c>
      <c r="L178" s="203">
        <v>1272.4100000000001</v>
      </c>
      <c r="M178" s="203">
        <v>1354.9099999999999</v>
      </c>
      <c r="N178" s="203">
        <v>1281.97</v>
      </c>
      <c r="O178" s="203">
        <v>1346.22</v>
      </c>
      <c r="P178" s="203">
        <v>1388.05</v>
      </c>
      <c r="Q178" s="203">
        <v>1339.31</v>
      </c>
      <c r="R178" s="203">
        <v>1546.35</v>
      </c>
      <c r="S178" s="203"/>
      <c r="T178" s="184">
        <v>16630.199999999997</v>
      </c>
      <c r="U178" s="203"/>
      <c r="V178" s="203"/>
      <c r="W178" s="203"/>
      <c r="X178" s="203"/>
      <c r="Y178" s="203"/>
      <c r="Z178" s="203"/>
    </row>
    <row r="179" spans="6:26" hidden="1">
      <c r="F179" s="173" t="str">
        <f t="shared" si="3"/>
        <v>Rabanco MRF - Resi / MF</v>
      </c>
      <c r="G179" s="203">
        <v>819.02</v>
      </c>
      <c r="H179" s="203">
        <v>757.28</v>
      </c>
      <c r="I179" s="203">
        <v>664.07</v>
      </c>
      <c r="J179" s="203">
        <v>757.1</v>
      </c>
      <c r="K179" s="203">
        <v>714.61999999999978</v>
      </c>
      <c r="L179" s="203">
        <v>682.93000000000006</v>
      </c>
      <c r="M179" s="203">
        <v>701.05000000000007</v>
      </c>
      <c r="N179" s="203">
        <v>684.87</v>
      </c>
      <c r="O179" s="203">
        <v>691.81999999999994</v>
      </c>
      <c r="P179" s="203">
        <v>710.81</v>
      </c>
      <c r="Q179" s="203">
        <v>690.66</v>
      </c>
      <c r="R179" s="203">
        <v>821.22</v>
      </c>
      <c r="S179" s="203"/>
      <c r="T179" s="184">
        <v>8695.4499999999989</v>
      </c>
      <c r="U179" s="203"/>
      <c r="V179" s="203"/>
      <c r="W179" s="203"/>
      <c r="X179" s="203"/>
      <c r="Y179" s="203"/>
      <c r="Z179" s="203"/>
    </row>
    <row r="180" spans="6:26" hidden="1">
      <c r="F180" s="173" t="str">
        <f t="shared" si="3"/>
        <v>3rd &amp; Lander - MSW</v>
      </c>
      <c r="G180" s="203">
        <v>0</v>
      </c>
      <c r="H180" s="203">
        <v>0</v>
      </c>
      <c r="I180" s="203">
        <v>0</v>
      </c>
      <c r="J180" s="203">
        <v>0</v>
      </c>
      <c r="K180" s="203">
        <v>0</v>
      </c>
      <c r="L180" s="203">
        <v>0</v>
      </c>
      <c r="M180" s="203">
        <v>0</v>
      </c>
      <c r="N180" s="203">
        <v>0</v>
      </c>
      <c r="O180" s="203">
        <v>0</v>
      </c>
      <c r="P180" s="203">
        <v>0</v>
      </c>
      <c r="Q180" s="203">
        <v>0</v>
      </c>
      <c r="R180" s="203">
        <v>0</v>
      </c>
      <c r="S180" s="203"/>
      <c r="T180" s="184">
        <v>0</v>
      </c>
      <c r="U180" s="203"/>
      <c r="V180" s="203"/>
      <c r="W180" s="203"/>
      <c r="X180" s="203"/>
      <c r="Y180" s="203"/>
      <c r="Z180" s="203"/>
    </row>
    <row r="181" spans="6:26" hidden="1">
      <c r="F181" s="173" t="str">
        <f t="shared" si="3"/>
        <v>3rd &amp; Lander - Yardwaste</v>
      </c>
      <c r="G181" s="203">
        <v>0</v>
      </c>
      <c r="H181" s="203">
        <v>0</v>
      </c>
      <c r="I181" s="203">
        <v>0</v>
      </c>
      <c r="J181" s="203">
        <v>0</v>
      </c>
      <c r="K181" s="203">
        <v>0</v>
      </c>
      <c r="L181" s="203">
        <v>0</v>
      </c>
      <c r="M181" s="203">
        <v>0</v>
      </c>
      <c r="N181" s="203">
        <v>0</v>
      </c>
      <c r="O181" s="203">
        <v>0</v>
      </c>
      <c r="P181" s="203">
        <v>0</v>
      </c>
      <c r="Q181" s="203">
        <v>0</v>
      </c>
      <c r="R181" s="203">
        <v>0</v>
      </c>
      <c r="S181" s="203"/>
      <c r="T181" s="184">
        <v>0</v>
      </c>
      <c r="U181" s="203"/>
      <c r="V181" s="203"/>
      <c r="W181" s="203"/>
      <c r="X181" s="203"/>
      <c r="Y181" s="203"/>
      <c r="Z181" s="203"/>
    </row>
    <row r="182" spans="6:26" hidden="1">
      <c r="F182" s="173" t="str">
        <f t="shared" si="3"/>
        <v>3rd &amp; Lander - Cardboard</v>
      </c>
      <c r="G182" s="203">
        <v>0</v>
      </c>
      <c r="H182" s="203">
        <v>0</v>
      </c>
      <c r="I182" s="203">
        <v>5.7</v>
      </c>
      <c r="J182" s="203">
        <v>1.33</v>
      </c>
      <c r="K182" s="203">
        <v>1.57</v>
      </c>
      <c r="L182" s="203">
        <v>0</v>
      </c>
      <c r="M182" s="203">
        <v>2.06</v>
      </c>
      <c r="N182" s="203">
        <v>0.16</v>
      </c>
      <c r="O182" s="203">
        <v>0</v>
      </c>
      <c r="P182" s="203">
        <v>0</v>
      </c>
      <c r="Q182" s="203">
        <v>0</v>
      </c>
      <c r="R182" s="203">
        <v>0</v>
      </c>
      <c r="S182" s="203"/>
      <c r="T182" s="184">
        <v>10.82</v>
      </c>
      <c r="U182" s="203"/>
      <c r="V182" s="203"/>
      <c r="W182" s="203"/>
      <c r="X182" s="203"/>
      <c r="Y182" s="203"/>
      <c r="Z182" s="203"/>
    </row>
    <row r="183" spans="6:26" hidden="1">
      <c r="F183" s="173" t="str">
        <f t="shared" si="3"/>
        <v>City Contract Street Sweeping</v>
      </c>
      <c r="G183" s="203">
        <v>0</v>
      </c>
      <c r="H183" s="203">
        <v>0</v>
      </c>
      <c r="I183" s="203">
        <v>0</v>
      </c>
      <c r="J183" s="203">
        <v>0</v>
      </c>
      <c r="K183" s="203">
        <v>0</v>
      </c>
      <c r="L183" s="203">
        <v>0</v>
      </c>
      <c r="M183" s="203">
        <v>0</v>
      </c>
      <c r="N183" s="203">
        <v>0</v>
      </c>
      <c r="O183" s="203">
        <v>0</v>
      </c>
      <c r="P183" s="203">
        <v>0</v>
      </c>
      <c r="Q183" s="203">
        <v>0</v>
      </c>
      <c r="R183" s="203">
        <v>0</v>
      </c>
      <c r="S183" s="203"/>
      <c r="T183" s="184">
        <v>0</v>
      </c>
      <c r="U183" s="203"/>
      <c r="V183" s="203"/>
      <c r="W183" s="203"/>
      <c r="X183" s="203"/>
      <c r="Y183" s="203"/>
      <c r="Z183" s="203"/>
    </row>
    <row r="184" spans="6:26" hidden="1">
      <c r="F184" s="173" t="str">
        <f t="shared" si="3"/>
        <v>King County Transfer</v>
      </c>
      <c r="G184" s="203">
        <v>0</v>
      </c>
      <c r="H184" s="203">
        <v>0</v>
      </c>
      <c r="I184" s="203">
        <v>0</v>
      </c>
      <c r="J184" s="203">
        <v>0</v>
      </c>
      <c r="K184" s="203">
        <v>0</v>
      </c>
      <c r="L184" s="203">
        <v>0</v>
      </c>
      <c r="M184" s="203">
        <v>0</v>
      </c>
      <c r="N184" s="203">
        <v>0</v>
      </c>
      <c r="O184" s="203">
        <v>0</v>
      </c>
      <c r="P184" s="203">
        <v>0</v>
      </c>
      <c r="Q184" s="203">
        <v>0</v>
      </c>
      <c r="R184" s="203">
        <v>0</v>
      </c>
      <c r="S184" s="203"/>
      <c r="T184" s="184">
        <v>0</v>
      </c>
      <c r="U184" s="203"/>
      <c r="V184" s="203"/>
      <c r="W184" s="203"/>
      <c r="X184" s="203"/>
      <c r="Y184" s="203"/>
      <c r="Z184" s="203"/>
    </row>
    <row r="185" spans="6:26" hidden="1">
      <c r="F185" s="173" t="str">
        <f t="shared" si="3"/>
        <v>Rabanco Sand Blasting</v>
      </c>
      <c r="G185" s="203">
        <v>0</v>
      </c>
      <c r="H185" s="203">
        <v>0</v>
      </c>
      <c r="I185" s="203">
        <v>0</v>
      </c>
      <c r="J185" s="203">
        <v>0</v>
      </c>
      <c r="K185" s="203">
        <v>0</v>
      </c>
      <c r="L185" s="203">
        <v>0</v>
      </c>
      <c r="M185" s="203">
        <v>0</v>
      </c>
      <c r="N185" s="203">
        <v>0</v>
      </c>
      <c r="O185" s="203">
        <v>0</v>
      </c>
      <c r="P185" s="203">
        <v>0</v>
      </c>
      <c r="Q185" s="203">
        <v>0</v>
      </c>
      <c r="R185" s="203">
        <v>0</v>
      </c>
      <c r="S185" s="203"/>
      <c r="T185" s="184">
        <v>0</v>
      </c>
      <c r="U185" s="203"/>
      <c r="V185" s="203"/>
      <c r="W185" s="203"/>
      <c r="X185" s="203"/>
      <c r="Y185" s="203"/>
      <c r="Z185" s="203"/>
    </row>
    <row r="186" spans="6:26" hidden="1">
      <c r="G186" s="201">
        <v>2375.21</v>
      </c>
      <c r="H186" s="201">
        <v>2231.9399999999996</v>
      </c>
      <c r="I186" s="201">
        <v>1922.2900000000002</v>
      </c>
      <c r="J186" s="201">
        <v>2231.7599999999998</v>
      </c>
      <c r="K186" s="201">
        <v>2060.4699999999998</v>
      </c>
      <c r="L186" s="201">
        <v>1955.3400000000001</v>
      </c>
      <c r="M186" s="201">
        <v>2058.02</v>
      </c>
      <c r="N186" s="201">
        <v>1967.0000000000002</v>
      </c>
      <c r="O186" s="201">
        <v>2038.04</v>
      </c>
      <c r="P186" s="201">
        <v>2098.8599999999997</v>
      </c>
      <c r="Q186" s="201">
        <v>2029.9699999999998</v>
      </c>
      <c r="R186" s="201">
        <v>2367.5699999999997</v>
      </c>
      <c r="S186" s="201"/>
      <c r="T186" s="224">
        <v>25336.47</v>
      </c>
      <c r="U186" s="203"/>
      <c r="V186" s="203"/>
      <c r="W186" s="203"/>
      <c r="X186" s="203"/>
      <c r="Y186" s="203"/>
      <c r="Z186" s="203"/>
    </row>
    <row r="187" spans="6:26"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7"/>
      <c r="U187" s="203"/>
      <c r="V187" s="203"/>
      <c r="W187" s="203"/>
      <c r="X187" s="203"/>
      <c r="Y187" s="203"/>
      <c r="Z187" s="203"/>
    </row>
    <row r="188" spans="6:26"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7"/>
      <c r="U188" s="203"/>
      <c r="V188" s="203"/>
      <c r="W188" s="203"/>
      <c r="X188" s="203"/>
      <c r="Y188" s="203"/>
      <c r="Z188" s="203"/>
    </row>
    <row r="189" spans="6:26"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7"/>
      <c r="U189" s="203"/>
      <c r="V189" s="203"/>
      <c r="W189" s="203"/>
      <c r="X189" s="203"/>
      <c r="Y189" s="203"/>
      <c r="Z189" s="203"/>
    </row>
    <row r="190" spans="6:26"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7"/>
      <c r="U190" s="203"/>
      <c r="V190" s="203"/>
      <c r="W190" s="203"/>
      <c r="X190" s="203"/>
      <c r="Y190" s="203"/>
      <c r="Z190" s="203"/>
    </row>
    <row r="191" spans="6:26"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7"/>
      <c r="U191" s="203"/>
      <c r="V191" s="203"/>
      <c r="W191" s="203"/>
      <c r="X191" s="203"/>
      <c r="Y191" s="203"/>
      <c r="Z191" s="203"/>
    </row>
    <row r="192" spans="6:26"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7"/>
      <c r="U192" s="203"/>
      <c r="V192" s="203"/>
      <c r="W192" s="203"/>
      <c r="X192" s="203"/>
      <c r="Y192" s="203"/>
      <c r="Z192" s="203"/>
    </row>
    <row r="193" spans="7:26"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7"/>
      <c r="U193" s="203"/>
      <c r="V193" s="203"/>
      <c r="W193" s="203"/>
      <c r="X193" s="203"/>
      <c r="Y193" s="203"/>
      <c r="Z193" s="203"/>
    </row>
    <row r="194" spans="7:26"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7"/>
      <c r="U194" s="203"/>
      <c r="V194" s="203"/>
      <c r="W194" s="203"/>
      <c r="X194" s="203"/>
      <c r="Y194" s="203"/>
      <c r="Z194" s="203"/>
    </row>
    <row r="195" spans="7:26"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7"/>
      <c r="U195" s="203"/>
      <c r="V195" s="203"/>
      <c r="W195" s="203"/>
      <c r="X195" s="203"/>
      <c r="Y195" s="203"/>
      <c r="Z195" s="203"/>
    </row>
    <row r="196" spans="7:26"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7"/>
      <c r="U196" s="203"/>
      <c r="V196" s="203"/>
      <c r="W196" s="203"/>
      <c r="X196" s="203"/>
      <c r="Y196" s="203"/>
      <c r="Z196" s="203"/>
    </row>
    <row r="197" spans="7:26"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7"/>
      <c r="U197" s="203"/>
      <c r="V197" s="203"/>
      <c r="W197" s="203"/>
      <c r="X197" s="203"/>
      <c r="Y197" s="203"/>
      <c r="Z197" s="203"/>
    </row>
    <row r="198" spans="7:26"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7"/>
      <c r="U198" s="203"/>
      <c r="V198" s="203"/>
      <c r="W198" s="203"/>
      <c r="X198" s="203"/>
      <c r="Y198" s="203"/>
      <c r="Z198" s="203"/>
    </row>
    <row r="199" spans="7:26"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7"/>
      <c r="U199" s="203"/>
      <c r="V199" s="203"/>
      <c r="W199" s="203"/>
      <c r="X199" s="203"/>
      <c r="Y199" s="203"/>
      <c r="Z199" s="203"/>
    </row>
    <row r="200" spans="7:26"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7"/>
      <c r="U200" s="203"/>
      <c r="V200" s="203"/>
      <c r="W200" s="203"/>
      <c r="X200" s="203"/>
      <c r="Y200" s="203"/>
      <c r="Z200" s="203"/>
    </row>
    <row r="201" spans="7:26"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7"/>
      <c r="U201" s="203"/>
      <c r="V201" s="203"/>
      <c r="W201" s="203"/>
      <c r="X201" s="203"/>
      <c r="Y201" s="203"/>
      <c r="Z201" s="203"/>
    </row>
    <row r="202" spans="7:26"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7"/>
      <c r="U202" s="203"/>
      <c r="V202" s="203"/>
      <c r="W202" s="203"/>
      <c r="X202" s="203"/>
      <c r="Y202" s="203"/>
      <c r="Z202" s="203"/>
    </row>
    <row r="203" spans="7:26"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7"/>
      <c r="U203" s="203"/>
      <c r="V203" s="203"/>
      <c r="W203" s="203"/>
      <c r="X203" s="203"/>
      <c r="Y203" s="203"/>
      <c r="Z203" s="203"/>
    </row>
    <row r="204" spans="7:26"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7"/>
      <c r="U204" s="203"/>
      <c r="V204" s="203"/>
      <c r="W204" s="203"/>
      <c r="X204" s="203"/>
      <c r="Y204" s="203"/>
      <c r="Z204" s="203"/>
    </row>
    <row r="205" spans="7:26"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7"/>
      <c r="U205" s="203"/>
      <c r="V205" s="203"/>
      <c r="W205" s="203"/>
      <c r="X205" s="203"/>
      <c r="Y205" s="203"/>
      <c r="Z205" s="203"/>
    </row>
    <row r="206" spans="7:26"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7"/>
      <c r="U206" s="203"/>
      <c r="V206" s="203"/>
      <c r="W206" s="203"/>
      <c r="X206" s="203"/>
      <c r="Y206" s="203"/>
      <c r="Z206" s="203"/>
    </row>
    <row r="207" spans="7:26"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7"/>
      <c r="U207" s="203"/>
      <c r="V207" s="203"/>
      <c r="W207" s="203"/>
      <c r="X207" s="203"/>
      <c r="Y207" s="203"/>
      <c r="Z207" s="203"/>
    </row>
    <row r="208" spans="7:26"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  <c r="S208" s="203"/>
      <c r="T208" s="207"/>
      <c r="U208" s="203"/>
      <c r="V208" s="203"/>
      <c r="W208" s="203"/>
      <c r="X208" s="203"/>
      <c r="Y208" s="203"/>
      <c r="Z208" s="203"/>
    </row>
    <row r="209" spans="7:26"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7"/>
      <c r="U209" s="203"/>
      <c r="V209" s="203"/>
      <c r="W209" s="203"/>
      <c r="X209" s="203"/>
      <c r="Y209" s="203"/>
      <c r="Z209" s="203"/>
    </row>
    <row r="210" spans="7:26"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03"/>
      <c r="S210" s="203"/>
      <c r="T210" s="207"/>
      <c r="U210" s="203"/>
      <c r="V210" s="203"/>
      <c r="W210" s="203"/>
      <c r="X210" s="203"/>
      <c r="Y210" s="203"/>
      <c r="Z210" s="203"/>
    </row>
    <row r="211" spans="7:26"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03"/>
      <c r="R211" s="203"/>
      <c r="S211" s="203"/>
      <c r="T211" s="207"/>
      <c r="U211" s="203"/>
      <c r="V211" s="203"/>
      <c r="W211" s="203"/>
      <c r="X211" s="203"/>
      <c r="Y211" s="203"/>
      <c r="Z211" s="203"/>
    </row>
    <row r="212" spans="7:26"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03"/>
      <c r="S212" s="203"/>
      <c r="T212" s="207"/>
      <c r="U212" s="203"/>
      <c r="V212" s="203"/>
      <c r="W212" s="203"/>
      <c r="X212" s="203"/>
      <c r="Y212" s="203"/>
      <c r="Z212" s="203"/>
    </row>
    <row r="213" spans="7:26"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03"/>
      <c r="S213" s="203"/>
      <c r="T213" s="207"/>
      <c r="U213" s="203"/>
      <c r="V213" s="203"/>
      <c r="W213" s="203"/>
      <c r="X213" s="203"/>
      <c r="Y213" s="203"/>
      <c r="Z213" s="203"/>
    </row>
    <row r="214" spans="7:26"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03"/>
      <c r="S214" s="203"/>
      <c r="T214" s="207"/>
      <c r="U214" s="203"/>
      <c r="V214" s="203"/>
      <c r="W214" s="203"/>
      <c r="X214" s="203"/>
      <c r="Y214" s="203"/>
      <c r="Z214" s="203"/>
    </row>
    <row r="215" spans="7:26"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  <c r="S215" s="203"/>
      <c r="T215" s="207"/>
      <c r="U215" s="203"/>
      <c r="V215" s="203"/>
      <c r="W215" s="203"/>
      <c r="X215" s="203"/>
      <c r="Y215" s="203"/>
      <c r="Z215" s="203"/>
    </row>
    <row r="216" spans="7:26"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  <c r="S216" s="203"/>
      <c r="T216" s="207"/>
      <c r="U216" s="203"/>
      <c r="V216" s="203"/>
      <c r="W216" s="203"/>
      <c r="X216" s="203"/>
      <c r="Y216" s="203"/>
      <c r="Z216" s="203"/>
    </row>
    <row r="217" spans="7:26"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7"/>
      <c r="U217" s="203"/>
      <c r="V217" s="203"/>
      <c r="W217" s="203"/>
      <c r="X217" s="203"/>
      <c r="Y217" s="203"/>
      <c r="Z217" s="203"/>
    </row>
    <row r="218" spans="7:26"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03"/>
      <c r="R218" s="203"/>
      <c r="S218" s="203"/>
      <c r="T218" s="207"/>
      <c r="U218" s="203"/>
      <c r="V218" s="203"/>
      <c r="W218" s="203"/>
      <c r="X218" s="203"/>
      <c r="Y218" s="203"/>
      <c r="Z218" s="203"/>
    </row>
    <row r="219" spans="7:26"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03"/>
      <c r="S219" s="203"/>
      <c r="T219" s="207"/>
      <c r="U219" s="203"/>
      <c r="V219" s="203"/>
      <c r="W219" s="203"/>
      <c r="X219" s="203"/>
      <c r="Y219" s="203"/>
      <c r="Z219" s="203"/>
    </row>
    <row r="220" spans="7:26"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03"/>
      <c r="S220" s="203"/>
      <c r="T220" s="207"/>
      <c r="U220" s="203"/>
      <c r="V220" s="203"/>
      <c r="W220" s="203"/>
      <c r="X220" s="203"/>
      <c r="Y220" s="203"/>
      <c r="Z220" s="203"/>
    </row>
    <row r="221" spans="7:26"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03"/>
      <c r="S221" s="203"/>
      <c r="T221" s="207"/>
      <c r="U221" s="203"/>
      <c r="V221" s="203"/>
      <c r="W221" s="203"/>
      <c r="X221" s="203"/>
      <c r="Y221" s="203"/>
      <c r="Z221" s="203"/>
    </row>
    <row r="222" spans="7:26"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7"/>
      <c r="U222" s="203"/>
      <c r="V222" s="203"/>
      <c r="W222" s="203"/>
      <c r="X222" s="203"/>
      <c r="Y222" s="203"/>
      <c r="Z222" s="203"/>
    </row>
    <row r="223" spans="7:26"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03"/>
      <c r="S223" s="203"/>
      <c r="T223" s="207"/>
      <c r="U223" s="203"/>
      <c r="V223" s="203"/>
      <c r="W223" s="203"/>
      <c r="X223" s="203"/>
      <c r="Y223" s="203"/>
      <c r="Z223" s="203"/>
    </row>
    <row r="224" spans="7:26"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  <c r="S224" s="203"/>
      <c r="T224" s="207"/>
      <c r="U224" s="203"/>
      <c r="V224" s="203"/>
      <c r="W224" s="203"/>
      <c r="X224" s="203"/>
      <c r="Y224" s="203"/>
      <c r="Z224" s="203"/>
    </row>
    <row r="225" spans="7:26"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03"/>
      <c r="R225" s="203"/>
      <c r="S225" s="203"/>
      <c r="T225" s="207"/>
      <c r="U225" s="203"/>
      <c r="V225" s="203"/>
      <c r="W225" s="203"/>
      <c r="X225" s="203"/>
      <c r="Y225" s="203"/>
      <c r="Z225" s="203"/>
    </row>
    <row r="226" spans="7:26"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03"/>
      <c r="R226" s="203"/>
      <c r="S226" s="203"/>
      <c r="T226" s="207"/>
      <c r="U226" s="203"/>
      <c r="V226" s="203"/>
      <c r="W226" s="203"/>
      <c r="X226" s="203"/>
      <c r="Y226" s="203"/>
      <c r="Z226" s="203"/>
    </row>
    <row r="227" spans="7:26"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  <c r="S227" s="203"/>
      <c r="T227" s="207"/>
      <c r="U227" s="203"/>
      <c r="V227" s="203"/>
      <c r="W227" s="203"/>
      <c r="X227" s="203"/>
      <c r="Y227" s="203"/>
      <c r="Z227" s="203"/>
    </row>
    <row r="228" spans="7:26"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03"/>
      <c r="S228" s="203"/>
      <c r="T228" s="207"/>
      <c r="U228" s="203"/>
      <c r="V228" s="203"/>
      <c r="W228" s="203"/>
      <c r="X228" s="203"/>
      <c r="Y228" s="203"/>
      <c r="Z228" s="203"/>
    </row>
    <row r="229" spans="7:26"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  <c r="S229" s="203"/>
      <c r="T229" s="207"/>
      <c r="U229" s="203"/>
      <c r="V229" s="203"/>
      <c r="W229" s="203"/>
      <c r="X229" s="203"/>
      <c r="Y229" s="203"/>
      <c r="Z229" s="203"/>
    </row>
    <row r="230" spans="7:26"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  <c r="S230" s="203"/>
      <c r="T230" s="207"/>
      <c r="U230" s="203"/>
      <c r="V230" s="203"/>
      <c r="W230" s="203"/>
      <c r="X230" s="203"/>
      <c r="Y230" s="203"/>
      <c r="Z230" s="203"/>
    </row>
    <row r="231" spans="7:26"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  <c r="S231" s="203"/>
      <c r="T231" s="207"/>
      <c r="U231" s="203"/>
      <c r="V231" s="203"/>
      <c r="W231" s="203"/>
      <c r="X231" s="203"/>
      <c r="Y231" s="203"/>
      <c r="Z231" s="203"/>
    </row>
    <row r="232" spans="7:26"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  <c r="S232" s="203"/>
      <c r="T232" s="207"/>
      <c r="U232" s="203"/>
      <c r="V232" s="203"/>
      <c r="W232" s="203"/>
      <c r="X232" s="203"/>
      <c r="Y232" s="203"/>
      <c r="Z232" s="203"/>
    </row>
    <row r="233" spans="7:26"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03"/>
      <c r="S233" s="203"/>
      <c r="T233" s="207"/>
      <c r="U233" s="203"/>
      <c r="V233" s="203"/>
      <c r="W233" s="203"/>
      <c r="X233" s="203"/>
      <c r="Y233" s="203"/>
      <c r="Z233" s="203"/>
    </row>
    <row r="234" spans="7:26"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03"/>
      <c r="S234" s="203"/>
      <c r="T234" s="207"/>
      <c r="U234" s="203"/>
      <c r="V234" s="203"/>
      <c r="W234" s="203"/>
      <c r="X234" s="203"/>
      <c r="Y234" s="203"/>
      <c r="Z234" s="203"/>
    </row>
    <row r="235" spans="7:26"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  <c r="S235" s="203"/>
      <c r="T235" s="207"/>
      <c r="U235" s="203"/>
      <c r="V235" s="203"/>
      <c r="W235" s="203"/>
      <c r="X235" s="203"/>
      <c r="Y235" s="203"/>
      <c r="Z235" s="203"/>
    </row>
    <row r="236" spans="7:26"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03"/>
      <c r="S236" s="203"/>
      <c r="T236" s="207"/>
      <c r="U236" s="203"/>
      <c r="V236" s="203"/>
      <c r="W236" s="203"/>
      <c r="X236" s="203"/>
      <c r="Y236" s="203"/>
      <c r="Z236" s="203"/>
    </row>
    <row r="237" spans="7:26"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03"/>
      <c r="S237" s="203"/>
      <c r="T237" s="207"/>
      <c r="U237" s="203"/>
      <c r="V237" s="203"/>
      <c r="W237" s="203"/>
      <c r="X237" s="203"/>
      <c r="Y237" s="203"/>
      <c r="Z237" s="203"/>
    </row>
    <row r="238" spans="7:26"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03"/>
      <c r="S238" s="203"/>
      <c r="T238" s="207"/>
      <c r="U238" s="203"/>
      <c r="V238" s="203"/>
      <c r="W238" s="203"/>
      <c r="X238" s="203"/>
      <c r="Y238" s="203"/>
      <c r="Z238" s="203"/>
    </row>
    <row r="239" spans="7:26"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  <c r="S239" s="203"/>
      <c r="T239" s="207"/>
      <c r="U239" s="203"/>
      <c r="V239" s="203"/>
      <c r="W239" s="203"/>
      <c r="X239" s="203"/>
      <c r="Y239" s="203"/>
      <c r="Z239" s="203"/>
    </row>
    <row r="240" spans="7:26"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03"/>
      <c r="R240" s="203"/>
      <c r="S240" s="203"/>
      <c r="T240" s="207"/>
      <c r="U240" s="203"/>
      <c r="V240" s="203"/>
      <c r="W240" s="203"/>
      <c r="X240" s="203"/>
      <c r="Y240" s="203"/>
      <c r="Z240" s="203"/>
    </row>
    <row r="241" spans="7:26"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  <c r="S241" s="203"/>
      <c r="T241" s="207"/>
      <c r="U241" s="203"/>
      <c r="V241" s="203"/>
      <c r="W241" s="203"/>
      <c r="X241" s="203"/>
      <c r="Y241" s="203"/>
      <c r="Z241" s="203"/>
    </row>
    <row r="242" spans="7:26"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7"/>
      <c r="U242" s="203"/>
      <c r="V242" s="203"/>
      <c r="W242" s="203"/>
      <c r="X242" s="203"/>
      <c r="Y242" s="203"/>
      <c r="Z242" s="203"/>
    </row>
    <row r="243" spans="7:26"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  <c r="S243" s="203"/>
      <c r="T243" s="207"/>
      <c r="U243" s="203"/>
      <c r="V243" s="203"/>
      <c r="W243" s="203"/>
      <c r="X243" s="203"/>
      <c r="Y243" s="203"/>
      <c r="Z243" s="203"/>
    </row>
    <row r="244" spans="7:26"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7"/>
      <c r="U244" s="203"/>
      <c r="V244" s="203"/>
      <c r="W244" s="203"/>
      <c r="X244" s="203"/>
      <c r="Y244" s="203"/>
      <c r="Z244" s="203"/>
    </row>
    <row r="245" spans="7:26"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  <c r="S245" s="203"/>
      <c r="T245" s="207"/>
      <c r="U245" s="203"/>
      <c r="V245" s="203"/>
      <c r="W245" s="203"/>
      <c r="X245" s="203"/>
      <c r="Y245" s="203"/>
      <c r="Z245" s="203"/>
    </row>
    <row r="246" spans="7:26"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  <c r="S246" s="203"/>
      <c r="T246" s="207"/>
      <c r="U246" s="203"/>
      <c r="V246" s="203"/>
      <c r="W246" s="203"/>
      <c r="X246" s="203"/>
      <c r="Y246" s="203"/>
      <c r="Z246" s="203"/>
    </row>
    <row r="247" spans="7:26"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03"/>
      <c r="R247" s="203"/>
      <c r="S247" s="203"/>
      <c r="T247" s="207"/>
      <c r="U247" s="203"/>
      <c r="V247" s="203"/>
      <c r="W247" s="203"/>
      <c r="X247" s="203"/>
      <c r="Y247" s="203"/>
      <c r="Z247" s="203"/>
    </row>
    <row r="248" spans="7:26"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03"/>
      <c r="S248" s="203"/>
      <c r="T248" s="207"/>
      <c r="U248" s="203"/>
      <c r="V248" s="203"/>
      <c r="W248" s="203"/>
      <c r="X248" s="203"/>
      <c r="Y248" s="203"/>
      <c r="Z248" s="203"/>
    </row>
    <row r="249" spans="7:26"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  <c r="S249" s="203"/>
      <c r="T249" s="207"/>
      <c r="U249" s="203"/>
      <c r="V249" s="203"/>
      <c r="W249" s="203"/>
      <c r="X249" s="203"/>
      <c r="Y249" s="203"/>
      <c r="Z249" s="203"/>
    </row>
    <row r="250" spans="7:26"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207"/>
      <c r="U250" s="203"/>
      <c r="V250" s="203"/>
      <c r="W250" s="203"/>
      <c r="X250" s="203"/>
      <c r="Y250" s="203"/>
      <c r="Z250" s="203"/>
    </row>
    <row r="251" spans="7:26"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  <c r="S251" s="203"/>
      <c r="T251" s="207"/>
      <c r="U251" s="203"/>
      <c r="V251" s="203"/>
      <c r="W251" s="203"/>
      <c r="X251" s="203"/>
      <c r="Y251" s="203"/>
      <c r="Z251" s="203"/>
    </row>
    <row r="252" spans="7:26"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03"/>
      <c r="S252" s="203"/>
      <c r="T252" s="207"/>
      <c r="U252" s="203"/>
      <c r="V252" s="203"/>
      <c r="W252" s="203"/>
      <c r="X252" s="203"/>
      <c r="Y252" s="203"/>
      <c r="Z252" s="203"/>
    </row>
    <row r="253" spans="7:26"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03"/>
      <c r="R253" s="203"/>
      <c r="S253" s="203"/>
      <c r="T253" s="207"/>
      <c r="U253" s="203"/>
      <c r="V253" s="203"/>
      <c r="W253" s="203"/>
      <c r="X253" s="203"/>
      <c r="Y253" s="203"/>
      <c r="Z253" s="203"/>
    </row>
    <row r="254" spans="7:26"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03"/>
      <c r="R254" s="203"/>
      <c r="S254" s="203"/>
      <c r="T254" s="207"/>
      <c r="U254" s="203"/>
      <c r="V254" s="203"/>
      <c r="W254" s="203"/>
      <c r="X254" s="203"/>
      <c r="Y254" s="203"/>
      <c r="Z254" s="203"/>
    </row>
    <row r="255" spans="7:26"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03"/>
      <c r="R255" s="203"/>
      <c r="S255" s="203"/>
      <c r="T255" s="207"/>
      <c r="U255" s="203"/>
      <c r="V255" s="203"/>
      <c r="W255" s="203"/>
      <c r="X255" s="203"/>
      <c r="Y255" s="203"/>
      <c r="Z255" s="203"/>
    </row>
    <row r="256" spans="7:26"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7"/>
      <c r="U256" s="203"/>
      <c r="V256" s="203"/>
      <c r="W256" s="203"/>
      <c r="X256" s="203"/>
      <c r="Y256" s="203"/>
      <c r="Z256" s="203"/>
    </row>
    <row r="257" spans="7:26"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03"/>
      <c r="R257" s="203"/>
      <c r="S257" s="203"/>
      <c r="T257" s="207"/>
      <c r="U257" s="203"/>
      <c r="V257" s="203"/>
      <c r="W257" s="203"/>
      <c r="X257" s="203"/>
      <c r="Y257" s="203"/>
      <c r="Z257" s="203"/>
    </row>
    <row r="258" spans="7:26"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7"/>
      <c r="U258" s="203"/>
      <c r="V258" s="203"/>
      <c r="W258" s="203"/>
      <c r="X258" s="203"/>
      <c r="Y258" s="203"/>
      <c r="Z258" s="203"/>
    </row>
    <row r="259" spans="7:26"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03"/>
      <c r="S259" s="203"/>
      <c r="T259" s="207"/>
      <c r="U259" s="203"/>
      <c r="V259" s="203"/>
      <c r="W259" s="203"/>
      <c r="X259" s="203"/>
      <c r="Y259" s="203"/>
      <c r="Z259" s="203"/>
    </row>
    <row r="260" spans="7:26"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03"/>
      <c r="R260" s="203"/>
      <c r="S260" s="203"/>
      <c r="T260" s="207"/>
      <c r="U260" s="203"/>
      <c r="V260" s="203"/>
      <c r="W260" s="203"/>
      <c r="X260" s="203"/>
      <c r="Y260" s="203"/>
      <c r="Z260" s="203"/>
    </row>
    <row r="261" spans="7:26"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03"/>
      <c r="R261" s="203"/>
      <c r="S261" s="203"/>
      <c r="T261" s="207"/>
      <c r="U261" s="203"/>
      <c r="V261" s="203"/>
      <c r="W261" s="203"/>
      <c r="X261" s="203"/>
      <c r="Y261" s="203"/>
      <c r="Z261" s="203"/>
    </row>
    <row r="262" spans="7:26"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03"/>
      <c r="R262" s="203"/>
      <c r="S262" s="203"/>
      <c r="T262" s="207"/>
      <c r="U262" s="203"/>
      <c r="V262" s="203"/>
      <c r="W262" s="203"/>
      <c r="X262" s="203"/>
      <c r="Y262" s="203"/>
      <c r="Z262" s="203"/>
    </row>
    <row r="263" spans="7:26"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03"/>
      <c r="R263" s="203"/>
      <c r="S263" s="203"/>
      <c r="T263" s="207"/>
      <c r="U263" s="203"/>
      <c r="V263" s="203"/>
      <c r="W263" s="203"/>
      <c r="X263" s="203"/>
      <c r="Y263" s="203"/>
      <c r="Z263" s="203"/>
    </row>
    <row r="264" spans="7:26"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03"/>
      <c r="R264" s="203"/>
      <c r="S264" s="203"/>
      <c r="T264" s="207"/>
      <c r="U264" s="203"/>
      <c r="V264" s="203"/>
      <c r="W264" s="203"/>
      <c r="X264" s="203"/>
      <c r="Y264" s="203"/>
      <c r="Z264" s="203"/>
    </row>
    <row r="265" spans="7:26"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03"/>
      <c r="R265" s="203"/>
      <c r="S265" s="203"/>
      <c r="T265" s="207"/>
      <c r="U265" s="203"/>
      <c r="V265" s="203"/>
      <c r="W265" s="203"/>
      <c r="X265" s="203"/>
      <c r="Y265" s="203"/>
      <c r="Z265" s="203"/>
    </row>
    <row r="266" spans="7:26"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03"/>
      <c r="R266" s="203"/>
      <c r="S266" s="203"/>
      <c r="T266" s="207"/>
      <c r="U266" s="203"/>
      <c r="V266" s="203"/>
      <c r="W266" s="203"/>
      <c r="X266" s="203"/>
      <c r="Y266" s="203"/>
      <c r="Z266" s="203"/>
    </row>
    <row r="267" spans="7:26"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03"/>
      <c r="S267" s="203"/>
      <c r="T267" s="207"/>
      <c r="U267" s="203"/>
      <c r="V267" s="203"/>
      <c r="W267" s="203"/>
      <c r="X267" s="203"/>
      <c r="Y267" s="203"/>
      <c r="Z267" s="203"/>
    </row>
    <row r="268" spans="7:26"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03"/>
      <c r="R268" s="203"/>
      <c r="S268" s="203"/>
      <c r="T268" s="207"/>
      <c r="U268" s="203"/>
      <c r="V268" s="203"/>
      <c r="W268" s="203"/>
      <c r="X268" s="203"/>
      <c r="Y268" s="203"/>
      <c r="Z268" s="203"/>
    </row>
    <row r="269" spans="7:26"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  <c r="S269" s="203"/>
      <c r="T269" s="207"/>
      <c r="U269" s="203"/>
      <c r="V269" s="203"/>
      <c r="W269" s="203"/>
      <c r="X269" s="203"/>
      <c r="Y269" s="203"/>
      <c r="Z269" s="203"/>
    </row>
    <row r="270" spans="7:26"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03"/>
      <c r="R270" s="203"/>
      <c r="S270" s="203"/>
      <c r="T270" s="207"/>
      <c r="U270" s="203"/>
      <c r="V270" s="203"/>
      <c r="W270" s="203"/>
      <c r="X270" s="203"/>
      <c r="Y270" s="203"/>
      <c r="Z270" s="203"/>
    </row>
    <row r="271" spans="7:26"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03"/>
      <c r="R271" s="203"/>
      <c r="S271" s="203"/>
      <c r="T271" s="207"/>
      <c r="U271" s="203"/>
      <c r="V271" s="203"/>
      <c r="W271" s="203"/>
      <c r="X271" s="203"/>
      <c r="Y271" s="203"/>
      <c r="Z271" s="203"/>
    </row>
    <row r="272" spans="7:26"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7"/>
      <c r="U272" s="203"/>
      <c r="V272" s="203"/>
      <c r="W272" s="203"/>
      <c r="X272" s="203"/>
      <c r="Y272" s="203"/>
      <c r="Z272" s="203"/>
    </row>
    <row r="273" spans="7:26"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  <c r="S273" s="203"/>
      <c r="T273" s="207"/>
      <c r="U273" s="203"/>
      <c r="V273" s="203"/>
      <c r="W273" s="203"/>
      <c r="X273" s="203"/>
      <c r="Y273" s="203"/>
      <c r="Z273" s="203"/>
    </row>
    <row r="274" spans="7:26"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  <c r="S274" s="203"/>
      <c r="T274" s="207"/>
      <c r="U274" s="203"/>
      <c r="V274" s="203"/>
      <c r="W274" s="203"/>
      <c r="X274" s="203"/>
      <c r="Y274" s="203"/>
      <c r="Z274" s="203"/>
    </row>
    <row r="275" spans="7:26"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  <c r="S275" s="203"/>
      <c r="T275" s="207"/>
      <c r="U275" s="203"/>
      <c r="V275" s="203"/>
      <c r="W275" s="203"/>
      <c r="X275" s="203"/>
      <c r="Y275" s="203"/>
      <c r="Z275" s="203"/>
    </row>
    <row r="276" spans="7:26"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  <c r="S276" s="203"/>
      <c r="T276" s="207"/>
      <c r="U276" s="203"/>
      <c r="V276" s="203"/>
      <c r="W276" s="203"/>
      <c r="X276" s="203"/>
      <c r="Y276" s="203"/>
      <c r="Z276" s="203"/>
    </row>
    <row r="277" spans="7:26"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03"/>
      <c r="R277" s="203"/>
      <c r="S277" s="203"/>
      <c r="T277" s="207"/>
      <c r="U277" s="203"/>
      <c r="V277" s="203"/>
      <c r="W277" s="203"/>
      <c r="X277" s="203"/>
      <c r="Y277" s="203"/>
      <c r="Z277" s="203"/>
    </row>
    <row r="278" spans="7:26"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03"/>
      <c r="R278" s="203"/>
      <c r="S278" s="203"/>
      <c r="T278" s="207"/>
      <c r="U278" s="203"/>
      <c r="V278" s="203"/>
      <c r="W278" s="203"/>
      <c r="X278" s="203"/>
      <c r="Y278" s="203"/>
      <c r="Z278" s="203"/>
    </row>
    <row r="279" spans="7:26"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7"/>
      <c r="U279" s="203"/>
      <c r="V279" s="203"/>
      <c r="W279" s="203"/>
      <c r="X279" s="203"/>
      <c r="Y279" s="203"/>
      <c r="Z279" s="203"/>
    </row>
    <row r="280" spans="7:26"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03"/>
      <c r="R280" s="203"/>
      <c r="S280" s="203"/>
      <c r="T280" s="207"/>
      <c r="U280" s="203"/>
      <c r="V280" s="203"/>
      <c r="W280" s="203"/>
      <c r="X280" s="203"/>
      <c r="Y280" s="203"/>
      <c r="Z280" s="203"/>
    </row>
    <row r="281" spans="7:26"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7"/>
      <c r="U281" s="203"/>
      <c r="V281" s="203"/>
      <c r="W281" s="203"/>
      <c r="X281" s="203"/>
      <c r="Y281" s="203"/>
      <c r="Z281" s="203"/>
    </row>
    <row r="282" spans="7:26"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03"/>
      <c r="R282" s="203"/>
      <c r="S282" s="203"/>
      <c r="T282" s="207"/>
      <c r="U282" s="203"/>
      <c r="V282" s="203"/>
      <c r="W282" s="203"/>
      <c r="X282" s="203"/>
      <c r="Y282" s="203"/>
      <c r="Z282" s="203"/>
    </row>
    <row r="283" spans="7:26"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03"/>
      <c r="R283" s="203"/>
      <c r="S283" s="203"/>
      <c r="T283" s="207"/>
      <c r="U283" s="203"/>
      <c r="V283" s="203"/>
      <c r="W283" s="203"/>
      <c r="X283" s="203"/>
      <c r="Y283" s="203"/>
      <c r="Z283" s="203"/>
    </row>
    <row r="284" spans="7:26"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03"/>
      <c r="S284" s="203"/>
      <c r="T284" s="207"/>
      <c r="U284" s="203"/>
      <c r="V284" s="203"/>
      <c r="W284" s="203"/>
      <c r="X284" s="203"/>
      <c r="Y284" s="203"/>
      <c r="Z284" s="203"/>
    </row>
    <row r="285" spans="7:26"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03"/>
      <c r="R285" s="203"/>
      <c r="S285" s="203"/>
      <c r="T285" s="207"/>
      <c r="U285" s="203"/>
      <c r="V285" s="203"/>
      <c r="W285" s="203"/>
      <c r="X285" s="203"/>
      <c r="Y285" s="203"/>
      <c r="Z285" s="203"/>
    </row>
    <row r="286" spans="7:26"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03"/>
      <c r="S286" s="203"/>
      <c r="T286" s="207"/>
      <c r="U286" s="203"/>
      <c r="V286" s="203"/>
      <c r="W286" s="203"/>
      <c r="X286" s="203"/>
      <c r="Y286" s="203"/>
      <c r="Z286" s="203"/>
    </row>
    <row r="287" spans="7:26"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03"/>
      <c r="R287" s="203"/>
      <c r="S287" s="203"/>
      <c r="T287" s="207"/>
      <c r="U287" s="203"/>
      <c r="V287" s="203"/>
      <c r="W287" s="203"/>
      <c r="X287" s="203"/>
      <c r="Y287" s="203"/>
      <c r="Z287" s="203"/>
    </row>
    <row r="288" spans="7:26"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03"/>
      <c r="S288" s="203"/>
      <c r="T288" s="207"/>
      <c r="U288" s="203"/>
      <c r="V288" s="203"/>
      <c r="W288" s="203"/>
      <c r="X288" s="203"/>
      <c r="Y288" s="203"/>
      <c r="Z288" s="203"/>
    </row>
    <row r="289" spans="7:26"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03"/>
      <c r="R289" s="203"/>
      <c r="S289" s="203"/>
      <c r="T289" s="207"/>
      <c r="U289" s="203"/>
      <c r="V289" s="203"/>
      <c r="W289" s="203"/>
      <c r="X289" s="203"/>
      <c r="Y289" s="203"/>
      <c r="Z289" s="203"/>
    </row>
    <row r="290" spans="7:26"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03"/>
      <c r="S290" s="203"/>
      <c r="T290" s="207"/>
      <c r="U290" s="203"/>
      <c r="V290" s="203"/>
      <c r="W290" s="203"/>
      <c r="X290" s="203"/>
      <c r="Y290" s="203"/>
      <c r="Z290" s="203"/>
    </row>
    <row r="291" spans="7:26"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03"/>
      <c r="S291" s="203"/>
      <c r="T291" s="207"/>
      <c r="U291" s="203"/>
      <c r="V291" s="203"/>
      <c r="W291" s="203"/>
      <c r="X291" s="203"/>
      <c r="Y291" s="203"/>
      <c r="Z291" s="203"/>
    </row>
    <row r="292" spans="7:26"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03"/>
      <c r="R292" s="203"/>
      <c r="S292" s="203"/>
      <c r="T292" s="207"/>
      <c r="U292" s="203"/>
      <c r="V292" s="203"/>
      <c r="W292" s="203"/>
      <c r="X292" s="203"/>
      <c r="Y292" s="203"/>
      <c r="Z292" s="203"/>
    </row>
    <row r="293" spans="7:26"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03"/>
      <c r="R293" s="203"/>
      <c r="S293" s="203"/>
      <c r="T293" s="207"/>
      <c r="U293" s="203"/>
      <c r="V293" s="203"/>
      <c r="W293" s="203"/>
      <c r="X293" s="203"/>
      <c r="Y293" s="203"/>
      <c r="Z293" s="203"/>
    </row>
    <row r="294" spans="7:26"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03"/>
      <c r="R294" s="203"/>
      <c r="S294" s="203"/>
      <c r="T294" s="207"/>
      <c r="U294" s="203"/>
      <c r="V294" s="203"/>
      <c r="W294" s="203"/>
      <c r="X294" s="203"/>
      <c r="Y294" s="203"/>
      <c r="Z294" s="203"/>
    </row>
    <row r="295" spans="7:26"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03"/>
      <c r="R295" s="203"/>
      <c r="S295" s="203"/>
      <c r="T295" s="207"/>
      <c r="U295" s="203"/>
      <c r="V295" s="203"/>
      <c r="W295" s="203"/>
      <c r="X295" s="203"/>
      <c r="Y295" s="203"/>
      <c r="Z295" s="203"/>
    </row>
    <row r="296" spans="7:26"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03"/>
      <c r="R296" s="203"/>
      <c r="S296" s="203"/>
      <c r="T296" s="207"/>
      <c r="U296" s="203"/>
      <c r="V296" s="203"/>
      <c r="W296" s="203"/>
      <c r="X296" s="203"/>
      <c r="Y296" s="203"/>
      <c r="Z296" s="203"/>
    </row>
    <row r="297" spans="7:26"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03"/>
      <c r="R297" s="203"/>
      <c r="S297" s="203"/>
      <c r="T297" s="207"/>
      <c r="U297" s="203"/>
      <c r="V297" s="203"/>
      <c r="W297" s="203"/>
      <c r="X297" s="203"/>
      <c r="Y297" s="203"/>
      <c r="Z297" s="203"/>
    </row>
    <row r="298" spans="7:26"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03"/>
      <c r="R298" s="203"/>
      <c r="S298" s="203"/>
      <c r="T298" s="207"/>
      <c r="U298" s="203"/>
      <c r="V298" s="203"/>
      <c r="W298" s="203"/>
      <c r="X298" s="203"/>
      <c r="Y298" s="203"/>
      <c r="Z298" s="203"/>
    </row>
    <row r="299" spans="7:26"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03"/>
      <c r="R299" s="203"/>
      <c r="S299" s="203"/>
      <c r="T299" s="207"/>
      <c r="U299" s="203"/>
      <c r="V299" s="203"/>
      <c r="W299" s="203"/>
      <c r="X299" s="203"/>
      <c r="Y299" s="203"/>
      <c r="Z299" s="203"/>
    </row>
    <row r="300" spans="7:26"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03"/>
      <c r="R300" s="203"/>
      <c r="S300" s="203"/>
      <c r="T300" s="207"/>
      <c r="U300" s="203"/>
      <c r="V300" s="203"/>
      <c r="W300" s="203"/>
      <c r="X300" s="203"/>
      <c r="Y300" s="203"/>
      <c r="Z300" s="203"/>
    </row>
    <row r="301" spans="7:26"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03"/>
      <c r="R301" s="203"/>
      <c r="S301" s="203"/>
      <c r="T301" s="207"/>
      <c r="U301" s="203"/>
      <c r="V301" s="203"/>
      <c r="W301" s="203"/>
      <c r="X301" s="203"/>
      <c r="Y301" s="203"/>
      <c r="Z301" s="203"/>
    </row>
    <row r="302" spans="7:26"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03"/>
      <c r="R302" s="203"/>
      <c r="S302" s="203"/>
      <c r="T302" s="207"/>
      <c r="U302" s="203"/>
      <c r="V302" s="203"/>
      <c r="W302" s="203"/>
      <c r="X302" s="203"/>
      <c r="Y302" s="203"/>
      <c r="Z302" s="203"/>
    </row>
    <row r="303" spans="7:26"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03"/>
      <c r="R303" s="203"/>
      <c r="S303" s="203"/>
      <c r="T303" s="207"/>
      <c r="U303" s="203"/>
      <c r="V303" s="203"/>
      <c r="W303" s="203"/>
      <c r="X303" s="203"/>
      <c r="Y303" s="203"/>
      <c r="Z303" s="203"/>
    </row>
    <row r="304" spans="7:26"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03"/>
      <c r="R304" s="203"/>
      <c r="S304" s="203"/>
      <c r="T304" s="207"/>
      <c r="U304" s="203"/>
      <c r="V304" s="203"/>
      <c r="W304" s="203"/>
      <c r="X304" s="203"/>
      <c r="Y304" s="203"/>
      <c r="Z304" s="203"/>
    </row>
    <row r="305" spans="7:26"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03"/>
      <c r="S305" s="203"/>
      <c r="T305" s="207"/>
      <c r="U305" s="203"/>
      <c r="V305" s="203"/>
      <c r="W305" s="203"/>
      <c r="X305" s="203"/>
      <c r="Y305" s="203"/>
      <c r="Z305" s="203"/>
    </row>
    <row r="306" spans="7:26"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03"/>
      <c r="R306" s="203"/>
      <c r="S306" s="203"/>
      <c r="T306" s="207"/>
      <c r="U306" s="203"/>
      <c r="V306" s="203"/>
      <c r="W306" s="203"/>
      <c r="X306" s="203"/>
      <c r="Y306" s="203"/>
      <c r="Z306" s="203"/>
    </row>
    <row r="307" spans="7:26"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03"/>
      <c r="R307" s="203"/>
      <c r="S307" s="203"/>
      <c r="T307" s="207"/>
      <c r="U307" s="203"/>
      <c r="V307" s="203"/>
      <c r="W307" s="203"/>
      <c r="X307" s="203"/>
      <c r="Y307" s="203"/>
      <c r="Z307" s="203"/>
    </row>
    <row r="308" spans="7:26"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03"/>
      <c r="R308" s="203"/>
      <c r="S308" s="203"/>
      <c r="T308" s="207"/>
      <c r="U308" s="203"/>
      <c r="V308" s="203"/>
      <c r="W308" s="203"/>
      <c r="X308" s="203"/>
      <c r="Y308" s="203"/>
      <c r="Z308" s="203"/>
    </row>
    <row r="309" spans="7:26"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03"/>
      <c r="R309" s="203"/>
      <c r="S309" s="203"/>
      <c r="T309" s="207"/>
      <c r="U309" s="203"/>
      <c r="V309" s="203"/>
      <c r="W309" s="203"/>
      <c r="X309" s="203"/>
      <c r="Y309" s="203"/>
      <c r="Z309" s="203"/>
    </row>
    <row r="310" spans="7:26"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03"/>
      <c r="R310" s="203"/>
      <c r="S310" s="203"/>
      <c r="T310" s="207"/>
      <c r="U310" s="203"/>
      <c r="V310" s="203"/>
      <c r="W310" s="203"/>
      <c r="X310" s="203"/>
      <c r="Y310" s="203"/>
      <c r="Z310" s="203"/>
    </row>
    <row r="311" spans="7:26"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03"/>
      <c r="R311" s="203"/>
      <c r="S311" s="203"/>
      <c r="T311" s="207"/>
      <c r="U311" s="203"/>
      <c r="V311" s="203"/>
      <c r="W311" s="203"/>
      <c r="X311" s="203"/>
      <c r="Y311" s="203"/>
      <c r="Z311" s="203"/>
    </row>
    <row r="312" spans="7:26"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03"/>
      <c r="R312" s="203"/>
      <c r="S312" s="203"/>
      <c r="T312" s="207"/>
      <c r="U312" s="203"/>
      <c r="V312" s="203"/>
      <c r="W312" s="203"/>
      <c r="X312" s="203"/>
      <c r="Y312" s="203"/>
      <c r="Z312" s="203"/>
    </row>
    <row r="313" spans="7:26"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03"/>
      <c r="R313" s="203"/>
      <c r="S313" s="203"/>
      <c r="T313" s="207"/>
      <c r="U313" s="203"/>
      <c r="V313" s="203"/>
      <c r="W313" s="203"/>
      <c r="X313" s="203"/>
      <c r="Y313" s="203"/>
      <c r="Z313" s="203"/>
    </row>
    <row r="314" spans="7:26"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03"/>
      <c r="R314" s="203"/>
      <c r="S314" s="203"/>
      <c r="T314" s="207"/>
      <c r="U314" s="203"/>
      <c r="V314" s="203"/>
      <c r="W314" s="203"/>
      <c r="X314" s="203"/>
      <c r="Y314" s="203"/>
      <c r="Z314" s="203"/>
    </row>
    <row r="315" spans="7:26"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03"/>
      <c r="R315" s="203"/>
      <c r="S315" s="203"/>
      <c r="T315" s="207"/>
      <c r="U315" s="203"/>
      <c r="V315" s="203"/>
      <c r="W315" s="203"/>
      <c r="X315" s="203"/>
      <c r="Y315" s="203"/>
      <c r="Z315" s="203"/>
    </row>
    <row r="316" spans="7:26"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03"/>
      <c r="S316" s="203"/>
      <c r="T316" s="207"/>
      <c r="U316" s="203"/>
      <c r="V316" s="203"/>
      <c r="W316" s="203"/>
      <c r="X316" s="203"/>
      <c r="Y316" s="203"/>
      <c r="Z316" s="203"/>
    </row>
    <row r="317" spans="7:26"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03"/>
      <c r="R317" s="203"/>
      <c r="S317" s="203"/>
      <c r="T317" s="207"/>
      <c r="U317" s="203"/>
      <c r="V317" s="203"/>
      <c r="W317" s="203"/>
      <c r="X317" s="203"/>
      <c r="Y317" s="203"/>
      <c r="Z317" s="203"/>
    </row>
    <row r="318" spans="7:26"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7"/>
      <c r="U318" s="203"/>
      <c r="V318" s="203"/>
      <c r="W318" s="203"/>
      <c r="X318" s="203"/>
      <c r="Y318" s="203"/>
      <c r="Z318" s="203"/>
    </row>
    <row r="319" spans="7:26"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03"/>
      <c r="R319" s="203"/>
      <c r="S319" s="203"/>
      <c r="T319" s="207"/>
      <c r="U319" s="203"/>
      <c r="V319" s="203"/>
      <c r="W319" s="203"/>
      <c r="X319" s="203"/>
      <c r="Y319" s="203"/>
      <c r="Z319" s="203"/>
    </row>
    <row r="320" spans="7:26"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  <c r="T320" s="207"/>
      <c r="U320" s="203"/>
      <c r="V320" s="203"/>
      <c r="W320" s="203"/>
      <c r="X320" s="203"/>
      <c r="Y320" s="203"/>
      <c r="Z320" s="203"/>
    </row>
    <row r="321" spans="7:26"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3"/>
      <c r="R321" s="203"/>
      <c r="S321" s="203"/>
      <c r="T321" s="207"/>
      <c r="U321" s="203"/>
      <c r="V321" s="203"/>
      <c r="W321" s="203"/>
      <c r="X321" s="203"/>
      <c r="Y321" s="203"/>
      <c r="Z321" s="203"/>
    </row>
    <row r="322" spans="7:26"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03"/>
      <c r="R322" s="203"/>
      <c r="S322" s="203"/>
      <c r="T322" s="207"/>
      <c r="U322" s="203"/>
      <c r="V322" s="203"/>
      <c r="W322" s="203"/>
      <c r="X322" s="203"/>
      <c r="Y322" s="203"/>
      <c r="Z322" s="203"/>
    </row>
    <row r="323" spans="7:26"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03"/>
      <c r="R323" s="203"/>
      <c r="S323" s="203"/>
      <c r="T323" s="207"/>
      <c r="U323" s="203"/>
      <c r="V323" s="203"/>
      <c r="W323" s="203"/>
      <c r="X323" s="203"/>
      <c r="Y323" s="203"/>
      <c r="Z323" s="203"/>
    </row>
    <row r="324" spans="7:26"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03"/>
      <c r="R324" s="203"/>
      <c r="S324" s="203"/>
      <c r="T324" s="207"/>
      <c r="U324" s="203"/>
      <c r="V324" s="203"/>
      <c r="W324" s="203"/>
      <c r="X324" s="203"/>
      <c r="Y324" s="203"/>
      <c r="Z324" s="203"/>
    </row>
    <row r="325" spans="7:26"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03"/>
      <c r="R325" s="203"/>
      <c r="S325" s="203"/>
      <c r="T325" s="207"/>
      <c r="U325" s="203"/>
      <c r="V325" s="203"/>
      <c r="W325" s="203"/>
      <c r="X325" s="203"/>
      <c r="Y325" s="203"/>
      <c r="Z325" s="203"/>
    </row>
    <row r="326" spans="7:26"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03"/>
      <c r="S326" s="203"/>
      <c r="T326" s="207"/>
      <c r="U326" s="203"/>
      <c r="V326" s="203"/>
      <c r="W326" s="203"/>
      <c r="X326" s="203"/>
      <c r="Y326" s="203"/>
      <c r="Z326" s="203"/>
    </row>
    <row r="327" spans="7:26"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03"/>
      <c r="R327" s="203"/>
      <c r="S327" s="203"/>
      <c r="T327" s="207"/>
      <c r="U327" s="203"/>
      <c r="V327" s="203"/>
      <c r="W327" s="203"/>
      <c r="X327" s="203"/>
      <c r="Y327" s="203"/>
      <c r="Z327" s="203"/>
    </row>
    <row r="328" spans="7:26"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03"/>
      <c r="R328" s="203"/>
      <c r="S328" s="203"/>
      <c r="T328" s="207"/>
      <c r="U328" s="203"/>
      <c r="V328" s="203"/>
      <c r="W328" s="203"/>
      <c r="X328" s="203"/>
      <c r="Y328" s="203"/>
      <c r="Z328" s="203"/>
    </row>
    <row r="329" spans="7:26"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03"/>
      <c r="R329" s="203"/>
      <c r="S329" s="203"/>
      <c r="T329" s="207"/>
      <c r="U329" s="203"/>
      <c r="V329" s="203"/>
      <c r="W329" s="203"/>
      <c r="X329" s="203"/>
      <c r="Y329" s="203"/>
      <c r="Z329" s="203"/>
    </row>
    <row r="330" spans="7:26"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03"/>
      <c r="R330" s="203"/>
      <c r="S330" s="203"/>
      <c r="T330" s="207"/>
      <c r="U330" s="203"/>
      <c r="V330" s="203"/>
      <c r="W330" s="203"/>
      <c r="X330" s="203"/>
      <c r="Y330" s="203"/>
      <c r="Z330" s="203"/>
    </row>
    <row r="331" spans="7:26"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03"/>
      <c r="R331" s="203"/>
      <c r="S331" s="203"/>
      <c r="T331" s="207"/>
      <c r="U331" s="203"/>
      <c r="V331" s="203"/>
      <c r="W331" s="203"/>
      <c r="X331" s="203"/>
      <c r="Y331" s="203"/>
      <c r="Z331" s="203"/>
    </row>
    <row r="332" spans="7:26"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03"/>
      <c r="R332" s="203"/>
      <c r="S332" s="203"/>
      <c r="T332" s="207"/>
      <c r="U332" s="203"/>
      <c r="V332" s="203"/>
      <c r="W332" s="203"/>
      <c r="X332" s="203"/>
      <c r="Y332" s="203"/>
      <c r="Z332" s="203"/>
    </row>
    <row r="333" spans="7:26"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03"/>
      <c r="R333" s="203"/>
      <c r="S333" s="203"/>
      <c r="T333" s="207"/>
      <c r="U333" s="203"/>
      <c r="V333" s="203"/>
      <c r="W333" s="203"/>
      <c r="X333" s="203"/>
      <c r="Y333" s="203"/>
      <c r="Z333" s="203"/>
    </row>
    <row r="334" spans="7:26"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03"/>
      <c r="S334" s="203"/>
      <c r="T334" s="207"/>
      <c r="U334" s="203"/>
      <c r="V334" s="203"/>
      <c r="W334" s="203"/>
      <c r="X334" s="203"/>
      <c r="Y334" s="203"/>
      <c r="Z334" s="203"/>
    </row>
    <row r="335" spans="7:26"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03"/>
      <c r="R335" s="203"/>
      <c r="S335" s="203"/>
      <c r="T335" s="207"/>
      <c r="U335" s="203"/>
      <c r="V335" s="203"/>
      <c r="W335" s="203"/>
      <c r="X335" s="203"/>
      <c r="Y335" s="203"/>
      <c r="Z335" s="203"/>
    </row>
    <row r="336" spans="7:26"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03"/>
      <c r="R336" s="203"/>
      <c r="S336" s="203"/>
      <c r="T336" s="207"/>
      <c r="U336" s="203"/>
      <c r="V336" s="203"/>
      <c r="W336" s="203"/>
      <c r="X336" s="203"/>
      <c r="Y336" s="203"/>
      <c r="Z336" s="203"/>
    </row>
    <row r="337" spans="7:26"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03"/>
      <c r="S337" s="203"/>
      <c r="T337" s="207"/>
      <c r="U337" s="203"/>
      <c r="V337" s="203"/>
      <c r="W337" s="203"/>
      <c r="X337" s="203"/>
      <c r="Y337" s="203"/>
      <c r="Z337" s="203"/>
    </row>
    <row r="338" spans="7:26"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03"/>
      <c r="R338" s="203"/>
      <c r="S338" s="203"/>
      <c r="T338" s="207"/>
      <c r="U338" s="203"/>
      <c r="V338" s="203"/>
      <c r="W338" s="203"/>
      <c r="X338" s="203"/>
      <c r="Y338" s="203"/>
      <c r="Z338" s="203"/>
    </row>
    <row r="339" spans="7:26"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03"/>
      <c r="R339" s="203"/>
      <c r="S339" s="203"/>
      <c r="T339" s="207"/>
      <c r="U339" s="203"/>
      <c r="V339" s="203"/>
      <c r="W339" s="203"/>
      <c r="X339" s="203"/>
      <c r="Y339" s="203"/>
      <c r="Z339" s="203"/>
    </row>
    <row r="340" spans="7:26"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03"/>
      <c r="R340" s="203"/>
      <c r="S340" s="203"/>
      <c r="T340" s="207"/>
      <c r="U340" s="203"/>
      <c r="V340" s="203"/>
      <c r="W340" s="203"/>
      <c r="X340" s="203"/>
      <c r="Y340" s="203"/>
      <c r="Z340" s="203"/>
    </row>
    <row r="341" spans="7:26"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03"/>
      <c r="S341" s="203"/>
      <c r="T341" s="207"/>
      <c r="U341" s="203"/>
      <c r="V341" s="203"/>
      <c r="W341" s="203"/>
      <c r="X341" s="203"/>
      <c r="Y341" s="203"/>
      <c r="Z341" s="203"/>
    </row>
    <row r="342" spans="7:26"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03"/>
      <c r="S342" s="203"/>
      <c r="T342" s="207"/>
      <c r="U342" s="203"/>
      <c r="V342" s="203"/>
      <c r="W342" s="203"/>
      <c r="X342" s="203"/>
      <c r="Y342" s="203"/>
      <c r="Z342" s="203"/>
    </row>
    <row r="343" spans="7:26"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03"/>
      <c r="R343" s="203"/>
      <c r="S343" s="203"/>
      <c r="T343" s="207"/>
      <c r="U343" s="203"/>
      <c r="V343" s="203"/>
      <c r="W343" s="203"/>
      <c r="X343" s="203"/>
      <c r="Y343" s="203"/>
      <c r="Z343" s="203"/>
    </row>
    <row r="344" spans="7:26"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7"/>
      <c r="U344" s="203"/>
      <c r="V344" s="203"/>
      <c r="W344" s="203"/>
      <c r="X344" s="203"/>
      <c r="Y344" s="203"/>
      <c r="Z344" s="203"/>
    </row>
    <row r="345" spans="7:26"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  <c r="S345" s="203"/>
      <c r="T345" s="207"/>
      <c r="U345" s="203"/>
      <c r="V345" s="203"/>
      <c r="W345" s="203"/>
      <c r="X345" s="203"/>
      <c r="Y345" s="203"/>
      <c r="Z345" s="203"/>
    </row>
    <row r="346" spans="7:26"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  <c r="S346" s="203"/>
      <c r="T346" s="207"/>
      <c r="U346" s="203"/>
      <c r="V346" s="203"/>
      <c r="W346" s="203"/>
      <c r="X346" s="203"/>
      <c r="Y346" s="203"/>
      <c r="Z346" s="203"/>
    </row>
    <row r="347" spans="7:26"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03"/>
      <c r="R347" s="203"/>
      <c r="S347" s="203"/>
      <c r="T347" s="207"/>
      <c r="U347" s="203"/>
      <c r="V347" s="203"/>
      <c r="W347" s="203"/>
      <c r="X347" s="203"/>
      <c r="Y347" s="203"/>
      <c r="Z347" s="203"/>
    </row>
    <row r="348" spans="7:26"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03"/>
      <c r="R348" s="203"/>
      <c r="S348" s="203"/>
      <c r="T348" s="207"/>
      <c r="U348" s="203"/>
      <c r="V348" s="203"/>
      <c r="W348" s="203"/>
      <c r="X348" s="203"/>
      <c r="Y348" s="203"/>
      <c r="Z348" s="203"/>
    </row>
    <row r="349" spans="7:26"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03"/>
      <c r="R349" s="203"/>
      <c r="S349" s="203"/>
      <c r="T349" s="207"/>
      <c r="U349" s="203"/>
      <c r="V349" s="203"/>
      <c r="W349" s="203"/>
      <c r="X349" s="203"/>
      <c r="Y349" s="203"/>
      <c r="Z349" s="203"/>
    </row>
    <row r="350" spans="7:26"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03"/>
      <c r="R350" s="203"/>
      <c r="S350" s="203"/>
      <c r="T350" s="207"/>
      <c r="U350" s="203"/>
      <c r="V350" s="203"/>
      <c r="W350" s="203"/>
      <c r="X350" s="203"/>
      <c r="Y350" s="203"/>
      <c r="Z350" s="203"/>
    </row>
    <row r="351" spans="7:26"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03"/>
      <c r="R351" s="203"/>
      <c r="S351" s="203"/>
      <c r="T351" s="207"/>
      <c r="U351" s="203"/>
      <c r="V351" s="203"/>
      <c r="W351" s="203"/>
      <c r="X351" s="203"/>
      <c r="Y351" s="203"/>
      <c r="Z351" s="203"/>
    </row>
    <row r="352" spans="7:26"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03"/>
      <c r="R352" s="203"/>
      <c r="S352" s="203"/>
      <c r="T352" s="207"/>
      <c r="U352" s="203"/>
      <c r="V352" s="203"/>
      <c r="W352" s="203"/>
      <c r="X352" s="203"/>
      <c r="Y352" s="203"/>
      <c r="Z352" s="203"/>
    </row>
    <row r="353" spans="7:26"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03"/>
      <c r="R353" s="203"/>
      <c r="S353" s="203"/>
      <c r="T353" s="207"/>
      <c r="U353" s="203"/>
      <c r="V353" s="203"/>
      <c r="W353" s="203"/>
      <c r="X353" s="203"/>
      <c r="Y353" s="203"/>
      <c r="Z353" s="203"/>
    </row>
    <row r="354" spans="7:26"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03"/>
      <c r="R354" s="203"/>
      <c r="S354" s="203"/>
      <c r="T354" s="207"/>
      <c r="U354" s="203"/>
      <c r="V354" s="203"/>
      <c r="W354" s="203"/>
      <c r="X354" s="203"/>
      <c r="Y354" s="203"/>
      <c r="Z354" s="203"/>
    </row>
    <row r="355" spans="7:26"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03"/>
      <c r="R355" s="203"/>
      <c r="S355" s="203"/>
      <c r="T355" s="207"/>
      <c r="U355" s="203"/>
      <c r="V355" s="203"/>
      <c r="W355" s="203"/>
      <c r="X355" s="203"/>
      <c r="Y355" s="203"/>
      <c r="Z355" s="203"/>
    </row>
    <row r="356" spans="7:26"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  <c r="S356" s="203"/>
      <c r="T356" s="207"/>
      <c r="U356" s="203"/>
      <c r="V356" s="203"/>
      <c r="W356" s="203"/>
      <c r="X356" s="203"/>
      <c r="Y356" s="203"/>
      <c r="Z356" s="203"/>
    </row>
    <row r="357" spans="7:26"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03"/>
      <c r="R357" s="203"/>
      <c r="S357" s="203"/>
      <c r="T357" s="207"/>
      <c r="U357" s="203"/>
      <c r="V357" s="203"/>
      <c r="W357" s="203"/>
      <c r="X357" s="203"/>
      <c r="Y357" s="203"/>
      <c r="Z357" s="203"/>
    </row>
    <row r="358" spans="7:26"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  <c r="S358" s="203"/>
      <c r="T358" s="207"/>
      <c r="U358" s="203"/>
      <c r="V358" s="203"/>
      <c r="W358" s="203"/>
      <c r="X358" s="203"/>
      <c r="Y358" s="203"/>
      <c r="Z358" s="203"/>
    </row>
    <row r="359" spans="7:26"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7"/>
      <c r="U359" s="203"/>
      <c r="V359" s="203"/>
      <c r="W359" s="203"/>
      <c r="X359" s="203"/>
      <c r="Y359" s="203"/>
      <c r="Z359" s="203"/>
    </row>
    <row r="360" spans="7:26"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7"/>
      <c r="U360" s="203"/>
      <c r="V360" s="203"/>
      <c r="W360" s="203"/>
      <c r="X360" s="203"/>
      <c r="Y360" s="203"/>
      <c r="Z360" s="203"/>
    </row>
    <row r="361" spans="7:26"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03"/>
      <c r="S361" s="203"/>
      <c r="T361" s="207"/>
      <c r="U361" s="203"/>
      <c r="V361" s="203"/>
      <c r="W361" s="203"/>
      <c r="X361" s="203"/>
      <c r="Y361" s="203"/>
      <c r="Z361" s="203"/>
    </row>
    <row r="362" spans="7:26"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03"/>
      <c r="R362" s="203"/>
      <c r="S362" s="203"/>
      <c r="T362" s="207"/>
      <c r="U362" s="203"/>
      <c r="V362" s="203"/>
      <c r="W362" s="203"/>
      <c r="X362" s="203"/>
      <c r="Y362" s="203"/>
      <c r="Z362" s="203"/>
    </row>
    <row r="363" spans="7:26"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03"/>
      <c r="R363" s="203"/>
      <c r="S363" s="203"/>
      <c r="T363" s="207"/>
      <c r="U363" s="203"/>
      <c r="V363" s="203"/>
      <c r="W363" s="203"/>
      <c r="X363" s="203"/>
      <c r="Y363" s="203"/>
      <c r="Z363" s="203"/>
    </row>
    <row r="364" spans="7:26"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03"/>
      <c r="R364" s="203"/>
      <c r="S364" s="203"/>
      <c r="T364" s="207"/>
      <c r="U364" s="203"/>
      <c r="V364" s="203"/>
      <c r="W364" s="203"/>
      <c r="X364" s="203"/>
      <c r="Y364" s="203"/>
      <c r="Z364" s="203"/>
    </row>
    <row r="365" spans="7:26"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03"/>
      <c r="R365" s="203"/>
      <c r="S365" s="203"/>
      <c r="T365" s="207"/>
      <c r="U365" s="203"/>
      <c r="V365" s="203"/>
      <c r="W365" s="203"/>
      <c r="X365" s="203"/>
      <c r="Y365" s="203"/>
      <c r="Z365" s="203"/>
    </row>
    <row r="366" spans="7:26"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03"/>
      <c r="R366" s="203"/>
      <c r="S366" s="203"/>
      <c r="T366" s="207"/>
      <c r="U366" s="203"/>
      <c r="V366" s="203"/>
      <c r="W366" s="203"/>
      <c r="X366" s="203"/>
      <c r="Y366" s="203"/>
      <c r="Z366" s="203"/>
    </row>
    <row r="367" spans="7:26"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3"/>
      <c r="R367" s="203"/>
      <c r="S367" s="203"/>
      <c r="T367" s="207"/>
      <c r="U367" s="203"/>
      <c r="V367" s="203"/>
      <c r="W367" s="203"/>
      <c r="X367" s="203"/>
      <c r="Y367" s="203"/>
      <c r="Z367" s="203"/>
    </row>
    <row r="368" spans="7:26"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03"/>
      <c r="R368" s="203"/>
      <c r="S368" s="203"/>
      <c r="T368" s="207"/>
      <c r="U368" s="203"/>
      <c r="V368" s="203"/>
      <c r="W368" s="203"/>
      <c r="X368" s="203"/>
      <c r="Y368" s="203"/>
      <c r="Z368" s="203"/>
    </row>
    <row r="369" spans="7:26"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7"/>
      <c r="U369" s="203"/>
      <c r="V369" s="203"/>
      <c r="W369" s="203"/>
      <c r="X369" s="203"/>
      <c r="Y369" s="203"/>
      <c r="Z369" s="203"/>
    </row>
    <row r="370" spans="7:26"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03"/>
      <c r="R370" s="203"/>
      <c r="S370" s="203"/>
      <c r="T370" s="207"/>
      <c r="U370" s="203"/>
      <c r="V370" s="203"/>
      <c r="W370" s="203"/>
      <c r="X370" s="203"/>
      <c r="Y370" s="203"/>
      <c r="Z370" s="203"/>
    </row>
    <row r="371" spans="7:26"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03"/>
      <c r="R371" s="203"/>
      <c r="S371" s="203"/>
      <c r="T371" s="207"/>
      <c r="U371" s="203"/>
      <c r="V371" s="203"/>
      <c r="W371" s="203"/>
      <c r="X371" s="203"/>
      <c r="Y371" s="203"/>
      <c r="Z371" s="203"/>
    </row>
    <row r="372" spans="7:26"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03"/>
      <c r="R372" s="203"/>
      <c r="S372" s="203"/>
      <c r="T372" s="207"/>
      <c r="U372" s="203"/>
      <c r="V372" s="203"/>
      <c r="W372" s="203"/>
      <c r="X372" s="203"/>
      <c r="Y372" s="203"/>
      <c r="Z372" s="203"/>
    </row>
    <row r="373" spans="7:26"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03"/>
      <c r="R373" s="203"/>
      <c r="S373" s="203"/>
      <c r="T373" s="207"/>
      <c r="U373" s="203"/>
      <c r="V373" s="203"/>
      <c r="W373" s="203"/>
      <c r="X373" s="203"/>
      <c r="Y373" s="203"/>
      <c r="Z373" s="203"/>
    </row>
    <row r="374" spans="7:26"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03"/>
      <c r="R374" s="203"/>
      <c r="S374" s="203"/>
      <c r="T374" s="207"/>
      <c r="U374" s="203"/>
      <c r="V374" s="203"/>
      <c r="W374" s="203"/>
      <c r="X374" s="203"/>
      <c r="Y374" s="203"/>
      <c r="Z374" s="203"/>
    </row>
    <row r="375" spans="7:26"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03"/>
      <c r="R375" s="203"/>
      <c r="S375" s="203"/>
      <c r="T375" s="207"/>
      <c r="U375" s="203"/>
      <c r="V375" s="203"/>
      <c r="W375" s="203"/>
      <c r="X375" s="203"/>
      <c r="Y375" s="203"/>
      <c r="Z375" s="203"/>
    </row>
    <row r="376" spans="7:26"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03"/>
      <c r="R376" s="203"/>
      <c r="S376" s="203"/>
      <c r="T376" s="207"/>
      <c r="U376" s="203"/>
      <c r="V376" s="203"/>
      <c r="W376" s="203"/>
      <c r="X376" s="203"/>
      <c r="Y376" s="203"/>
      <c r="Z376" s="203"/>
    </row>
    <row r="377" spans="7:26"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03"/>
      <c r="R377" s="203"/>
      <c r="S377" s="203"/>
      <c r="T377" s="207"/>
      <c r="U377" s="203"/>
      <c r="V377" s="203"/>
      <c r="W377" s="203"/>
      <c r="X377" s="203"/>
      <c r="Y377" s="203"/>
      <c r="Z377" s="203"/>
    </row>
    <row r="378" spans="7:26"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03"/>
      <c r="R378" s="203"/>
      <c r="S378" s="203"/>
      <c r="T378" s="207"/>
      <c r="U378" s="203"/>
      <c r="V378" s="203"/>
      <c r="W378" s="203"/>
      <c r="X378" s="203"/>
      <c r="Y378" s="203"/>
      <c r="Z378" s="203"/>
    </row>
    <row r="379" spans="7:26"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03"/>
      <c r="R379" s="203"/>
      <c r="S379" s="203"/>
      <c r="T379" s="207"/>
      <c r="U379" s="203"/>
      <c r="V379" s="203"/>
      <c r="W379" s="203"/>
      <c r="X379" s="203"/>
      <c r="Y379" s="203"/>
      <c r="Z379" s="203"/>
    </row>
    <row r="380" spans="7:26"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03"/>
      <c r="R380" s="203"/>
      <c r="S380" s="203"/>
      <c r="T380" s="207"/>
      <c r="U380" s="203"/>
      <c r="V380" s="203"/>
      <c r="W380" s="203"/>
      <c r="X380" s="203"/>
      <c r="Y380" s="203"/>
      <c r="Z380" s="203"/>
    </row>
    <row r="381" spans="7:26"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03"/>
      <c r="R381" s="203"/>
      <c r="S381" s="203"/>
      <c r="T381" s="207"/>
      <c r="U381" s="203"/>
      <c r="V381" s="203"/>
      <c r="W381" s="203"/>
      <c r="X381" s="203"/>
      <c r="Y381" s="203"/>
      <c r="Z381" s="203"/>
    </row>
    <row r="382" spans="7:26"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03"/>
      <c r="R382" s="203"/>
      <c r="S382" s="203"/>
      <c r="T382" s="207"/>
      <c r="U382" s="203"/>
      <c r="V382" s="203"/>
      <c r="W382" s="203"/>
      <c r="X382" s="203"/>
      <c r="Y382" s="203"/>
      <c r="Z382" s="203"/>
    </row>
    <row r="383" spans="7:26"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03"/>
      <c r="R383" s="203"/>
      <c r="S383" s="203"/>
      <c r="T383" s="207"/>
      <c r="U383" s="203"/>
      <c r="V383" s="203"/>
      <c r="W383" s="203"/>
      <c r="X383" s="203"/>
      <c r="Y383" s="203"/>
      <c r="Z383" s="203"/>
    </row>
    <row r="384" spans="7:26"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03"/>
      <c r="R384" s="203"/>
      <c r="S384" s="203"/>
      <c r="T384" s="207"/>
      <c r="U384" s="203"/>
      <c r="V384" s="203"/>
      <c r="W384" s="203"/>
      <c r="X384" s="203"/>
      <c r="Y384" s="203"/>
      <c r="Z384" s="203"/>
    </row>
    <row r="385" spans="7:26"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  <c r="S385" s="203"/>
      <c r="T385" s="207"/>
      <c r="U385" s="203"/>
      <c r="V385" s="203"/>
      <c r="W385" s="203"/>
      <c r="X385" s="203"/>
      <c r="Y385" s="203"/>
      <c r="Z385" s="203"/>
    </row>
    <row r="386" spans="7:26"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03"/>
      <c r="R386" s="203"/>
      <c r="S386" s="203"/>
      <c r="T386" s="207"/>
      <c r="U386" s="203"/>
      <c r="V386" s="203"/>
      <c r="W386" s="203"/>
      <c r="X386" s="203"/>
      <c r="Y386" s="203"/>
      <c r="Z386" s="203"/>
    </row>
    <row r="387" spans="7:26"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03"/>
      <c r="R387" s="203"/>
      <c r="S387" s="203"/>
      <c r="T387" s="207"/>
      <c r="U387" s="203"/>
      <c r="V387" s="203"/>
      <c r="W387" s="203"/>
      <c r="X387" s="203"/>
      <c r="Y387" s="203"/>
      <c r="Z387" s="203"/>
    </row>
    <row r="388" spans="7:26"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03"/>
      <c r="S388" s="203"/>
      <c r="T388" s="207"/>
      <c r="U388" s="203"/>
      <c r="V388" s="203"/>
      <c r="W388" s="203"/>
      <c r="X388" s="203"/>
      <c r="Y388" s="203"/>
      <c r="Z388" s="203"/>
    </row>
    <row r="389" spans="7:26"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03"/>
      <c r="R389" s="203"/>
      <c r="S389" s="203"/>
      <c r="T389" s="207"/>
      <c r="U389" s="203"/>
      <c r="V389" s="203"/>
      <c r="W389" s="203"/>
      <c r="X389" s="203"/>
      <c r="Y389" s="203"/>
      <c r="Z389" s="203"/>
    </row>
    <row r="390" spans="7:26"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03"/>
      <c r="R390" s="203"/>
      <c r="S390" s="203"/>
      <c r="T390" s="207"/>
      <c r="U390" s="203"/>
      <c r="V390" s="203"/>
      <c r="W390" s="203"/>
      <c r="X390" s="203"/>
      <c r="Y390" s="203"/>
      <c r="Z390" s="203"/>
    </row>
    <row r="391" spans="7:26"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03"/>
      <c r="R391" s="203"/>
      <c r="S391" s="203"/>
      <c r="T391" s="207"/>
      <c r="U391" s="203"/>
      <c r="V391" s="203"/>
      <c r="W391" s="203"/>
      <c r="X391" s="203"/>
      <c r="Y391" s="203"/>
      <c r="Z391" s="203"/>
    </row>
    <row r="392" spans="7:26"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03"/>
      <c r="R392" s="203"/>
      <c r="S392" s="203"/>
      <c r="T392" s="207"/>
      <c r="U392" s="203"/>
      <c r="V392" s="203"/>
      <c r="W392" s="203"/>
      <c r="X392" s="203"/>
      <c r="Y392" s="203"/>
      <c r="Z392" s="203"/>
    </row>
    <row r="393" spans="7:26"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03"/>
      <c r="R393" s="203"/>
      <c r="S393" s="203"/>
      <c r="T393" s="207"/>
      <c r="U393" s="203"/>
      <c r="V393" s="203"/>
      <c r="W393" s="203"/>
      <c r="X393" s="203"/>
      <c r="Y393" s="203"/>
      <c r="Z393" s="203"/>
    </row>
    <row r="394" spans="7:26"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03"/>
      <c r="R394" s="203"/>
      <c r="S394" s="203"/>
      <c r="T394" s="207"/>
      <c r="U394" s="203"/>
      <c r="V394" s="203"/>
      <c r="W394" s="203"/>
      <c r="X394" s="203"/>
      <c r="Y394" s="203"/>
      <c r="Z394" s="203"/>
    </row>
    <row r="395" spans="7:26"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03"/>
      <c r="R395" s="203"/>
      <c r="S395" s="203"/>
      <c r="T395" s="207"/>
      <c r="U395" s="203"/>
      <c r="V395" s="203"/>
      <c r="W395" s="203"/>
      <c r="X395" s="203"/>
      <c r="Y395" s="203"/>
      <c r="Z395" s="203"/>
    </row>
    <row r="396" spans="7:26"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03"/>
      <c r="R396" s="203"/>
      <c r="S396" s="203"/>
      <c r="T396" s="207"/>
      <c r="U396" s="203"/>
      <c r="V396" s="203"/>
      <c r="W396" s="203"/>
      <c r="X396" s="203"/>
      <c r="Y396" s="203"/>
      <c r="Z396" s="203"/>
    </row>
    <row r="397" spans="7:26"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03"/>
      <c r="R397" s="203"/>
      <c r="S397" s="203"/>
      <c r="T397" s="207"/>
      <c r="U397" s="203"/>
      <c r="V397" s="203"/>
      <c r="W397" s="203"/>
      <c r="X397" s="203"/>
      <c r="Y397" s="203"/>
      <c r="Z397" s="203"/>
    </row>
    <row r="398" spans="7:26"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03"/>
      <c r="R398" s="203"/>
      <c r="S398" s="203"/>
      <c r="T398" s="207"/>
      <c r="U398" s="203"/>
      <c r="V398" s="203"/>
      <c r="W398" s="203"/>
      <c r="X398" s="203"/>
      <c r="Y398" s="203"/>
      <c r="Z398" s="203"/>
    </row>
    <row r="399" spans="7:26"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03"/>
      <c r="R399" s="203"/>
      <c r="S399" s="203"/>
      <c r="T399" s="207"/>
      <c r="U399" s="203"/>
      <c r="V399" s="203"/>
      <c r="W399" s="203"/>
      <c r="X399" s="203"/>
      <c r="Y399" s="203"/>
      <c r="Z399" s="203"/>
    </row>
    <row r="400" spans="7:26"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03"/>
      <c r="R400" s="203"/>
      <c r="S400" s="203"/>
      <c r="T400" s="207"/>
      <c r="U400" s="203"/>
      <c r="V400" s="203"/>
      <c r="W400" s="203"/>
      <c r="X400" s="203"/>
      <c r="Y400" s="203"/>
      <c r="Z400" s="203"/>
    </row>
    <row r="401" spans="7:26"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03"/>
      <c r="R401" s="203"/>
      <c r="S401" s="203"/>
      <c r="T401" s="207"/>
      <c r="U401" s="203"/>
      <c r="V401" s="203"/>
      <c r="W401" s="203"/>
      <c r="X401" s="203"/>
      <c r="Y401" s="203"/>
      <c r="Z401" s="203"/>
    </row>
    <row r="402" spans="7:26"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03"/>
      <c r="R402" s="203"/>
      <c r="S402" s="203"/>
      <c r="T402" s="207"/>
      <c r="U402" s="203"/>
      <c r="V402" s="203"/>
      <c r="W402" s="203"/>
      <c r="X402" s="203"/>
      <c r="Y402" s="203"/>
      <c r="Z402" s="203"/>
    </row>
    <row r="403" spans="7:26"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03"/>
      <c r="R403" s="203"/>
      <c r="S403" s="203"/>
      <c r="T403" s="207"/>
      <c r="U403" s="203"/>
      <c r="V403" s="203"/>
      <c r="W403" s="203"/>
      <c r="X403" s="203"/>
      <c r="Y403" s="203"/>
      <c r="Z403" s="203"/>
    </row>
    <row r="404" spans="7:26"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03"/>
      <c r="R404" s="203"/>
      <c r="S404" s="203"/>
      <c r="T404" s="207"/>
      <c r="U404" s="203"/>
      <c r="V404" s="203"/>
      <c r="W404" s="203"/>
      <c r="X404" s="203"/>
      <c r="Y404" s="203"/>
      <c r="Z404" s="203"/>
    </row>
    <row r="405" spans="7:26"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03"/>
      <c r="R405" s="203"/>
      <c r="S405" s="203"/>
      <c r="T405" s="207"/>
      <c r="U405" s="203"/>
      <c r="V405" s="203"/>
      <c r="W405" s="203"/>
      <c r="X405" s="203"/>
      <c r="Y405" s="203"/>
      <c r="Z405" s="203"/>
    </row>
    <row r="406" spans="7:26"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03"/>
      <c r="R406" s="203"/>
      <c r="S406" s="203"/>
      <c r="T406" s="207"/>
      <c r="U406" s="203"/>
      <c r="V406" s="203"/>
      <c r="W406" s="203"/>
      <c r="X406" s="203"/>
      <c r="Y406" s="203"/>
      <c r="Z406" s="203"/>
    </row>
    <row r="407" spans="7:26"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03"/>
      <c r="R407" s="203"/>
      <c r="S407" s="203"/>
      <c r="T407" s="207"/>
      <c r="U407" s="203"/>
      <c r="V407" s="203"/>
      <c r="W407" s="203"/>
      <c r="X407" s="203"/>
      <c r="Y407" s="203"/>
      <c r="Z407" s="203"/>
    </row>
    <row r="408" spans="7:26"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03"/>
      <c r="R408" s="203"/>
      <c r="S408" s="203"/>
      <c r="T408" s="207"/>
      <c r="U408" s="203"/>
      <c r="V408" s="203"/>
      <c r="W408" s="203"/>
      <c r="X408" s="203"/>
      <c r="Y408" s="203"/>
      <c r="Z408" s="203"/>
    </row>
    <row r="409" spans="7:26"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03"/>
      <c r="R409" s="203"/>
      <c r="S409" s="203"/>
      <c r="T409" s="207"/>
      <c r="U409" s="203"/>
      <c r="V409" s="203"/>
      <c r="W409" s="203"/>
      <c r="X409" s="203"/>
      <c r="Y409" s="203"/>
      <c r="Z409" s="203"/>
    </row>
    <row r="410" spans="7:26"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03"/>
      <c r="R410" s="203"/>
      <c r="S410" s="203"/>
      <c r="T410" s="207"/>
      <c r="U410" s="203"/>
      <c r="V410" s="203"/>
      <c r="W410" s="203"/>
      <c r="X410" s="203"/>
      <c r="Y410" s="203"/>
      <c r="Z410" s="203"/>
    </row>
    <row r="411" spans="7:26"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03"/>
      <c r="R411" s="203"/>
      <c r="S411" s="203"/>
      <c r="T411" s="207"/>
      <c r="U411" s="203"/>
      <c r="V411" s="203"/>
      <c r="W411" s="203"/>
      <c r="X411" s="203"/>
      <c r="Y411" s="203"/>
      <c r="Z411" s="203"/>
    </row>
    <row r="412" spans="7:26"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03"/>
      <c r="R412" s="203"/>
      <c r="S412" s="203"/>
      <c r="T412" s="207"/>
      <c r="U412" s="203"/>
      <c r="V412" s="203"/>
      <c r="W412" s="203"/>
      <c r="X412" s="203"/>
      <c r="Y412" s="203"/>
      <c r="Z412" s="203"/>
    </row>
    <row r="413" spans="7:26"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03"/>
      <c r="R413" s="203"/>
      <c r="S413" s="203"/>
      <c r="T413" s="207"/>
      <c r="U413" s="203"/>
      <c r="V413" s="203"/>
      <c r="W413" s="203"/>
      <c r="X413" s="203"/>
      <c r="Y413" s="203"/>
      <c r="Z413" s="203"/>
    </row>
    <row r="414" spans="7:26"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03"/>
      <c r="R414" s="203"/>
      <c r="S414" s="203"/>
      <c r="T414" s="207"/>
      <c r="U414" s="203"/>
      <c r="V414" s="203"/>
      <c r="W414" s="203"/>
      <c r="X414" s="203"/>
      <c r="Y414" s="203"/>
      <c r="Z414" s="203"/>
    </row>
    <row r="415" spans="7:26"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03"/>
      <c r="R415" s="203"/>
      <c r="S415" s="203"/>
      <c r="T415" s="207"/>
      <c r="U415" s="203"/>
      <c r="V415" s="203"/>
      <c r="W415" s="203"/>
      <c r="X415" s="203"/>
      <c r="Y415" s="203"/>
      <c r="Z415" s="203"/>
    </row>
    <row r="416" spans="7:26"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03"/>
      <c r="R416" s="203"/>
      <c r="S416" s="203"/>
      <c r="T416" s="207"/>
      <c r="U416" s="203"/>
      <c r="V416" s="203"/>
      <c r="W416" s="203"/>
      <c r="X416" s="203"/>
      <c r="Y416" s="203"/>
      <c r="Z416" s="203"/>
    </row>
    <row r="417" spans="7:26"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03"/>
      <c r="R417" s="203"/>
      <c r="S417" s="203"/>
      <c r="T417" s="207"/>
      <c r="U417" s="203"/>
      <c r="V417" s="203"/>
      <c r="W417" s="203"/>
      <c r="X417" s="203"/>
      <c r="Y417" s="203"/>
      <c r="Z417" s="203"/>
    </row>
    <row r="418" spans="7:26"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03"/>
      <c r="R418" s="203"/>
      <c r="S418" s="203"/>
      <c r="T418" s="207"/>
      <c r="U418" s="203"/>
      <c r="V418" s="203"/>
      <c r="W418" s="203"/>
      <c r="X418" s="203"/>
      <c r="Y418" s="203"/>
      <c r="Z418" s="203"/>
    </row>
    <row r="419" spans="7:26"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03"/>
      <c r="R419" s="203"/>
      <c r="S419" s="203"/>
      <c r="T419" s="207"/>
      <c r="U419" s="203"/>
      <c r="V419" s="203"/>
      <c r="W419" s="203"/>
      <c r="X419" s="203"/>
      <c r="Y419" s="203"/>
      <c r="Z419" s="203"/>
    </row>
    <row r="420" spans="7:26"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03"/>
      <c r="R420" s="203"/>
      <c r="S420" s="203"/>
      <c r="T420" s="207"/>
      <c r="U420" s="203"/>
      <c r="V420" s="203"/>
      <c r="W420" s="203"/>
      <c r="X420" s="203"/>
      <c r="Y420" s="203"/>
      <c r="Z420" s="203"/>
    </row>
    <row r="421" spans="7:26"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03"/>
      <c r="R421" s="203"/>
      <c r="S421" s="203"/>
      <c r="T421" s="207"/>
      <c r="U421" s="203"/>
      <c r="V421" s="203"/>
      <c r="W421" s="203"/>
      <c r="X421" s="203"/>
      <c r="Y421" s="203"/>
      <c r="Z421" s="203"/>
    </row>
    <row r="422" spans="7:26"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03"/>
      <c r="R422" s="203"/>
      <c r="S422" s="203"/>
      <c r="T422" s="207"/>
      <c r="U422" s="203"/>
      <c r="V422" s="203"/>
      <c r="W422" s="203"/>
      <c r="X422" s="203"/>
      <c r="Y422" s="203"/>
      <c r="Z422" s="203"/>
    </row>
    <row r="423" spans="7:26"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03"/>
      <c r="R423" s="203"/>
      <c r="S423" s="203"/>
      <c r="T423" s="207"/>
      <c r="U423" s="203"/>
      <c r="V423" s="203"/>
      <c r="W423" s="203"/>
      <c r="X423" s="203"/>
      <c r="Y423" s="203"/>
      <c r="Z423" s="203"/>
    </row>
    <row r="424" spans="7:26"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03"/>
      <c r="R424" s="203"/>
      <c r="S424" s="203"/>
      <c r="T424" s="207"/>
      <c r="U424" s="203"/>
      <c r="V424" s="203"/>
      <c r="W424" s="203"/>
      <c r="X424" s="203"/>
      <c r="Y424" s="203"/>
      <c r="Z424" s="203"/>
    </row>
    <row r="425" spans="7:26"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03"/>
      <c r="R425" s="203"/>
      <c r="S425" s="203"/>
      <c r="T425" s="207"/>
      <c r="U425" s="203"/>
      <c r="V425" s="203"/>
      <c r="W425" s="203"/>
      <c r="X425" s="203"/>
      <c r="Y425" s="203"/>
      <c r="Z425" s="203"/>
    </row>
    <row r="426" spans="7:26"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03"/>
      <c r="R426" s="203"/>
      <c r="S426" s="203"/>
      <c r="T426" s="207"/>
      <c r="U426" s="203"/>
      <c r="V426" s="203"/>
      <c r="W426" s="203"/>
      <c r="X426" s="203"/>
      <c r="Y426" s="203"/>
      <c r="Z426" s="203"/>
    </row>
    <row r="427" spans="7:26"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03"/>
      <c r="R427" s="203"/>
      <c r="S427" s="203"/>
      <c r="T427" s="207"/>
      <c r="U427" s="203"/>
      <c r="V427" s="203"/>
      <c r="W427" s="203"/>
      <c r="X427" s="203"/>
      <c r="Y427" s="203"/>
      <c r="Z427" s="203"/>
    </row>
    <row r="428" spans="7:26"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03"/>
      <c r="R428" s="203"/>
      <c r="S428" s="203"/>
      <c r="T428" s="207"/>
      <c r="U428" s="203"/>
      <c r="V428" s="203"/>
      <c r="W428" s="203"/>
      <c r="X428" s="203"/>
      <c r="Y428" s="203"/>
      <c r="Z428" s="203"/>
    </row>
    <row r="429" spans="7:26"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03"/>
      <c r="R429" s="203"/>
      <c r="S429" s="203"/>
      <c r="T429" s="207"/>
      <c r="U429" s="203"/>
      <c r="V429" s="203"/>
      <c r="W429" s="203"/>
      <c r="X429" s="203"/>
      <c r="Y429" s="203"/>
      <c r="Z429" s="203"/>
    </row>
    <row r="430" spans="7:26"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03"/>
      <c r="R430" s="203"/>
      <c r="S430" s="203"/>
      <c r="T430" s="207"/>
      <c r="U430" s="203"/>
      <c r="V430" s="203"/>
      <c r="W430" s="203"/>
      <c r="X430" s="203"/>
      <c r="Y430" s="203"/>
      <c r="Z430" s="203"/>
    </row>
    <row r="431" spans="7:26"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03"/>
      <c r="R431" s="203"/>
      <c r="S431" s="203"/>
      <c r="T431" s="207"/>
      <c r="U431" s="203"/>
      <c r="V431" s="203"/>
      <c r="W431" s="203"/>
      <c r="X431" s="203"/>
      <c r="Y431" s="203"/>
      <c r="Z431" s="203"/>
    </row>
    <row r="432" spans="7:26"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03"/>
      <c r="R432" s="203"/>
      <c r="S432" s="203"/>
      <c r="T432" s="207"/>
      <c r="U432" s="203"/>
      <c r="V432" s="203"/>
      <c r="W432" s="203"/>
      <c r="X432" s="203"/>
      <c r="Y432" s="203"/>
      <c r="Z432" s="203"/>
    </row>
    <row r="433" spans="7:26"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03"/>
      <c r="R433" s="203"/>
      <c r="S433" s="203"/>
      <c r="T433" s="207"/>
      <c r="U433" s="203"/>
      <c r="V433" s="203"/>
      <c r="W433" s="203"/>
      <c r="X433" s="203"/>
      <c r="Y433" s="203"/>
      <c r="Z433" s="203"/>
    </row>
    <row r="434" spans="7:26"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03"/>
      <c r="R434" s="203"/>
      <c r="S434" s="203"/>
      <c r="T434" s="207"/>
      <c r="U434" s="203"/>
      <c r="V434" s="203"/>
      <c r="W434" s="203"/>
      <c r="X434" s="203"/>
      <c r="Y434" s="203"/>
      <c r="Z434" s="203"/>
    </row>
    <row r="435" spans="7:26"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03"/>
      <c r="R435" s="203"/>
      <c r="S435" s="203"/>
      <c r="T435" s="207"/>
      <c r="U435" s="203"/>
      <c r="V435" s="203"/>
      <c r="W435" s="203"/>
      <c r="X435" s="203"/>
      <c r="Y435" s="203"/>
      <c r="Z435" s="203"/>
    </row>
    <row r="436" spans="7:26"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03"/>
      <c r="R436" s="203"/>
      <c r="S436" s="203"/>
      <c r="T436" s="207"/>
      <c r="U436" s="203"/>
      <c r="V436" s="203"/>
      <c r="W436" s="203"/>
      <c r="X436" s="203"/>
      <c r="Y436" s="203"/>
      <c r="Z436" s="203"/>
    </row>
    <row r="437" spans="7:26"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03"/>
      <c r="R437" s="203"/>
      <c r="S437" s="203"/>
      <c r="T437" s="207"/>
      <c r="U437" s="203"/>
      <c r="V437" s="203"/>
      <c r="W437" s="203"/>
      <c r="X437" s="203"/>
      <c r="Y437" s="203"/>
      <c r="Z437" s="203"/>
    </row>
    <row r="438" spans="7:26"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03"/>
      <c r="R438" s="203"/>
      <c r="S438" s="203"/>
      <c r="T438" s="207"/>
      <c r="U438" s="203"/>
      <c r="V438" s="203"/>
      <c r="W438" s="203"/>
      <c r="X438" s="203"/>
      <c r="Y438" s="203"/>
      <c r="Z438" s="203"/>
    </row>
    <row r="439" spans="7:26"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03"/>
      <c r="R439" s="203"/>
      <c r="S439" s="203"/>
      <c r="T439" s="207"/>
      <c r="U439" s="203"/>
      <c r="V439" s="203"/>
      <c r="W439" s="203"/>
      <c r="X439" s="203"/>
      <c r="Y439" s="203"/>
      <c r="Z439" s="203"/>
    </row>
    <row r="440" spans="7:26"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03"/>
      <c r="R440" s="203"/>
      <c r="S440" s="203"/>
      <c r="T440" s="207"/>
      <c r="U440" s="203"/>
      <c r="V440" s="203"/>
      <c r="W440" s="203"/>
      <c r="X440" s="203"/>
      <c r="Y440" s="203"/>
      <c r="Z440" s="203"/>
    </row>
    <row r="441" spans="7:26"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03"/>
      <c r="R441" s="203"/>
      <c r="S441" s="203"/>
      <c r="T441" s="207"/>
      <c r="U441" s="203"/>
      <c r="V441" s="203"/>
      <c r="W441" s="203"/>
      <c r="X441" s="203"/>
      <c r="Y441" s="203"/>
      <c r="Z441" s="203"/>
    </row>
    <row r="442" spans="7:26"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03"/>
      <c r="R442" s="203"/>
      <c r="S442" s="203"/>
      <c r="T442" s="207"/>
      <c r="U442" s="203"/>
      <c r="V442" s="203"/>
      <c r="W442" s="203"/>
      <c r="X442" s="203"/>
      <c r="Y442" s="203"/>
      <c r="Z442" s="203"/>
    </row>
    <row r="443" spans="7:26"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03"/>
      <c r="R443" s="203"/>
      <c r="S443" s="203"/>
      <c r="T443" s="207"/>
      <c r="U443" s="203"/>
      <c r="V443" s="203"/>
      <c r="W443" s="203"/>
      <c r="X443" s="203"/>
      <c r="Y443" s="203"/>
      <c r="Z443" s="203"/>
    </row>
    <row r="444" spans="7:26"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03"/>
      <c r="R444" s="203"/>
      <c r="S444" s="203"/>
      <c r="T444" s="207"/>
      <c r="U444" s="203"/>
      <c r="V444" s="203"/>
      <c r="W444" s="203"/>
      <c r="X444" s="203"/>
      <c r="Y444" s="203"/>
      <c r="Z444" s="203"/>
    </row>
    <row r="445" spans="7:26"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03"/>
      <c r="R445" s="203"/>
      <c r="S445" s="203"/>
      <c r="T445" s="207"/>
      <c r="U445" s="203"/>
      <c r="V445" s="203"/>
      <c r="W445" s="203"/>
      <c r="X445" s="203"/>
      <c r="Y445" s="203"/>
      <c r="Z445" s="203"/>
    </row>
    <row r="446" spans="7:26"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03"/>
      <c r="R446" s="203"/>
      <c r="S446" s="203"/>
      <c r="T446" s="207"/>
      <c r="U446" s="203"/>
      <c r="V446" s="203"/>
      <c r="W446" s="203"/>
      <c r="X446" s="203"/>
      <c r="Y446" s="203"/>
      <c r="Z446" s="203"/>
    </row>
    <row r="447" spans="7:26"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03"/>
      <c r="R447" s="203"/>
      <c r="S447" s="203"/>
      <c r="T447" s="207"/>
      <c r="U447" s="203"/>
      <c r="V447" s="203"/>
      <c r="W447" s="203"/>
      <c r="X447" s="203"/>
      <c r="Y447" s="203"/>
      <c r="Z447" s="203"/>
    </row>
    <row r="448" spans="7:26"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03"/>
      <c r="R448" s="203"/>
      <c r="S448" s="203"/>
      <c r="T448" s="207"/>
      <c r="U448" s="203"/>
      <c r="V448" s="203"/>
      <c r="W448" s="203"/>
      <c r="X448" s="203"/>
      <c r="Y448" s="203"/>
      <c r="Z448" s="203"/>
    </row>
    <row r="449" spans="7:26"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03"/>
      <c r="R449" s="203"/>
      <c r="S449" s="203"/>
      <c r="T449" s="207"/>
      <c r="U449" s="203"/>
      <c r="V449" s="203"/>
      <c r="W449" s="203"/>
      <c r="X449" s="203"/>
      <c r="Y449" s="203"/>
      <c r="Z449" s="203"/>
    </row>
    <row r="450" spans="7:26"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03"/>
      <c r="R450" s="203"/>
      <c r="S450" s="203"/>
      <c r="T450" s="207"/>
      <c r="U450" s="203"/>
      <c r="V450" s="203"/>
      <c r="W450" s="203"/>
      <c r="X450" s="203"/>
      <c r="Y450" s="203"/>
      <c r="Z450" s="203"/>
    </row>
    <row r="451" spans="7:26"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03"/>
      <c r="R451" s="203"/>
      <c r="S451" s="203"/>
      <c r="T451" s="207"/>
      <c r="U451" s="203"/>
      <c r="V451" s="203"/>
      <c r="W451" s="203"/>
      <c r="X451" s="203"/>
      <c r="Y451" s="203"/>
      <c r="Z451" s="203"/>
    </row>
    <row r="452" spans="7:26"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03"/>
      <c r="R452" s="203"/>
      <c r="S452" s="203"/>
      <c r="T452" s="207"/>
      <c r="U452" s="203"/>
      <c r="V452" s="203"/>
      <c r="W452" s="203"/>
      <c r="X452" s="203"/>
      <c r="Y452" s="203"/>
      <c r="Z452" s="203"/>
    </row>
    <row r="453" spans="7:26"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03"/>
      <c r="R453" s="203"/>
      <c r="S453" s="203"/>
      <c r="T453" s="207"/>
      <c r="U453" s="203"/>
      <c r="V453" s="203"/>
      <c r="W453" s="203"/>
      <c r="X453" s="203"/>
      <c r="Y453" s="203"/>
      <c r="Z453" s="203"/>
    </row>
    <row r="454" spans="7:26"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03"/>
      <c r="R454" s="203"/>
      <c r="S454" s="203"/>
      <c r="T454" s="207"/>
      <c r="U454" s="203"/>
      <c r="V454" s="203"/>
      <c r="W454" s="203"/>
      <c r="X454" s="203"/>
      <c r="Y454" s="203"/>
      <c r="Z454" s="203"/>
    </row>
    <row r="455" spans="7:26"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03"/>
      <c r="R455" s="203"/>
      <c r="S455" s="203"/>
      <c r="T455" s="207"/>
      <c r="U455" s="203"/>
      <c r="V455" s="203"/>
      <c r="W455" s="203"/>
      <c r="X455" s="203"/>
      <c r="Y455" s="203"/>
      <c r="Z455" s="203"/>
    </row>
    <row r="456" spans="7:26"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03"/>
      <c r="R456" s="203"/>
      <c r="S456" s="203"/>
      <c r="T456" s="207"/>
      <c r="U456" s="203"/>
      <c r="V456" s="203"/>
      <c r="W456" s="203"/>
      <c r="X456" s="203"/>
      <c r="Y456" s="203"/>
      <c r="Z456" s="203"/>
    </row>
    <row r="457" spans="7:26"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03"/>
      <c r="R457" s="203"/>
      <c r="S457" s="203"/>
      <c r="T457" s="207"/>
      <c r="U457" s="203"/>
      <c r="V457" s="203"/>
      <c r="W457" s="203"/>
      <c r="X457" s="203"/>
      <c r="Y457" s="203"/>
      <c r="Z457" s="203"/>
    </row>
    <row r="458" spans="7:26"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03"/>
      <c r="R458" s="203"/>
      <c r="S458" s="203"/>
      <c r="T458" s="207"/>
      <c r="U458" s="203"/>
      <c r="V458" s="203"/>
      <c r="W458" s="203"/>
      <c r="X458" s="203"/>
      <c r="Y458" s="203"/>
      <c r="Z458" s="203"/>
    </row>
    <row r="459" spans="7:26"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03"/>
      <c r="R459" s="203"/>
      <c r="S459" s="203"/>
      <c r="T459" s="207"/>
      <c r="U459" s="203"/>
      <c r="V459" s="203"/>
      <c r="W459" s="203"/>
      <c r="X459" s="203"/>
      <c r="Y459" s="203"/>
      <c r="Z459" s="203"/>
    </row>
    <row r="460" spans="7:26"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03"/>
      <c r="R460" s="203"/>
      <c r="S460" s="203"/>
      <c r="T460" s="207"/>
      <c r="U460" s="203"/>
      <c r="V460" s="203"/>
      <c r="W460" s="203"/>
      <c r="X460" s="203"/>
      <c r="Y460" s="203"/>
      <c r="Z460" s="203"/>
    </row>
    <row r="461" spans="7:26"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03"/>
      <c r="R461" s="203"/>
      <c r="S461" s="203"/>
      <c r="T461" s="207"/>
      <c r="U461" s="203"/>
      <c r="V461" s="203"/>
      <c r="W461" s="203"/>
      <c r="X461" s="203"/>
      <c r="Y461" s="203"/>
      <c r="Z461" s="203"/>
    </row>
    <row r="462" spans="7:26"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03"/>
      <c r="R462" s="203"/>
      <c r="S462" s="203"/>
      <c r="T462" s="207"/>
      <c r="U462" s="203"/>
      <c r="V462" s="203"/>
      <c r="W462" s="203"/>
      <c r="X462" s="203"/>
      <c r="Y462" s="203"/>
      <c r="Z462" s="203"/>
    </row>
    <row r="463" spans="7:26"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03"/>
      <c r="R463" s="203"/>
      <c r="S463" s="203"/>
      <c r="T463" s="207"/>
      <c r="U463" s="203"/>
      <c r="V463" s="203"/>
      <c r="W463" s="203"/>
      <c r="X463" s="203"/>
      <c r="Y463" s="203"/>
      <c r="Z463" s="203"/>
    </row>
    <row r="464" spans="7:26"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03"/>
      <c r="R464" s="203"/>
      <c r="S464" s="203"/>
      <c r="T464" s="207"/>
      <c r="U464" s="203"/>
      <c r="V464" s="203"/>
      <c r="W464" s="203"/>
      <c r="X464" s="203"/>
      <c r="Y464" s="203"/>
      <c r="Z464" s="203"/>
    </row>
    <row r="465" spans="7:26"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03"/>
      <c r="R465" s="203"/>
      <c r="S465" s="203"/>
      <c r="T465" s="207"/>
      <c r="U465" s="203"/>
      <c r="V465" s="203"/>
      <c r="W465" s="203"/>
      <c r="X465" s="203"/>
      <c r="Y465" s="203"/>
      <c r="Z465" s="203"/>
    </row>
    <row r="466" spans="7:26"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03"/>
      <c r="R466" s="203"/>
      <c r="S466" s="203"/>
      <c r="T466" s="207"/>
      <c r="U466" s="203"/>
      <c r="V466" s="203"/>
      <c r="W466" s="203"/>
      <c r="X466" s="203"/>
      <c r="Y466" s="203"/>
      <c r="Z466" s="203"/>
    </row>
    <row r="467" spans="7:26"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03"/>
      <c r="R467" s="203"/>
      <c r="S467" s="203"/>
      <c r="T467" s="207"/>
      <c r="U467" s="203"/>
      <c r="V467" s="203"/>
      <c r="W467" s="203"/>
      <c r="X467" s="203"/>
      <c r="Y467" s="203"/>
      <c r="Z467" s="203"/>
    </row>
    <row r="468" spans="7:26"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03"/>
      <c r="R468" s="203"/>
      <c r="S468" s="203"/>
      <c r="T468" s="207"/>
      <c r="U468" s="203"/>
      <c r="V468" s="203"/>
      <c r="W468" s="203"/>
      <c r="X468" s="203"/>
      <c r="Y468" s="203"/>
      <c r="Z468" s="203"/>
    </row>
    <row r="469" spans="7:26"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03"/>
      <c r="R469" s="203"/>
      <c r="S469" s="203"/>
      <c r="T469" s="207"/>
      <c r="U469" s="203"/>
      <c r="V469" s="203"/>
      <c r="W469" s="203"/>
      <c r="X469" s="203"/>
      <c r="Y469" s="203"/>
      <c r="Z469" s="203"/>
    </row>
    <row r="470" spans="7:26"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03"/>
      <c r="R470" s="203"/>
      <c r="S470" s="203"/>
      <c r="T470" s="207"/>
      <c r="U470" s="203"/>
      <c r="V470" s="203"/>
      <c r="W470" s="203"/>
      <c r="X470" s="203"/>
      <c r="Y470" s="203"/>
      <c r="Z470" s="203"/>
    </row>
    <row r="471" spans="7:26"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03"/>
      <c r="R471" s="203"/>
      <c r="S471" s="203"/>
      <c r="T471" s="207"/>
      <c r="U471" s="203"/>
      <c r="V471" s="203"/>
      <c r="W471" s="203"/>
      <c r="X471" s="203"/>
      <c r="Y471" s="203"/>
      <c r="Z471" s="203"/>
    </row>
    <row r="472" spans="7:26"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03"/>
      <c r="R472" s="203"/>
      <c r="S472" s="203"/>
      <c r="T472" s="207"/>
      <c r="U472" s="203"/>
      <c r="V472" s="203"/>
      <c r="W472" s="203"/>
      <c r="X472" s="203"/>
      <c r="Y472" s="203"/>
      <c r="Z472" s="203"/>
    </row>
    <row r="473" spans="7:26"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03"/>
      <c r="R473" s="203"/>
      <c r="S473" s="203"/>
      <c r="T473" s="207"/>
      <c r="U473" s="203"/>
      <c r="V473" s="203"/>
      <c r="W473" s="203"/>
      <c r="X473" s="203"/>
      <c r="Y473" s="203"/>
      <c r="Z473" s="203"/>
    </row>
    <row r="474" spans="7:26"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03"/>
      <c r="R474" s="203"/>
      <c r="S474" s="203"/>
      <c r="T474" s="207"/>
      <c r="U474" s="203"/>
      <c r="V474" s="203"/>
      <c r="W474" s="203"/>
      <c r="X474" s="203"/>
      <c r="Y474" s="203"/>
      <c r="Z474" s="203"/>
    </row>
    <row r="475" spans="7:26"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03"/>
      <c r="R475" s="203"/>
      <c r="S475" s="203"/>
      <c r="T475" s="207"/>
      <c r="U475" s="203"/>
      <c r="V475" s="203"/>
      <c r="W475" s="203"/>
      <c r="X475" s="203"/>
      <c r="Y475" s="203"/>
      <c r="Z475" s="203"/>
    </row>
    <row r="476" spans="7:26"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03"/>
      <c r="R476" s="203"/>
      <c r="S476" s="203"/>
      <c r="T476" s="207"/>
      <c r="U476" s="203"/>
      <c r="V476" s="203"/>
      <c r="W476" s="203"/>
      <c r="X476" s="203"/>
      <c r="Y476" s="203"/>
      <c r="Z476" s="203"/>
    </row>
    <row r="477" spans="7:26"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03"/>
      <c r="R477" s="203"/>
      <c r="S477" s="203"/>
      <c r="T477" s="207"/>
      <c r="U477" s="203"/>
      <c r="V477" s="203"/>
      <c r="W477" s="203"/>
      <c r="X477" s="203"/>
      <c r="Y477" s="203"/>
      <c r="Z477" s="203"/>
    </row>
    <row r="478" spans="7:26"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03"/>
      <c r="R478" s="203"/>
      <c r="S478" s="203"/>
      <c r="T478" s="207"/>
      <c r="U478" s="203"/>
      <c r="V478" s="203"/>
      <c r="W478" s="203"/>
      <c r="X478" s="203"/>
      <c r="Y478" s="203"/>
      <c r="Z478" s="203"/>
    </row>
    <row r="479" spans="7:26"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03"/>
      <c r="R479" s="203"/>
      <c r="S479" s="203"/>
      <c r="T479" s="207"/>
      <c r="U479" s="203"/>
      <c r="V479" s="203"/>
      <c r="W479" s="203"/>
      <c r="X479" s="203"/>
      <c r="Y479" s="203"/>
      <c r="Z479" s="203"/>
    </row>
    <row r="480" spans="7:26"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03"/>
      <c r="R480" s="203"/>
      <c r="S480" s="203"/>
      <c r="T480" s="207"/>
      <c r="U480" s="203"/>
      <c r="V480" s="203"/>
      <c r="W480" s="203"/>
      <c r="X480" s="203"/>
      <c r="Y480" s="203"/>
      <c r="Z480" s="203"/>
    </row>
    <row r="481" spans="7:26"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03"/>
      <c r="R481" s="203"/>
      <c r="S481" s="203"/>
      <c r="T481" s="207"/>
      <c r="U481" s="203"/>
      <c r="V481" s="203"/>
      <c r="W481" s="203"/>
      <c r="X481" s="203"/>
      <c r="Y481" s="203"/>
      <c r="Z481" s="203"/>
    </row>
    <row r="482" spans="7:26"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03"/>
      <c r="R482" s="203"/>
      <c r="S482" s="203"/>
      <c r="T482" s="207"/>
      <c r="U482" s="203"/>
      <c r="V482" s="203"/>
      <c r="W482" s="203"/>
      <c r="X482" s="203"/>
      <c r="Y482" s="203"/>
      <c r="Z482" s="203"/>
    </row>
    <row r="483" spans="7:26"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03"/>
      <c r="R483" s="203"/>
      <c r="S483" s="203"/>
      <c r="T483" s="207"/>
      <c r="U483" s="203"/>
      <c r="V483" s="203"/>
      <c r="W483" s="203"/>
      <c r="X483" s="203"/>
      <c r="Y483" s="203"/>
      <c r="Z483" s="203"/>
    </row>
    <row r="484" spans="7:26"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03"/>
      <c r="R484" s="203"/>
      <c r="S484" s="203"/>
      <c r="T484" s="207"/>
      <c r="U484" s="203"/>
      <c r="V484" s="203"/>
      <c r="W484" s="203"/>
      <c r="X484" s="203"/>
      <c r="Y484" s="203"/>
      <c r="Z484" s="203"/>
    </row>
    <row r="485" spans="7:26"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03"/>
      <c r="R485" s="203"/>
      <c r="S485" s="203"/>
      <c r="T485" s="207"/>
      <c r="U485" s="203"/>
      <c r="V485" s="203"/>
      <c r="W485" s="203"/>
      <c r="X485" s="203"/>
      <c r="Y485" s="203"/>
      <c r="Z485" s="203"/>
    </row>
    <row r="486" spans="7:26"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03"/>
      <c r="R486" s="203"/>
      <c r="S486" s="203"/>
      <c r="T486" s="207"/>
      <c r="U486" s="203"/>
      <c r="V486" s="203"/>
      <c r="W486" s="203"/>
      <c r="X486" s="203"/>
      <c r="Y486" s="203"/>
      <c r="Z486" s="203"/>
    </row>
    <row r="487" spans="7:26"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03"/>
      <c r="R487" s="203"/>
      <c r="S487" s="203"/>
      <c r="T487" s="207"/>
      <c r="U487" s="203"/>
      <c r="V487" s="203"/>
      <c r="W487" s="203"/>
      <c r="X487" s="203"/>
      <c r="Y487" s="203"/>
      <c r="Z487" s="203"/>
    </row>
    <row r="488" spans="7:26"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03"/>
      <c r="R488" s="203"/>
      <c r="S488" s="203"/>
      <c r="T488" s="207"/>
      <c r="U488" s="203"/>
      <c r="V488" s="203"/>
      <c r="W488" s="203"/>
      <c r="X488" s="203"/>
      <c r="Y488" s="203"/>
      <c r="Z488" s="203"/>
    </row>
    <row r="489" spans="7:26"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03"/>
      <c r="R489" s="203"/>
      <c r="S489" s="203"/>
      <c r="T489" s="207"/>
      <c r="U489" s="203"/>
      <c r="V489" s="203"/>
      <c r="W489" s="203"/>
      <c r="X489" s="203"/>
      <c r="Y489" s="203"/>
      <c r="Z489" s="203"/>
    </row>
    <row r="490" spans="7:26"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03"/>
      <c r="R490" s="203"/>
      <c r="S490" s="203"/>
      <c r="T490" s="207"/>
      <c r="U490" s="203"/>
      <c r="V490" s="203"/>
      <c r="W490" s="203"/>
      <c r="X490" s="203"/>
      <c r="Y490" s="203"/>
      <c r="Z490" s="203"/>
    </row>
    <row r="491" spans="7:26"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03"/>
      <c r="R491" s="203"/>
      <c r="S491" s="203"/>
      <c r="T491" s="207"/>
      <c r="U491" s="203"/>
      <c r="V491" s="203"/>
      <c r="W491" s="203"/>
      <c r="X491" s="203"/>
      <c r="Y491" s="203"/>
      <c r="Z491" s="203"/>
    </row>
    <row r="492" spans="7:26"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03"/>
      <c r="R492" s="203"/>
      <c r="S492" s="203"/>
      <c r="T492" s="207"/>
      <c r="U492" s="203"/>
      <c r="V492" s="203"/>
      <c r="W492" s="203"/>
      <c r="X492" s="203"/>
      <c r="Y492" s="203"/>
      <c r="Z492" s="203"/>
    </row>
    <row r="493" spans="7:26"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03"/>
      <c r="R493" s="203"/>
      <c r="S493" s="203"/>
      <c r="T493" s="207"/>
      <c r="U493" s="203"/>
      <c r="V493" s="203"/>
      <c r="W493" s="203"/>
      <c r="X493" s="203"/>
      <c r="Y493" s="203"/>
      <c r="Z493" s="203"/>
    </row>
    <row r="494" spans="7:26"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03"/>
      <c r="R494" s="203"/>
      <c r="S494" s="203"/>
      <c r="T494" s="207"/>
      <c r="U494" s="203"/>
      <c r="V494" s="203"/>
      <c r="W494" s="203"/>
      <c r="X494" s="203"/>
      <c r="Y494" s="203"/>
      <c r="Z494" s="203"/>
    </row>
    <row r="495" spans="7:26"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03"/>
      <c r="R495" s="203"/>
      <c r="S495" s="203"/>
      <c r="T495" s="207"/>
      <c r="U495" s="203"/>
      <c r="V495" s="203"/>
      <c r="W495" s="203"/>
      <c r="X495" s="203"/>
      <c r="Y495" s="203"/>
      <c r="Z495" s="203"/>
    </row>
    <row r="496" spans="7:26"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03"/>
      <c r="R496" s="203"/>
      <c r="S496" s="203"/>
      <c r="T496" s="207"/>
      <c r="U496" s="203"/>
      <c r="V496" s="203"/>
      <c r="W496" s="203"/>
      <c r="X496" s="203"/>
      <c r="Y496" s="203"/>
      <c r="Z496" s="203"/>
    </row>
    <row r="497" spans="7:26">
      <c r="G497" s="203"/>
      <c r="H497" s="203"/>
      <c r="I497" s="203"/>
      <c r="J497" s="203"/>
      <c r="K497" s="203"/>
      <c r="L497" s="203"/>
      <c r="M497" s="203"/>
      <c r="N497" s="203"/>
      <c r="O497" s="203"/>
      <c r="P497" s="203"/>
      <c r="Q497" s="203"/>
      <c r="R497" s="203"/>
      <c r="S497" s="203"/>
      <c r="T497" s="207"/>
      <c r="U497" s="203"/>
      <c r="V497" s="203"/>
      <c r="W497" s="203"/>
      <c r="X497" s="203"/>
      <c r="Y497" s="203"/>
      <c r="Z497" s="203"/>
    </row>
    <row r="498" spans="7:26">
      <c r="G498" s="203"/>
      <c r="H498" s="203"/>
      <c r="I498" s="203"/>
      <c r="J498" s="203"/>
      <c r="K498" s="203"/>
      <c r="L498" s="203"/>
      <c r="M498" s="203"/>
      <c r="N498" s="203"/>
      <c r="O498" s="203"/>
      <c r="P498" s="203"/>
      <c r="Q498" s="203"/>
      <c r="R498" s="203"/>
      <c r="S498" s="203"/>
      <c r="T498" s="207"/>
      <c r="U498" s="203"/>
      <c r="V498" s="203"/>
      <c r="W498" s="203"/>
      <c r="X498" s="203"/>
      <c r="Y498" s="203"/>
      <c r="Z498" s="203"/>
    </row>
    <row r="499" spans="7:26">
      <c r="G499" s="203"/>
      <c r="H499" s="203"/>
      <c r="I499" s="203"/>
      <c r="J499" s="203"/>
      <c r="K499" s="203"/>
      <c r="L499" s="203"/>
      <c r="M499" s="203"/>
      <c r="N499" s="203"/>
      <c r="O499" s="203"/>
      <c r="P499" s="203"/>
      <c r="Q499" s="203"/>
      <c r="R499" s="203"/>
      <c r="S499" s="203"/>
      <c r="T499" s="207"/>
      <c r="U499" s="203"/>
      <c r="V499" s="203"/>
      <c r="W499" s="203"/>
      <c r="X499" s="203"/>
      <c r="Y499" s="203"/>
      <c r="Z499" s="203"/>
    </row>
    <row r="500" spans="7:26">
      <c r="G500" s="203"/>
      <c r="H500" s="203"/>
      <c r="I500" s="203"/>
      <c r="J500" s="203"/>
      <c r="K500" s="203"/>
      <c r="L500" s="203"/>
      <c r="M500" s="203"/>
      <c r="N500" s="203"/>
      <c r="O500" s="203"/>
      <c r="P500" s="203"/>
      <c r="Q500" s="203"/>
      <c r="R500" s="203"/>
      <c r="S500" s="203"/>
      <c r="T500" s="207"/>
      <c r="U500" s="203"/>
      <c r="V500" s="203"/>
      <c r="W500" s="203"/>
      <c r="X500" s="203"/>
      <c r="Y500" s="203"/>
      <c r="Z500" s="203"/>
    </row>
    <row r="501" spans="7:26">
      <c r="G501" s="203"/>
      <c r="H501" s="203"/>
      <c r="I501" s="203"/>
      <c r="J501" s="203"/>
      <c r="K501" s="203"/>
      <c r="L501" s="203"/>
      <c r="M501" s="203"/>
      <c r="N501" s="203"/>
      <c r="O501" s="203"/>
      <c r="P501" s="203"/>
      <c r="Q501" s="203"/>
      <c r="R501" s="203"/>
      <c r="S501" s="203"/>
      <c r="T501" s="207"/>
      <c r="U501" s="203"/>
      <c r="V501" s="203"/>
      <c r="W501" s="203"/>
      <c r="X501" s="203"/>
      <c r="Y501" s="203"/>
      <c r="Z501" s="203"/>
    </row>
    <row r="502" spans="7:26">
      <c r="G502" s="203"/>
      <c r="H502" s="203"/>
      <c r="I502" s="203"/>
      <c r="J502" s="203"/>
      <c r="K502" s="203"/>
      <c r="L502" s="203"/>
      <c r="M502" s="203"/>
      <c r="N502" s="203"/>
      <c r="O502" s="203"/>
      <c r="P502" s="203"/>
      <c r="Q502" s="203"/>
      <c r="R502" s="203"/>
      <c r="S502" s="203"/>
      <c r="T502" s="207"/>
      <c r="U502" s="203"/>
      <c r="V502" s="203"/>
      <c r="W502" s="203"/>
      <c r="X502" s="203"/>
      <c r="Y502" s="203"/>
      <c r="Z502" s="203"/>
    </row>
    <row r="503" spans="7:26">
      <c r="G503" s="203"/>
      <c r="H503" s="203"/>
      <c r="I503" s="203"/>
      <c r="J503" s="203"/>
      <c r="K503" s="203"/>
      <c r="L503" s="203"/>
      <c r="M503" s="203"/>
      <c r="N503" s="203"/>
      <c r="O503" s="203"/>
      <c r="P503" s="203"/>
      <c r="Q503" s="203"/>
      <c r="R503" s="203"/>
      <c r="S503" s="203"/>
      <c r="T503" s="207"/>
      <c r="U503" s="203"/>
      <c r="V503" s="203"/>
      <c r="W503" s="203"/>
      <c r="X503" s="203"/>
      <c r="Y503" s="203"/>
      <c r="Z503" s="203"/>
    </row>
    <row r="504" spans="7:26">
      <c r="G504" s="203"/>
      <c r="H504" s="203"/>
      <c r="I504" s="203"/>
      <c r="J504" s="203"/>
      <c r="K504" s="203"/>
      <c r="L504" s="203"/>
      <c r="M504" s="203"/>
      <c r="N504" s="203"/>
      <c r="O504" s="203"/>
      <c r="P504" s="203"/>
      <c r="Q504" s="203"/>
      <c r="R504" s="203"/>
      <c r="S504" s="203"/>
      <c r="T504" s="207"/>
      <c r="U504" s="203"/>
      <c r="V504" s="203"/>
      <c r="W504" s="203"/>
      <c r="X504" s="203"/>
      <c r="Y504" s="203"/>
      <c r="Z504" s="203"/>
    </row>
    <row r="505" spans="7:26">
      <c r="G505" s="203"/>
      <c r="H505" s="203"/>
      <c r="I505" s="203"/>
      <c r="J505" s="203"/>
      <c r="K505" s="203"/>
      <c r="L505" s="203"/>
      <c r="M505" s="203"/>
      <c r="N505" s="203"/>
      <c r="O505" s="203"/>
      <c r="P505" s="203"/>
      <c r="Q505" s="203"/>
      <c r="R505" s="203"/>
      <c r="S505" s="203"/>
      <c r="T505" s="207"/>
      <c r="U505" s="203"/>
      <c r="V505" s="203"/>
      <c r="W505" s="203"/>
      <c r="X505" s="203"/>
      <c r="Y505" s="203"/>
      <c r="Z505" s="203"/>
    </row>
    <row r="506" spans="7:26">
      <c r="G506" s="203"/>
      <c r="H506" s="203"/>
      <c r="I506" s="203"/>
      <c r="J506" s="203"/>
      <c r="K506" s="203"/>
      <c r="L506" s="203"/>
      <c r="M506" s="203"/>
      <c r="N506" s="203"/>
      <c r="O506" s="203"/>
      <c r="P506" s="203"/>
      <c r="Q506" s="203"/>
      <c r="R506" s="203"/>
      <c r="S506" s="203"/>
      <c r="T506" s="207"/>
      <c r="U506" s="203"/>
      <c r="V506" s="203"/>
      <c r="W506" s="203"/>
      <c r="X506" s="203"/>
      <c r="Y506" s="203"/>
      <c r="Z506" s="203"/>
    </row>
    <row r="507" spans="7:26">
      <c r="G507" s="203"/>
      <c r="H507" s="203"/>
      <c r="I507" s="203"/>
      <c r="J507" s="203"/>
      <c r="K507" s="203"/>
      <c r="L507" s="203"/>
      <c r="M507" s="203"/>
      <c r="N507" s="203"/>
      <c r="O507" s="203"/>
      <c r="P507" s="203"/>
      <c r="Q507" s="203"/>
      <c r="R507" s="203"/>
      <c r="S507" s="203"/>
      <c r="T507" s="207"/>
      <c r="U507" s="203"/>
      <c r="V507" s="203"/>
      <c r="W507" s="203"/>
      <c r="X507" s="203"/>
      <c r="Y507" s="203"/>
      <c r="Z507" s="203"/>
    </row>
    <row r="508" spans="7:26">
      <c r="G508" s="203"/>
      <c r="H508" s="203"/>
      <c r="I508" s="203"/>
      <c r="J508" s="203"/>
      <c r="K508" s="203"/>
      <c r="L508" s="203"/>
      <c r="M508" s="203"/>
      <c r="N508" s="203"/>
      <c r="O508" s="203"/>
      <c r="P508" s="203"/>
      <c r="Q508" s="203"/>
      <c r="R508" s="203"/>
      <c r="S508" s="203"/>
      <c r="T508" s="207"/>
      <c r="U508" s="203"/>
      <c r="V508" s="203"/>
      <c r="W508" s="203"/>
      <c r="X508" s="203"/>
      <c r="Y508" s="203"/>
      <c r="Z508" s="203"/>
    </row>
    <row r="509" spans="7:26">
      <c r="G509" s="203"/>
      <c r="H509" s="203"/>
      <c r="I509" s="203"/>
      <c r="J509" s="203"/>
      <c r="K509" s="203"/>
      <c r="L509" s="203"/>
      <c r="M509" s="203"/>
      <c r="N509" s="203"/>
      <c r="O509" s="203"/>
      <c r="P509" s="203"/>
      <c r="Q509" s="203"/>
      <c r="R509" s="203"/>
      <c r="S509" s="203"/>
      <c r="T509" s="207"/>
      <c r="U509" s="203"/>
      <c r="V509" s="203"/>
      <c r="W509" s="203"/>
      <c r="X509" s="203"/>
      <c r="Y509" s="203"/>
      <c r="Z509" s="203"/>
    </row>
    <row r="510" spans="7:26">
      <c r="G510" s="203"/>
      <c r="H510" s="203"/>
      <c r="I510" s="203"/>
      <c r="J510" s="203"/>
      <c r="K510" s="203"/>
      <c r="L510" s="203"/>
      <c r="M510" s="203"/>
      <c r="N510" s="203"/>
      <c r="O510" s="203"/>
      <c r="P510" s="203"/>
      <c r="Q510" s="203"/>
      <c r="R510" s="203"/>
      <c r="S510" s="203"/>
      <c r="T510" s="207"/>
      <c r="U510" s="203"/>
      <c r="V510" s="203"/>
      <c r="W510" s="203"/>
      <c r="X510" s="203"/>
      <c r="Y510" s="203"/>
      <c r="Z510" s="203"/>
    </row>
    <row r="511" spans="7:26">
      <c r="G511" s="203"/>
      <c r="H511" s="203"/>
      <c r="I511" s="203"/>
      <c r="J511" s="203"/>
      <c r="K511" s="203"/>
      <c r="L511" s="203"/>
      <c r="M511" s="203"/>
      <c r="N511" s="203"/>
      <c r="O511" s="203"/>
      <c r="P511" s="203"/>
      <c r="Q511" s="203"/>
      <c r="R511" s="203"/>
      <c r="S511" s="203"/>
      <c r="T511" s="207"/>
      <c r="U511" s="203"/>
      <c r="V511" s="203"/>
      <c r="W511" s="203"/>
      <c r="X511" s="203"/>
      <c r="Y511" s="203"/>
      <c r="Z511" s="203"/>
    </row>
    <row r="512" spans="7:26">
      <c r="G512" s="203"/>
      <c r="H512" s="203"/>
      <c r="I512" s="203"/>
      <c r="J512" s="203"/>
      <c r="K512" s="203"/>
      <c r="L512" s="203"/>
      <c r="M512" s="203"/>
      <c r="N512" s="203"/>
      <c r="O512" s="203"/>
      <c r="P512" s="203"/>
      <c r="Q512" s="203"/>
      <c r="R512" s="203"/>
      <c r="S512" s="203"/>
      <c r="T512" s="207"/>
      <c r="U512" s="203"/>
      <c r="V512" s="203"/>
      <c r="W512" s="203"/>
      <c r="X512" s="203"/>
      <c r="Y512" s="203"/>
      <c r="Z512" s="203"/>
    </row>
    <row r="513" spans="7:26">
      <c r="G513" s="203"/>
      <c r="H513" s="203"/>
      <c r="I513" s="203"/>
      <c r="J513" s="203"/>
      <c r="K513" s="203"/>
      <c r="L513" s="203"/>
      <c r="M513" s="203"/>
      <c r="N513" s="203"/>
      <c r="O513" s="203"/>
      <c r="P513" s="203"/>
      <c r="Q513" s="203"/>
      <c r="R513" s="203"/>
      <c r="S513" s="203"/>
      <c r="T513" s="207"/>
      <c r="U513" s="203"/>
      <c r="V513" s="203"/>
      <c r="W513" s="203"/>
      <c r="X513" s="203"/>
      <c r="Y513" s="203"/>
      <c r="Z513" s="203"/>
    </row>
    <row r="514" spans="7:26">
      <c r="G514" s="203"/>
      <c r="H514" s="203"/>
      <c r="I514" s="203"/>
      <c r="J514" s="203"/>
      <c r="K514" s="203"/>
      <c r="L514" s="203"/>
      <c r="M514" s="203"/>
      <c r="N514" s="203"/>
      <c r="O514" s="203"/>
      <c r="P514" s="203"/>
      <c r="Q514" s="203"/>
      <c r="R514" s="203"/>
      <c r="S514" s="203"/>
      <c r="T514" s="207"/>
      <c r="U514" s="203"/>
      <c r="V514" s="203"/>
      <c r="W514" s="203"/>
      <c r="X514" s="203"/>
      <c r="Y514" s="203"/>
      <c r="Z514" s="203"/>
    </row>
    <row r="515" spans="7:26">
      <c r="G515" s="203"/>
      <c r="H515" s="203"/>
      <c r="I515" s="203"/>
      <c r="J515" s="203"/>
      <c r="K515" s="203"/>
      <c r="L515" s="203"/>
      <c r="M515" s="203"/>
      <c r="N515" s="203"/>
      <c r="O515" s="203"/>
      <c r="P515" s="203"/>
      <c r="Q515" s="203"/>
      <c r="R515" s="203"/>
      <c r="S515" s="203"/>
      <c r="T515" s="207"/>
      <c r="U515" s="203"/>
      <c r="V515" s="203"/>
      <c r="W515" s="203"/>
      <c r="X515" s="203"/>
      <c r="Y515" s="203"/>
      <c r="Z515" s="203"/>
    </row>
    <row r="516" spans="7:26">
      <c r="G516" s="203"/>
      <c r="H516" s="203"/>
      <c r="I516" s="203"/>
      <c r="J516" s="203"/>
      <c r="K516" s="203"/>
      <c r="L516" s="203"/>
      <c r="M516" s="203"/>
      <c r="N516" s="203"/>
      <c r="O516" s="203"/>
      <c r="P516" s="203"/>
      <c r="Q516" s="203"/>
      <c r="R516" s="203"/>
      <c r="S516" s="203"/>
      <c r="T516" s="207"/>
      <c r="U516" s="203"/>
      <c r="V516" s="203"/>
      <c r="W516" s="203"/>
      <c r="X516" s="203"/>
      <c r="Y516" s="203"/>
      <c r="Z516" s="203"/>
    </row>
    <row r="517" spans="7:26">
      <c r="G517" s="203"/>
      <c r="H517" s="203"/>
      <c r="I517" s="203"/>
      <c r="J517" s="203"/>
      <c r="K517" s="203"/>
      <c r="L517" s="203"/>
      <c r="M517" s="203"/>
      <c r="N517" s="203"/>
      <c r="O517" s="203"/>
      <c r="P517" s="203"/>
      <c r="Q517" s="203"/>
      <c r="R517" s="203"/>
      <c r="S517" s="203"/>
      <c r="T517" s="207"/>
      <c r="U517" s="203"/>
      <c r="V517" s="203"/>
      <c r="W517" s="203"/>
      <c r="X517" s="203"/>
      <c r="Y517" s="203"/>
      <c r="Z517" s="203"/>
    </row>
    <row r="518" spans="7:26">
      <c r="G518" s="203"/>
      <c r="H518" s="203"/>
      <c r="I518" s="203"/>
      <c r="J518" s="203"/>
      <c r="K518" s="203"/>
      <c r="L518" s="203"/>
      <c r="M518" s="203"/>
      <c r="N518" s="203"/>
      <c r="O518" s="203"/>
      <c r="P518" s="203"/>
      <c r="Q518" s="203"/>
      <c r="R518" s="203"/>
      <c r="S518" s="203"/>
      <c r="T518" s="207"/>
      <c r="U518" s="203"/>
      <c r="V518" s="203"/>
      <c r="W518" s="203"/>
      <c r="X518" s="203"/>
      <c r="Y518" s="203"/>
      <c r="Z518" s="203"/>
    </row>
    <row r="519" spans="7:26">
      <c r="G519" s="203"/>
      <c r="H519" s="203"/>
      <c r="I519" s="203"/>
      <c r="J519" s="203"/>
      <c r="K519" s="203"/>
      <c r="L519" s="203"/>
      <c r="M519" s="203"/>
      <c r="N519" s="203"/>
      <c r="O519" s="203"/>
      <c r="P519" s="203"/>
      <c r="Q519" s="203"/>
      <c r="R519" s="203"/>
      <c r="S519" s="203"/>
      <c r="T519" s="207"/>
      <c r="U519" s="203"/>
      <c r="V519" s="203"/>
      <c r="W519" s="203"/>
      <c r="X519" s="203"/>
      <c r="Y519" s="203"/>
      <c r="Z519" s="203"/>
    </row>
    <row r="520" spans="7:26">
      <c r="G520" s="203"/>
      <c r="H520" s="203"/>
      <c r="I520" s="203"/>
      <c r="J520" s="203"/>
      <c r="K520" s="203"/>
      <c r="L520" s="203"/>
      <c r="M520" s="203"/>
      <c r="N520" s="203"/>
      <c r="O520" s="203"/>
      <c r="P520" s="203"/>
      <c r="Q520" s="203"/>
      <c r="R520" s="203"/>
      <c r="S520" s="203"/>
      <c r="T520" s="207"/>
      <c r="U520" s="203"/>
      <c r="V520" s="203"/>
      <c r="W520" s="203"/>
      <c r="X520" s="203"/>
      <c r="Y520" s="203"/>
      <c r="Z520" s="203"/>
    </row>
  </sheetData>
  <mergeCells count="2">
    <mergeCell ref="A1:F1"/>
    <mergeCell ref="C3:D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2022-11-08T08:00:00+00:00</OpenedDate>
    <SignificantOrder xmlns="dc463f71-b30c-4ab2-9473-d307f9d35888">false</SignificantOrder>
    <Date1 xmlns="dc463f71-b30c-4ab2-9473-d307f9d35888">2022-11-08T08:00:00+00:00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       </CaseCompanyNames>
    <Nickname xmlns="http://schemas.microsoft.com/sharepoint/v3" xsi:nil="true"/>
    <DocketNumber xmlns="dc463f71-b30c-4ab2-9473-d307f9d35888">220824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DE48F10D34FC4D893B56789B07F713" ma:contentTypeVersion="28" ma:contentTypeDescription="" ma:contentTypeScope="" ma:versionID="4073568f48fc493e90ba70e3881ea7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7429f450-94b4-4416-870d-2c140728156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B6E0D3-ED6A-4B20-8AA3-C9597448F3D6}"/>
</file>

<file path=customXml/itemProps3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E70E7E-0747-439E-93DC-C648E52053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Disposal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Calculations</dc:title>
  <dc:creator>Mike Young</dc:creator>
  <cp:lastModifiedBy>Robinson, Kristen</cp:lastModifiedBy>
  <cp:lastPrinted>2016-12-19T19:12:30Z</cp:lastPrinted>
  <dcterms:created xsi:type="dcterms:W3CDTF">2013-10-29T22:33:54Z</dcterms:created>
  <dcterms:modified xsi:type="dcterms:W3CDTF">2022-11-01T20:19:26Z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0x0101006E56B4D1795A2E4DB2F0B01679ED314A00C9DE48F10D34FC4D893B56789B07F713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