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Decoupling Mechanisms\Tariff Filings\2021 Def WA 8.1.22 Sch 75-175\Electric\"/>
    </mc:Choice>
  </mc:AlternateContent>
  <xr:revisionPtr revIDLastSave="0" documentId="13_ncr:1_{F4D8ABB1-05D7-464E-8494-0A10CF992358}" xr6:coauthVersionLast="46" xr6:coauthVersionMax="46" xr10:uidLastSave="{00000000-0000-0000-0000-000000000000}"/>
  <bookViews>
    <workbookView xWindow="28680" yWindow="-90" windowWidth="29040" windowHeight="16440" xr2:uid="{0059DDBB-62DF-461C-A4DE-CFCACAE6B039}"/>
  </bookViews>
  <sheets>
    <sheet name="PF Power Supply Adjustments" sheetId="7" r:id="rId1"/>
    <sheet name="Monthly Authorized " sheetId="2" r:id="rId2"/>
    <sheet name="12 ME 12.31.21" sheetId="1" r:id="rId3"/>
    <sheet name="E-456" sheetId="5" r:id="rId4"/>
    <sheet name="WA RRC" sheetId="8" r:id="rId5"/>
  </sheets>
  <externalReferences>
    <externalReference r:id="rId6"/>
    <externalReference r:id="rId7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A_1">#REF!</definedName>
    <definedName name="Allocators">'[1]E-ALL'!$C$7:$J$145</definedName>
    <definedName name="burn" localSheetId="1">SUMIF(#REF!,#REF!,#REF!)</definedName>
    <definedName name="burn">SUMIF(#REF!,#REF!,#REF!)</definedName>
    <definedName name="C_AAM_Titles" localSheetId="3">#REF!,#REF!</definedName>
    <definedName name="C_AAM_Titles">#REF!,#REF!</definedName>
    <definedName name="C_ADP_Titles" localSheetId="3">#REF!,#REF!</definedName>
    <definedName name="C_ADP_Titles">#REF!,#REF!</definedName>
    <definedName name="C_DTX_Titles" localSheetId="3">#REF!,#REF!</definedName>
    <definedName name="C_DTX_Titles">#REF!,#REF!</definedName>
    <definedName name="C_GPL_Titles" localSheetId="3">#REF!,#REF!</definedName>
    <definedName name="C_GPL_Titles">#REF!,#REF!</definedName>
    <definedName name="C_IPL_Titles" localSheetId="3">#REF!,#REF!</definedName>
    <definedName name="C_IPL_Titles">#REF!,#REF!</definedName>
    <definedName name="E_557" localSheetId="3">'E-456'!$E$1:$S$46</definedName>
    <definedName name="E_903">#REF!</definedName>
    <definedName name="E_903_Area">#REF!</definedName>
    <definedName name="E_903_Titles" localSheetId="3">#REF!,#REF!</definedName>
    <definedName name="E_903_Titles">#REF!,#REF!</definedName>
    <definedName name="E_908_Titles" localSheetId="3">#REF!,#REF!</definedName>
    <definedName name="E_908_Titles">#REF!,#REF!</definedName>
    <definedName name="E_928_Titles" localSheetId="3">#REF!,#REF!</definedName>
    <definedName name="E_928_Titles">#REF!,#REF!</definedName>
    <definedName name="E_ADP_Titles" localSheetId="3">#REF!,#REF!</definedName>
    <definedName name="E_ADP_Titles">#REF!,#REF!</definedName>
    <definedName name="E_ALL_Titles" localSheetId="3">#REF!,#REF!</definedName>
    <definedName name="E_ALL_Titles">#REF!,#REF!</definedName>
    <definedName name="E_APL_Titles" localSheetId="3">#REF!,#REF!</definedName>
    <definedName name="E_APL_Titles">#REF!,#REF!</definedName>
    <definedName name="E_CAM_Titles" localSheetId="3">#REF!,#REF!</definedName>
    <definedName name="E_CAM_Titles">#REF!,#REF!</definedName>
    <definedName name="E_DTE_Titles" localSheetId="3">#REF!,#REF!</definedName>
    <definedName name="E_DTE_Titles">#REF!,#REF!</definedName>
    <definedName name="E_FIT_Titles" localSheetId="3">#REF!,#REF!</definedName>
    <definedName name="E_FIT_Titles">#REF!,#REF!</definedName>
    <definedName name="E_OPS_Titles" localSheetId="3">#REF!,#REF!</definedName>
    <definedName name="E_OPS_Titles">#REF!,#REF!</definedName>
    <definedName name="E_OTX_Titles" localSheetId="3">#REF!,#REF!</definedName>
    <definedName name="E_OTX_Titles">#REF!,#REF!</definedName>
    <definedName name="E_PLT_Titles" localSheetId="3">#REF!,#REF!</definedName>
    <definedName name="E_PLT_Titles">#REF!,#REF!</definedName>
    <definedName name="E_ROR_Titles" localSheetId="3">#REF!,#REF!</definedName>
    <definedName name="E_ROR_Titles">#REF!,#REF!</definedName>
    <definedName name="E_SCM_Titles" localSheetId="3">#REF!,#REF!</definedName>
    <definedName name="E_SCM_Titles">#REF!,#REF!</definedName>
    <definedName name="e_State_9473">#REF!</definedName>
    <definedName name="K_1">#REF!</definedName>
    <definedName name="K_2">#REF!</definedName>
    <definedName name="months">[1]Data!$H$2</definedName>
    <definedName name="Nom" localSheetId="1">SUMIF(#REF!,#REF!,#REF!)</definedName>
    <definedName name="Nom">SUMIF(#REF!,#REF!,#REF!)</definedName>
    <definedName name="_xlnm.Print_Area" localSheetId="2">'12 ME 12.31.21'!$A$1:$N$101</definedName>
    <definedName name="_xlnm.Print_Area" localSheetId="3">'E-456'!$E$1:$R$46</definedName>
    <definedName name="_xlnm.Print_Area" localSheetId="1">'Monthly Authorized '!$A$39:$O$98</definedName>
    <definedName name="_xlnm.Print_Area" localSheetId="0">'PF Power Supply Adjustments'!$A$1:$T$56</definedName>
    <definedName name="_xlnm.Print_Area" localSheetId="4">'WA RRC'!$A$1:$N$15</definedName>
    <definedName name="_xlnm.Print_Titles" localSheetId="2">'12 ME 12.31.21'!$1:$7</definedName>
    <definedName name="rbcalc">[1]Data!$H$3</definedName>
    <definedName name="rbcalc_heading">[1]Data!$H$5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ableName">"Dummy"</definedName>
    <definedName name="tp_heading">[1]Data!$H$4</definedName>
    <definedName name="Used_K1" localSheetId="1">SUMIF(#REF!,"K1",#REF!)</definedName>
    <definedName name="Used_K1">SUMIF(#REF!,"K1",#REF!)</definedName>
    <definedName name="Used_K2" localSheetId="1">SUMIF(#REF!,"K2",#REF!)</definedName>
    <definedName name="Used_K2">SUMIF(#REF!,"K2",#REF!)</definedName>
    <definedName name="Used_Stan">SUMIF(#REF!,"S",#REF!)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3" i="7" l="1"/>
  <c r="AD51" i="7"/>
  <c r="O13" i="7"/>
  <c r="Z41" i="7" l="1"/>
  <c r="Z39" i="7"/>
  <c r="Z35" i="7"/>
  <c r="Z24" i="7"/>
  <c r="Z26" i="7"/>
  <c r="Z28" i="7"/>
  <c r="Z33" i="7"/>
  <c r="AD33" i="7" s="1"/>
  <c r="Z32" i="7"/>
  <c r="Z13" i="7"/>
  <c r="AD32" i="7"/>
  <c r="Z11" i="7" l="1"/>
  <c r="O34" i="7" l="1"/>
  <c r="S34" i="7" s="1"/>
  <c r="AD13" i="7"/>
  <c r="X13" i="7"/>
  <c r="AD34" i="7" l="1"/>
  <c r="K55" i="7"/>
  <c r="K56" i="7" l="1"/>
  <c r="A29" i="2"/>
  <c r="B29" i="2" l="1"/>
  <c r="M29" i="2"/>
  <c r="N29" i="2"/>
  <c r="L29" i="2"/>
  <c r="D29" i="2"/>
  <c r="E29" i="2"/>
  <c r="F29" i="2"/>
  <c r="G29" i="2"/>
  <c r="H29" i="2"/>
  <c r="I29" i="2"/>
  <c r="J29" i="2"/>
  <c r="K29" i="2"/>
  <c r="C29" i="2"/>
  <c r="K54" i="7"/>
  <c r="D39" i="7" l="1"/>
  <c r="Q34" i="7"/>
  <c r="N18" i="8"/>
  <c r="B18" i="8"/>
  <c r="M14" i="8"/>
  <c r="L14" i="8"/>
  <c r="K14" i="8"/>
  <c r="J14" i="8"/>
  <c r="I14" i="8"/>
  <c r="H14" i="8"/>
  <c r="G14" i="8"/>
  <c r="F14" i="8"/>
  <c r="E14" i="8"/>
  <c r="D14" i="8"/>
  <c r="C14" i="8"/>
  <c r="B14" i="8"/>
  <c r="M12" i="8"/>
  <c r="L12" i="8"/>
  <c r="K12" i="8"/>
  <c r="J12" i="8"/>
  <c r="I12" i="8"/>
  <c r="H12" i="8"/>
  <c r="G12" i="8"/>
  <c r="F12" i="8"/>
  <c r="E12" i="8"/>
  <c r="D12" i="8"/>
  <c r="C12" i="8"/>
  <c r="B12" i="8"/>
  <c r="M10" i="8"/>
  <c r="L10" i="8"/>
  <c r="M9" i="8" s="1"/>
  <c r="M11" i="8" s="1"/>
  <c r="K10" i="8"/>
  <c r="J10" i="8"/>
  <c r="I10" i="8"/>
  <c r="H10" i="8"/>
  <c r="G10" i="8"/>
  <c r="F10" i="8"/>
  <c r="E10" i="8"/>
  <c r="D10" i="8"/>
  <c r="E9" i="8" s="1"/>
  <c r="C10" i="8"/>
  <c r="B10" i="8"/>
  <c r="B9" i="8"/>
  <c r="M8" i="8"/>
  <c r="L8" i="8"/>
  <c r="K8" i="8"/>
  <c r="J8" i="8"/>
  <c r="I8" i="8"/>
  <c r="H8" i="8"/>
  <c r="G8" i="8"/>
  <c r="G9" i="8" s="1"/>
  <c r="F8" i="8"/>
  <c r="E8" i="8"/>
  <c r="D8" i="8"/>
  <c r="C8" i="8"/>
  <c r="B8" i="8"/>
  <c r="D7" i="8"/>
  <c r="D18" i="8" s="1"/>
  <c r="C7" i="8"/>
  <c r="C18" i="8" s="1"/>
  <c r="C9" i="8" l="1"/>
  <c r="C11" i="8" s="1"/>
  <c r="C13" i="8" s="1"/>
  <c r="C15" i="8" s="1"/>
  <c r="C19" i="8" s="1"/>
  <c r="C20" i="8" s="1"/>
  <c r="K9" i="8"/>
  <c r="K11" i="8" s="1"/>
  <c r="K13" i="8" s="1"/>
  <c r="K15" i="8" s="1"/>
  <c r="K19" i="8" s="1"/>
  <c r="K20" i="8" s="1"/>
  <c r="E11" i="8"/>
  <c r="N10" i="8"/>
  <c r="N12" i="8"/>
  <c r="M53" i="7" s="1"/>
  <c r="I9" i="8"/>
  <c r="I11" i="8" s="1"/>
  <c r="I13" i="8" s="1"/>
  <c r="I15" i="8" s="1"/>
  <c r="I19" i="8" s="1"/>
  <c r="I20" i="8" s="1"/>
  <c r="D9" i="8"/>
  <c r="H9" i="8"/>
  <c r="H11" i="8" s="1"/>
  <c r="H13" i="8" s="1"/>
  <c r="H15" i="8" s="1"/>
  <c r="H19" i="8" s="1"/>
  <c r="H20" i="8" s="1"/>
  <c r="L9" i="8"/>
  <c r="L11" i="8" s="1"/>
  <c r="L13" i="8" s="1"/>
  <c r="L15" i="8" s="1"/>
  <c r="L19" i="8" s="1"/>
  <c r="L20" i="8" s="1"/>
  <c r="B11" i="8"/>
  <c r="E7" i="8"/>
  <c r="N8" i="8"/>
  <c r="G11" i="8"/>
  <c r="G13" i="8" s="1"/>
  <c r="G15" i="8" s="1"/>
  <c r="G19" i="8" s="1"/>
  <c r="G20" i="8" s="1"/>
  <c r="E13" i="8"/>
  <c r="E15" i="8" s="1"/>
  <c r="E19" i="8" s="1"/>
  <c r="E20" i="8" s="1"/>
  <c r="M13" i="8"/>
  <c r="M15" i="8" s="1"/>
  <c r="F9" i="8"/>
  <c r="F11" i="8" s="1"/>
  <c r="F13" i="8" s="1"/>
  <c r="F15" i="8" s="1"/>
  <c r="F19" i="8" s="1"/>
  <c r="F20" i="8" s="1"/>
  <c r="J9" i="8"/>
  <c r="J11" i="8" s="1"/>
  <c r="J13" i="8" s="1"/>
  <c r="J15" i="8" s="1"/>
  <c r="J19" i="8" s="1"/>
  <c r="J20" i="8" s="1"/>
  <c r="M19" i="8" l="1"/>
  <c r="M20" i="8" s="1"/>
  <c r="N9" i="8"/>
  <c r="B13" i="8"/>
  <c r="F7" i="8"/>
  <c r="E18" i="8"/>
  <c r="D11" i="8"/>
  <c r="D13" i="8" s="1"/>
  <c r="D15" i="8" s="1"/>
  <c r="D19" i="8" s="1"/>
  <c r="D20" i="8" s="1"/>
  <c r="G7" i="8" l="1"/>
  <c r="F18" i="8"/>
  <c r="N11" i="8"/>
  <c r="N13" i="8"/>
  <c r="B15" i="8"/>
  <c r="M52" i="7" l="1"/>
  <c r="M54" i="7" s="1"/>
  <c r="M56" i="7" s="1"/>
  <c r="N15" i="8"/>
  <c r="B19" i="8"/>
  <c r="B20" i="8" s="1"/>
  <c r="G18" i="8"/>
  <c r="H7" i="8"/>
  <c r="K53" i="7" l="1"/>
  <c r="N19" i="8"/>
  <c r="N20" i="8" s="1"/>
  <c r="H18" i="8"/>
  <c r="I7" i="8"/>
  <c r="J7" i="8" l="1"/>
  <c r="I18" i="8"/>
  <c r="K7" i="8" l="1"/>
  <c r="J18" i="8"/>
  <c r="K18" i="8" l="1"/>
  <c r="L7" i="8"/>
  <c r="L18" i="8" l="1"/>
  <c r="M7" i="8"/>
  <c r="M18" i="8" s="1"/>
  <c r="K52" i="7" l="1"/>
  <c r="M22" i="7"/>
  <c r="M21" i="7"/>
  <c r="M19" i="7"/>
  <c r="X19" i="7" s="1"/>
  <c r="Z19" i="7" s="1"/>
  <c r="M35" i="7"/>
  <c r="X35" i="7" s="1"/>
  <c r="M32" i="7"/>
  <c r="M28" i="7"/>
  <c r="M26" i="7"/>
  <c r="Q26" i="7" s="1"/>
  <c r="M24" i="7"/>
  <c r="M16" i="7"/>
  <c r="X16" i="7" s="1"/>
  <c r="Z16" i="7" s="1"/>
  <c r="M13" i="7"/>
  <c r="D19" i="7"/>
  <c r="F19" i="7" s="1"/>
  <c r="D98" i="1"/>
  <c r="D13" i="7"/>
  <c r="D21" i="7" s="1"/>
  <c r="D22" i="7" s="1"/>
  <c r="D35" i="7"/>
  <c r="D32" i="7"/>
  <c r="D28" i="7"/>
  <c r="Q28" i="7" s="1"/>
  <c r="D26" i="7"/>
  <c r="D24" i="7"/>
  <c r="D18" i="7"/>
  <c r="D17" i="7"/>
  <c r="D16" i="7" s="1"/>
  <c r="K58" i="7"/>
  <c r="AI39" i="7"/>
  <c r="AM38" i="7"/>
  <c r="AB38" i="7"/>
  <c r="Z38" i="7"/>
  <c r="F38" i="7"/>
  <c r="AM37" i="7"/>
  <c r="AB37" i="7"/>
  <c r="Z37" i="7"/>
  <c r="F37" i="7"/>
  <c r="AM36" i="7"/>
  <c r="AB36" i="7"/>
  <c r="Z36" i="7"/>
  <c r="F36" i="7"/>
  <c r="F35" i="7"/>
  <c r="AK33" i="7"/>
  <c r="F33" i="7"/>
  <c r="X32" i="7"/>
  <c r="AB32" i="7" s="1"/>
  <c r="F32" i="7"/>
  <c r="AM31" i="7"/>
  <c r="X31" i="7"/>
  <c r="F31" i="7"/>
  <c r="X30" i="7"/>
  <c r="F30" i="7"/>
  <c r="AR29" i="7"/>
  <c r="AD29" i="7"/>
  <c r="X29" i="7"/>
  <c r="AB29" i="7" s="1"/>
  <c r="S29" i="7"/>
  <c r="AM27" i="7"/>
  <c r="X27" i="7"/>
  <c r="AB27" i="7" s="1"/>
  <c r="F27" i="7"/>
  <c r="F26" i="7"/>
  <c r="X25" i="7"/>
  <c r="AB25" i="7" s="1"/>
  <c r="F25" i="7"/>
  <c r="AM21" i="7"/>
  <c r="AI21" i="7"/>
  <c r="AR20" i="7"/>
  <c r="AK20" i="7"/>
  <c r="AB20" i="7"/>
  <c r="Z20" i="7"/>
  <c r="AD20" i="7" s="1"/>
  <c r="O20" i="7"/>
  <c r="F20" i="7"/>
  <c r="S20" i="7" s="1"/>
  <c r="AR18" i="7"/>
  <c r="AD18" i="7"/>
  <c r="AB18" i="7"/>
  <c r="X18" i="7"/>
  <c r="S18" i="7"/>
  <c r="AK17" i="7"/>
  <c r="X17" i="7"/>
  <c r="Q17" i="7"/>
  <c r="O17" i="7"/>
  <c r="F17" i="7"/>
  <c r="S17" i="7" s="1"/>
  <c r="AB15" i="7"/>
  <c r="X15" i="7"/>
  <c r="Z15" i="7" s="1"/>
  <c r="Q15" i="7"/>
  <c r="F15" i="7"/>
  <c r="AM14" i="7"/>
  <c r="X14" i="7"/>
  <c r="F14" i="7"/>
  <c r="AK11" i="7"/>
  <c r="O14" i="7"/>
  <c r="Z27" i="7" l="1"/>
  <c r="AK35" i="7"/>
  <c r="AK32" i="7"/>
  <c r="AM39" i="7"/>
  <c r="AM41" i="7" s="1"/>
  <c r="AK31" i="7"/>
  <c r="AO31" i="7" s="1"/>
  <c r="AK30" i="7"/>
  <c r="AK13" i="7"/>
  <c r="AK36" i="7"/>
  <c r="AO36" i="7" s="1"/>
  <c r="AK38" i="7"/>
  <c r="AR38" i="7" s="1"/>
  <c r="AI41" i="7"/>
  <c r="O24" i="7"/>
  <c r="Q19" i="7"/>
  <c r="AB19" i="7"/>
  <c r="D40" i="7"/>
  <c r="F28" i="7"/>
  <c r="F13" i="7"/>
  <c r="Q35" i="7"/>
  <c r="AB16" i="7"/>
  <c r="F16" i="7"/>
  <c r="Q16" i="7"/>
  <c r="Z31" i="7"/>
  <c r="AB31" i="7"/>
  <c r="Q18" i="7"/>
  <c r="AB35" i="7"/>
  <c r="Q13" i="7"/>
  <c r="AB14" i="7"/>
  <c r="Z14" i="7"/>
  <c r="AB17" i="7"/>
  <c r="Z17" i="7"/>
  <c r="Z30" i="7"/>
  <c r="AB30" i="7"/>
  <c r="O31" i="7"/>
  <c r="O25" i="7"/>
  <c r="S25" i="7" s="1"/>
  <c r="O19" i="7"/>
  <c r="S19" i="7" s="1"/>
  <c r="O16" i="7"/>
  <c r="O15" i="7"/>
  <c r="O35" i="7"/>
  <c r="S35" i="7" s="1"/>
  <c r="O27" i="7"/>
  <c r="O37" i="7"/>
  <c r="AD37" i="7" s="1"/>
  <c r="O30" i="7"/>
  <c r="S30" i="7" s="1"/>
  <c r="O28" i="7"/>
  <c r="O26" i="7"/>
  <c r="S26" i="7" s="1"/>
  <c r="AQ18" i="7"/>
  <c r="O32" i="7"/>
  <c r="S32" i="7" s="1"/>
  <c r="AK24" i="7"/>
  <c r="AK28" i="7"/>
  <c r="AK25" i="7"/>
  <c r="AK37" i="7"/>
  <c r="AO37" i="7" s="1"/>
  <c r="AK27" i="7"/>
  <c r="AO27" i="7" s="1"/>
  <c r="AK19" i="7"/>
  <c r="AR19" i="7" s="1"/>
  <c r="AK16" i="7"/>
  <c r="AK15" i="7"/>
  <c r="AR15" i="7" s="1"/>
  <c r="AK26" i="7"/>
  <c r="AK14" i="7"/>
  <c r="O36" i="7"/>
  <c r="AD36" i="7" s="1"/>
  <c r="O38" i="7"/>
  <c r="AD38" i="7" s="1"/>
  <c r="Q24" i="7"/>
  <c r="X28" i="7"/>
  <c r="Q32" i="7"/>
  <c r="F24" i="7"/>
  <c r="Z25" i="7"/>
  <c r="X26" i="7"/>
  <c r="X24" i="7"/>
  <c r="AR35" i="7" l="1"/>
  <c r="AD27" i="7"/>
  <c r="AQ27" i="7" s="1"/>
  <c r="F39" i="7"/>
  <c r="AR36" i="7"/>
  <c r="AO38" i="7"/>
  <c r="AQ38" i="7"/>
  <c r="AR37" i="7"/>
  <c r="AO39" i="7"/>
  <c r="AQ36" i="7"/>
  <c r="S28" i="7"/>
  <c r="F21" i="7"/>
  <c r="AQ37" i="7"/>
  <c r="S16" i="7"/>
  <c r="D41" i="7"/>
  <c r="AR16" i="7"/>
  <c r="AB24" i="7"/>
  <c r="AO14" i="7"/>
  <c r="AO21" i="7" s="1"/>
  <c r="AK21" i="7"/>
  <c r="AD30" i="7"/>
  <c r="AR30" i="7"/>
  <c r="AD31" i="7"/>
  <c r="AQ31" i="7" s="1"/>
  <c r="AR31" i="7"/>
  <c r="AD16" i="7"/>
  <c r="AB26" i="7"/>
  <c r="X21" i="7"/>
  <c r="AB13" i="7"/>
  <c r="AB21" i="7" s="1"/>
  <c r="S24" i="7"/>
  <c r="AD35" i="7"/>
  <c r="AQ35" i="7" s="1"/>
  <c r="AD19" i="7"/>
  <c r="AQ19" i="7" s="1"/>
  <c r="S13" i="7"/>
  <c r="O21" i="7"/>
  <c r="AR14" i="7"/>
  <c r="AD14" i="7"/>
  <c r="AB28" i="7"/>
  <c r="AQ32" i="7"/>
  <c r="AR32" i="7"/>
  <c r="AK39" i="7"/>
  <c r="AR25" i="7"/>
  <c r="AD25" i="7"/>
  <c r="AR27" i="7"/>
  <c r="AD15" i="7"/>
  <c r="S15" i="7"/>
  <c r="AR17" i="7"/>
  <c r="AD17" i="7"/>
  <c r="AQ17" i="7" s="1"/>
  <c r="Q21" i="7"/>
  <c r="F41" i="7" l="1"/>
  <c r="F43" i="7" s="1"/>
  <c r="F45" i="7" s="1"/>
  <c r="AR13" i="7"/>
  <c r="AQ13" i="7"/>
  <c r="AO41" i="7"/>
  <c r="AO43" i="7" s="1"/>
  <c r="AO45" i="7" s="1"/>
  <c r="AO47" i="7" s="1"/>
  <c r="AQ16" i="7"/>
  <c r="S21" i="7"/>
  <c r="AK41" i="7"/>
  <c r="AQ14" i="7"/>
  <c r="AR26" i="7"/>
  <c r="AD26" i="7"/>
  <c r="AQ26" i="7" s="1"/>
  <c r="AR24" i="7"/>
  <c r="AD24" i="7"/>
  <c r="AR28" i="7"/>
  <c r="AD28" i="7"/>
  <c r="AQ28" i="7" s="1"/>
  <c r="Z21" i="7"/>
  <c r="AD39" i="7" l="1"/>
  <c r="AQ24" i="7"/>
  <c r="AD21" i="7"/>
  <c r="AQ21" i="7" s="1"/>
  <c r="AR21" i="7"/>
  <c r="AK43" i="7"/>
  <c r="AK45" i="7" s="1"/>
  <c r="D100" i="1" l="1"/>
  <c r="S97" i="1"/>
  <c r="D99" i="1"/>
  <c r="M40" i="5"/>
  <c r="L39" i="5"/>
  <c r="L37" i="5"/>
  <c r="K45" i="5"/>
  <c r="Q44" i="5"/>
  <c r="N44" i="5"/>
  <c r="G44" i="5"/>
  <c r="Q35" i="5"/>
  <c r="P35" i="5"/>
  <c r="N35" i="5"/>
  <c r="M35" i="5"/>
  <c r="R33" i="5"/>
  <c r="O33" i="5"/>
  <c r="L33" i="5"/>
  <c r="K33" i="5"/>
  <c r="J33" i="5"/>
  <c r="R32" i="5"/>
  <c r="O32" i="5"/>
  <c r="K32" i="5"/>
  <c r="J32" i="5"/>
  <c r="L32" i="5" s="1"/>
  <c r="R31" i="5"/>
  <c r="O31" i="5"/>
  <c r="K31" i="5"/>
  <c r="J31" i="5"/>
  <c r="L31" i="5" s="1"/>
  <c r="R30" i="5"/>
  <c r="O30" i="5"/>
  <c r="K30" i="5"/>
  <c r="L30" i="5" s="1"/>
  <c r="J30" i="5"/>
  <c r="R29" i="5"/>
  <c r="O29" i="5"/>
  <c r="L29" i="5"/>
  <c r="K29" i="5"/>
  <c r="J29" i="5"/>
  <c r="R28" i="5"/>
  <c r="O28" i="5"/>
  <c r="K28" i="5"/>
  <c r="J28" i="5"/>
  <c r="L28" i="5" s="1"/>
  <c r="R27" i="5"/>
  <c r="O27" i="5"/>
  <c r="K27" i="5"/>
  <c r="J27" i="5"/>
  <c r="L27" i="5" s="1"/>
  <c r="R26" i="5"/>
  <c r="O26" i="5"/>
  <c r="K26" i="5"/>
  <c r="L26" i="5" s="1"/>
  <c r="J26" i="5"/>
  <c r="R25" i="5"/>
  <c r="O25" i="5"/>
  <c r="L25" i="5"/>
  <c r="K25" i="5"/>
  <c r="J25" i="5"/>
  <c r="R24" i="5"/>
  <c r="O24" i="5"/>
  <c r="K24" i="5"/>
  <c r="J24" i="5"/>
  <c r="L24" i="5" s="1"/>
  <c r="R23" i="5"/>
  <c r="O23" i="5"/>
  <c r="K23" i="5"/>
  <c r="J23" i="5"/>
  <c r="L23" i="5" s="1"/>
  <c r="R22" i="5"/>
  <c r="O22" i="5"/>
  <c r="K22" i="5"/>
  <c r="J22" i="5"/>
  <c r="L22" i="5" s="1"/>
  <c r="R21" i="5"/>
  <c r="O21" i="5"/>
  <c r="L21" i="5"/>
  <c r="K21" i="5"/>
  <c r="J21" i="5"/>
  <c r="R20" i="5"/>
  <c r="O20" i="5"/>
  <c r="K20" i="5"/>
  <c r="J20" i="5"/>
  <c r="L20" i="5" s="1"/>
  <c r="R19" i="5"/>
  <c r="O19" i="5"/>
  <c r="K19" i="5"/>
  <c r="J19" i="5"/>
  <c r="L19" i="5" s="1"/>
  <c r="R18" i="5"/>
  <c r="O18" i="5"/>
  <c r="K18" i="5"/>
  <c r="J18" i="5"/>
  <c r="L18" i="5" s="1"/>
  <c r="R17" i="5"/>
  <c r="O17" i="5"/>
  <c r="L17" i="5"/>
  <c r="K17" i="5"/>
  <c r="J17" i="5"/>
  <c r="R16" i="5"/>
  <c r="O16" i="5"/>
  <c r="K16" i="5"/>
  <c r="J16" i="5"/>
  <c r="L16" i="5" s="1"/>
  <c r="R15" i="5"/>
  <c r="O15" i="5"/>
  <c r="K15" i="5"/>
  <c r="J15" i="5"/>
  <c r="L15" i="5" s="1"/>
  <c r="R14" i="5"/>
  <c r="O14" i="5"/>
  <c r="K14" i="5"/>
  <c r="L14" i="5" s="1"/>
  <c r="J14" i="5"/>
  <c r="R13" i="5"/>
  <c r="O13" i="5"/>
  <c r="L13" i="5"/>
  <c r="K13" i="5"/>
  <c r="J13" i="5"/>
  <c r="R12" i="5"/>
  <c r="O12" i="5"/>
  <c r="K12" i="5"/>
  <c r="J12" i="5"/>
  <c r="L12" i="5" s="1"/>
  <c r="R11" i="5"/>
  <c r="O11" i="5"/>
  <c r="K11" i="5"/>
  <c r="J11" i="5"/>
  <c r="L11" i="5" s="1"/>
  <c r="R10" i="5"/>
  <c r="O10" i="5"/>
  <c r="K10" i="5"/>
  <c r="K35" i="5" s="1"/>
  <c r="J10" i="5"/>
  <c r="L10" i="5" s="1"/>
  <c r="L40" i="5" s="1"/>
  <c r="R9" i="5"/>
  <c r="O9" i="5"/>
  <c r="L9" i="5"/>
  <c r="K9" i="5"/>
  <c r="J9" i="5"/>
  <c r="R8" i="5"/>
  <c r="O8" i="5"/>
  <c r="O35" i="5" s="1"/>
  <c r="K8" i="5"/>
  <c r="J8" i="5"/>
  <c r="L8" i="5" s="1"/>
  <c r="R7" i="5"/>
  <c r="R35" i="5" s="1"/>
  <c r="O7" i="5"/>
  <c r="K7" i="5"/>
  <c r="J7" i="5"/>
  <c r="J35" i="5" s="1"/>
  <c r="J3" i="5"/>
  <c r="L38" i="5" l="1"/>
  <c r="L7" i="5"/>
  <c r="L35" i="5" s="1"/>
  <c r="L42" i="5" l="1"/>
  <c r="M42" i="5" s="1"/>
  <c r="L41" i="5"/>
  <c r="R40" i="5"/>
  <c r="O30" i="2" l="1"/>
  <c r="M33" i="2"/>
  <c r="N33" i="2"/>
  <c r="L33" i="2"/>
  <c r="M26" i="2"/>
  <c r="N26" i="2"/>
  <c r="M10" i="2"/>
  <c r="M24" i="2" s="1"/>
  <c r="M28" i="2" s="1"/>
  <c r="M32" i="2" s="1"/>
  <c r="N10" i="2"/>
  <c r="M12" i="2"/>
  <c r="N12" i="2"/>
  <c r="M14" i="2"/>
  <c r="N14" i="2"/>
  <c r="M16" i="2"/>
  <c r="N16" i="2"/>
  <c r="M18" i="2"/>
  <c r="N18" i="2"/>
  <c r="M20" i="2"/>
  <c r="N20" i="2"/>
  <c r="M22" i="2"/>
  <c r="N22" i="2"/>
  <c r="L26" i="2"/>
  <c r="L22" i="2"/>
  <c r="L20" i="2"/>
  <c r="L18" i="2"/>
  <c r="L16" i="2"/>
  <c r="L14" i="2"/>
  <c r="L12" i="2"/>
  <c r="L10" i="2"/>
  <c r="H24" i="2"/>
  <c r="H28" i="2" s="1"/>
  <c r="D26" i="2"/>
  <c r="E26" i="2"/>
  <c r="F26" i="2"/>
  <c r="G26" i="2"/>
  <c r="H26" i="2"/>
  <c r="I26" i="2"/>
  <c r="J26" i="2"/>
  <c r="K26" i="2"/>
  <c r="D10" i="2"/>
  <c r="D24" i="2" s="1"/>
  <c r="D28" i="2" s="1"/>
  <c r="E10" i="2"/>
  <c r="E24" i="2" s="1"/>
  <c r="E28" i="2" s="1"/>
  <c r="F10" i="2"/>
  <c r="F24" i="2" s="1"/>
  <c r="F28" i="2" s="1"/>
  <c r="G10" i="2"/>
  <c r="H10" i="2"/>
  <c r="I10" i="2"/>
  <c r="I24" i="2" s="1"/>
  <c r="I28" i="2" s="1"/>
  <c r="J10" i="2"/>
  <c r="J24" i="2" s="1"/>
  <c r="J28" i="2" s="1"/>
  <c r="K10" i="2"/>
  <c r="D12" i="2"/>
  <c r="E12" i="2"/>
  <c r="F12" i="2"/>
  <c r="G12" i="2"/>
  <c r="H12" i="2"/>
  <c r="I12" i="2"/>
  <c r="J12" i="2"/>
  <c r="K12" i="2"/>
  <c r="D14" i="2"/>
  <c r="E14" i="2"/>
  <c r="F14" i="2"/>
  <c r="G14" i="2"/>
  <c r="H14" i="2"/>
  <c r="I14" i="2"/>
  <c r="J14" i="2"/>
  <c r="K14" i="2"/>
  <c r="D16" i="2"/>
  <c r="E16" i="2"/>
  <c r="F16" i="2"/>
  <c r="G16" i="2"/>
  <c r="H16" i="2"/>
  <c r="I16" i="2"/>
  <c r="J16" i="2"/>
  <c r="K16" i="2"/>
  <c r="D18" i="2"/>
  <c r="E18" i="2"/>
  <c r="F18" i="2"/>
  <c r="G18" i="2"/>
  <c r="H18" i="2"/>
  <c r="I18" i="2"/>
  <c r="J18" i="2"/>
  <c r="K18" i="2"/>
  <c r="D22" i="2"/>
  <c r="E22" i="2"/>
  <c r="F22" i="2"/>
  <c r="G22" i="2"/>
  <c r="H22" i="2"/>
  <c r="I22" i="2"/>
  <c r="J22" i="2"/>
  <c r="K22" i="2"/>
  <c r="C22" i="2"/>
  <c r="C26" i="2"/>
  <c r="L24" i="2" l="1"/>
  <c r="L28" i="2" s="1"/>
  <c r="L32" i="2" s="1"/>
  <c r="B26" i="2"/>
  <c r="K24" i="2"/>
  <c r="K28" i="2" s="1"/>
  <c r="G24" i="2"/>
  <c r="G28" i="2" s="1"/>
  <c r="N24" i="2"/>
  <c r="N28" i="2" s="1"/>
  <c r="N32" i="2" s="1"/>
  <c r="B22" i="2" l="1"/>
  <c r="B20" i="2"/>
  <c r="B16" i="2"/>
  <c r="C18" i="2"/>
  <c r="B18" i="2" s="1"/>
  <c r="C16" i="2"/>
  <c r="C14" i="2"/>
  <c r="B14" i="2" s="1"/>
  <c r="C12" i="2"/>
  <c r="B12" i="2" s="1"/>
  <c r="C10" i="2"/>
  <c r="C24" i="2" l="1"/>
  <c r="C28" i="2" s="1"/>
  <c r="B10" i="2"/>
  <c r="B28" i="2"/>
  <c r="B24" i="2"/>
  <c r="L64" i="2" l="1"/>
  <c r="L72" i="2" s="1"/>
  <c r="L74" i="2" s="1"/>
  <c r="M64" i="2"/>
  <c r="M72" i="2" s="1"/>
  <c r="M74" i="2" s="1"/>
  <c r="N64" i="2"/>
  <c r="N72" i="2" s="1"/>
  <c r="N74" i="2" s="1"/>
  <c r="L76" i="2"/>
  <c r="M76" i="2"/>
  <c r="N76" i="2"/>
  <c r="B87" i="2"/>
  <c r="N85" i="2"/>
  <c r="M85" i="2"/>
  <c r="L85" i="2"/>
  <c r="K85" i="2"/>
  <c r="J85" i="2"/>
  <c r="I85" i="2"/>
  <c r="H85" i="2"/>
  <c r="G85" i="2"/>
  <c r="F85" i="2"/>
  <c r="E85" i="2"/>
  <c r="D85" i="2"/>
  <c r="C85" i="2"/>
  <c r="K76" i="2"/>
  <c r="K30" i="2" s="1"/>
  <c r="K32" i="2" s="1"/>
  <c r="J76" i="2"/>
  <c r="J30" i="2" s="1"/>
  <c r="J32" i="2" s="1"/>
  <c r="I76" i="2"/>
  <c r="I30" i="2" s="1"/>
  <c r="I32" i="2" s="1"/>
  <c r="H76" i="2"/>
  <c r="H30" i="2" s="1"/>
  <c r="H32" i="2" s="1"/>
  <c r="G76" i="2"/>
  <c r="G30" i="2" s="1"/>
  <c r="G32" i="2" s="1"/>
  <c r="F76" i="2"/>
  <c r="F30" i="2" s="1"/>
  <c r="F32" i="2" s="1"/>
  <c r="E76" i="2"/>
  <c r="E30" i="2" s="1"/>
  <c r="E32" i="2" s="1"/>
  <c r="D76" i="2"/>
  <c r="D30" i="2" s="1"/>
  <c r="D32" i="2" s="1"/>
  <c r="C76" i="2"/>
  <c r="C30" i="2" s="1"/>
  <c r="B70" i="2"/>
  <c r="B68" i="2"/>
  <c r="B66" i="2"/>
  <c r="K64" i="2"/>
  <c r="K72" i="2" s="1"/>
  <c r="K74" i="2" s="1"/>
  <c r="K78" i="2" s="1"/>
  <c r="K33" i="2" s="1"/>
  <c r="J64" i="2"/>
  <c r="J72" i="2" s="1"/>
  <c r="J74" i="2" s="1"/>
  <c r="J78" i="2" s="1"/>
  <c r="J33" i="2" s="1"/>
  <c r="I64" i="2"/>
  <c r="I72" i="2" s="1"/>
  <c r="I74" i="2" s="1"/>
  <c r="I78" i="2" s="1"/>
  <c r="I33" i="2" s="1"/>
  <c r="H64" i="2"/>
  <c r="H72" i="2" s="1"/>
  <c r="H74" i="2" s="1"/>
  <c r="H78" i="2" s="1"/>
  <c r="H33" i="2" s="1"/>
  <c r="G64" i="2"/>
  <c r="G72" i="2" s="1"/>
  <c r="G74" i="2" s="1"/>
  <c r="G78" i="2" s="1"/>
  <c r="G33" i="2" s="1"/>
  <c r="F64" i="2"/>
  <c r="F72" i="2" s="1"/>
  <c r="F74" i="2" s="1"/>
  <c r="F78" i="2" s="1"/>
  <c r="F33" i="2" s="1"/>
  <c r="E64" i="2"/>
  <c r="E72" i="2" s="1"/>
  <c r="E74" i="2" s="1"/>
  <c r="E78" i="2" s="1"/>
  <c r="E33" i="2" s="1"/>
  <c r="D64" i="2"/>
  <c r="D72" i="2" s="1"/>
  <c r="D74" i="2" s="1"/>
  <c r="D78" i="2" s="1"/>
  <c r="D33" i="2" s="1"/>
  <c r="C64" i="2"/>
  <c r="B62" i="2"/>
  <c r="B60" i="2"/>
  <c r="B58" i="2"/>
  <c r="B56" i="2"/>
  <c r="B30" i="2" l="1"/>
  <c r="C32" i="2"/>
  <c r="N78" i="2"/>
  <c r="L78" i="2"/>
  <c r="M78" i="2"/>
  <c r="B64" i="2"/>
  <c r="B76" i="2"/>
  <c r="C72" i="2"/>
  <c r="C74" i="2" s="1"/>
  <c r="X33" i="7" l="1"/>
  <c r="B32" i="2"/>
  <c r="M33" i="7"/>
  <c r="B72" i="2"/>
  <c r="X39" i="7" l="1"/>
  <c r="X41" i="7" s="1"/>
  <c r="AB33" i="7"/>
  <c r="AB39" i="7" s="1"/>
  <c r="AB41" i="7" s="1"/>
  <c r="Q33" i="7"/>
  <c r="Q39" i="7" s="1"/>
  <c r="Q41" i="7" s="1"/>
  <c r="O33" i="7"/>
  <c r="M39" i="7"/>
  <c r="C78" i="2"/>
  <c r="C33" i="2" s="1"/>
  <c r="B74" i="2"/>
  <c r="B78" i="2" s="1"/>
  <c r="B89" i="2" s="1"/>
  <c r="S33" i="7" l="1"/>
  <c r="S39" i="7" s="1"/>
  <c r="O39" i="7"/>
  <c r="O41" i="7" s="1"/>
  <c r="M40" i="7"/>
  <c r="M41" i="7"/>
  <c r="AR39" i="7"/>
  <c r="AD41" i="7"/>
  <c r="AR33" i="7"/>
  <c r="S96" i="1"/>
  <c r="S94" i="1"/>
  <c r="F91" i="1"/>
  <c r="S95" i="1"/>
  <c r="U97" i="1"/>
  <c r="AQ39" i="7" l="1"/>
  <c r="AQ33" i="7"/>
  <c r="O48" i="7"/>
  <c r="O43" i="7"/>
  <c r="O45" i="7" s="1"/>
  <c r="U83" i="1"/>
  <c r="S82" i="1"/>
  <c r="U68" i="1"/>
  <c r="U59" i="1"/>
  <c r="S41" i="7" l="1"/>
  <c r="Z43" i="7"/>
  <c r="Z45" i="7" s="1"/>
  <c r="AR45" i="7" s="1"/>
  <c r="AR41" i="7"/>
  <c r="Z48" i="7"/>
  <c r="U52" i="1"/>
  <c r="S43" i="7" l="1"/>
  <c r="S45" i="7" s="1"/>
  <c r="AD43" i="7"/>
  <c r="AD45" i="7" s="1"/>
  <c r="AD52" i="7"/>
  <c r="AQ41" i="7"/>
  <c r="S51" i="1"/>
  <c r="AQ45" i="7" l="1"/>
  <c r="S47" i="7"/>
  <c r="AD47" i="7"/>
  <c r="S45" i="1"/>
  <c r="S43" i="1"/>
  <c r="S44" i="1"/>
  <c r="U46" i="1"/>
  <c r="U30" i="1"/>
  <c r="S29" i="1"/>
  <c r="S28" i="1"/>
  <c r="S27" i="1"/>
  <c r="F83" i="1" l="1"/>
  <c r="P67" i="1"/>
  <c r="Q67" i="1"/>
  <c r="R67" i="1"/>
  <c r="F95" i="1" l="1"/>
  <c r="F93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F90" i="1"/>
  <c r="D90" i="1" s="1"/>
  <c r="F89" i="1"/>
  <c r="D89" i="1"/>
  <c r="F88" i="1"/>
  <c r="D88" i="1" s="1"/>
  <c r="F87" i="1"/>
  <c r="D87" i="1"/>
  <c r="F86" i="1"/>
  <c r="D86" i="1" s="1"/>
  <c r="F85" i="1"/>
  <c r="D85" i="1"/>
  <c r="F84" i="1"/>
  <c r="D84" i="1" s="1"/>
  <c r="D83" i="1"/>
  <c r="R80" i="1"/>
  <c r="Q80" i="1"/>
  <c r="P80" i="1"/>
  <c r="O80" i="1"/>
  <c r="N80" i="1"/>
  <c r="M80" i="1"/>
  <c r="L80" i="1"/>
  <c r="K80" i="1"/>
  <c r="J80" i="1"/>
  <c r="I80" i="1"/>
  <c r="H80" i="1"/>
  <c r="G80" i="1"/>
  <c r="F79" i="1"/>
  <c r="D79" i="1" s="1"/>
  <c r="F78" i="1"/>
  <c r="D78" i="1" s="1"/>
  <c r="F77" i="1"/>
  <c r="D77" i="1" s="1"/>
  <c r="F76" i="1"/>
  <c r="D76" i="1" s="1"/>
  <c r="F75" i="1"/>
  <c r="D75" i="1" s="1"/>
  <c r="F70" i="1"/>
  <c r="O67" i="1"/>
  <c r="N67" i="1"/>
  <c r="M67" i="1"/>
  <c r="L67" i="1"/>
  <c r="K67" i="1"/>
  <c r="J67" i="1"/>
  <c r="I67" i="1"/>
  <c r="H67" i="1"/>
  <c r="G67" i="1"/>
  <c r="F66" i="1"/>
  <c r="D66" i="1" s="1"/>
  <c r="F65" i="1"/>
  <c r="D65" i="1" s="1"/>
  <c r="F64" i="1"/>
  <c r="R58" i="1"/>
  <c r="Q58" i="1"/>
  <c r="P58" i="1"/>
  <c r="O58" i="1"/>
  <c r="N58" i="1"/>
  <c r="M58" i="1"/>
  <c r="L58" i="1"/>
  <c r="K58" i="1"/>
  <c r="J58" i="1"/>
  <c r="I58" i="1"/>
  <c r="H58" i="1"/>
  <c r="G58" i="1"/>
  <c r="F57" i="1"/>
  <c r="D57" i="1" s="1"/>
  <c r="F56" i="1"/>
  <c r="D56" i="1" s="1"/>
  <c r="F55" i="1"/>
  <c r="D55" i="1" s="1"/>
  <c r="F54" i="1"/>
  <c r="D54" i="1" s="1"/>
  <c r="F53" i="1"/>
  <c r="D53" i="1" s="1"/>
  <c r="F52" i="1"/>
  <c r="D52" i="1"/>
  <c r="R49" i="1"/>
  <c r="Q49" i="1"/>
  <c r="P49" i="1"/>
  <c r="O49" i="1"/>
  <c r="N49" i="1"/>
  <c r="M49" i="1"/>
  <c r="L49" i="1"/>
  <c r="K49" i="1"/>
  <c r="J49" i="1"/>
  <c r="I49" i="1"/>
  <c r="H49" i="1"/>
  <c r="G49" i="1"/>
  <c r="F48" i="1"/>
  <c r="D48" i="1" s="1"/>
  <c r="F47" i="1"/>
  <c r="D47" i="1" s="1"/>
  <c r="F46" i="1"/>
  <c r="D46" i="1" s="1"/>
  <c r="F45" i="1"/>
  <c r="R42" i="1"/>
  <c r="Q42" i="1"/>
  <c r="P42" i="1"/>
  <c r="O42" i="1"/>
  <c r="N42" i="1"/>
  <c r="M42" i="1"/>
  <c r="L42" i="1"/>
  <c r="K42" i="1"/>
  <c r="J42" i="1"/>
  <c r="I42" i="1"/>
  <c r="H42" i="1"/>
  <c r="G42" i="1"/>
  <c r="F41" i="1"/>
  <c r="D41" i="1" s="1"/>
  <c r="F40" i="1"/>
  <c r="D40" i="1" s="1"/>
  <c r="F39" i="1"/>
  <c r="D39" i="1" s="1"/>
  <c r="D38" i="1"/>
  <c r="F37" i="1"/>
  <c r="F32" i="1"/>
  <c r="D32" i="1" s="1"/>
  <c r="F31" i="1"/>
  <c r="D31" i="1"/>
  <c r="F30" i="1"/>
  <c r="D30" i="1" s="1"/>
  <c r="F29" i="1"/>
  <c r="D29" i="1"/>
  <c r="R26" i="1"/>
  <c r="Q26" i="1"/>
  <c r="P26" i="1"/>
  <c r="O26" i="1"/>
  <c r="N26" i="1"/>
  <c r="M26" i="1"/>
  <c r="L26" i="1"/>
  <c r="K26" i="1"/>
  <c r="J26" i="1"/>
  <c r="I26" i="1"/>
  <c r="H26" i="1"/>
  <c r="G26" i="1"/>
  <c r="F25" i="1"/>
  <c r="D25" i="1" s="1"/>
  <c r="F24" i="1"/>
  <c r="D24" i="1" s="1"/>
  <c r="F23" i="1"/>
  <c r="D23" i="1" s="1"/>
  <c r="F22" i="1"/>
  <c r="D22" i="1" s="1"/>
  <c r="F21" i="1"/>
  <c r="D21" i="1" s="1"/>
  <c r="F20" i="1"/>
  <c r="D20" i="1" s="1"/>
  <c r="F19" i="1"/>
  <c r="D19" i="1" s="1"/>
  <c r="F18" i="1"/>
  <c r="D18" i="1" s="1"/>
  <c r="F17" i="1"/>
  <c r="D17" i="1" s="1"/>
  <c r="F16" i="1"/>
  <c r="D16" i="1" s="1"/>
  <c r="F15" i="1"/>
  <c r="D15" i="1" s="1"/>
  <c r="F14" i="1"/>
  <c r="D14" i="1" s="1"/>
  <c r="F13" i="1"/>
  <c r="D13" i="1" s="1"/>
  <c r="F12" i="1"/>
  <c r="D12" i="1" s="1"/>
  <c r="F11" i="1"/>
  <c r="D11" i="1"/>
  <c r="F10" i="1"/>
  <c r="F9" i="1"/>
  <c r="D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9" i="1" s="1"/>
  <c r="A30" i="1" s="1"/>
  <c r="A31" i="1" s="1"/>
  <c r="A32" i="1" s="1"/>
  <c r="A39" i="1" s="1"/>
  <c r="A40" i="1" s="1"/>
  <c r="A41" i="1" s="1"/>
  <c r="A42" i="1" s="1"/>
  <c r="A45" i="1" s="1"/>
  <c r="A46" i="1" s="1"/>
  <c r="A47" i="1" s="1"/>
  <c r="A48" i="1" s="1"/>
  <c r="A49" i="1" s="1"/>
  <c r="A52" i="1" s="1"/>
  <c r="A53" i="1" s="1"/>
  <c r="A54" i="1" s="1"/>
  <c r="A55" i="1" s="1"/>
  <c r="A56" i="1" s="1"/>
  <c r="A57" i="1" s="1"/>
  <c r="A58" i="1" s="1"/>
  <c r="F49" i="1" l="1"/>
  <c r="F42" i="1"/>
  <c r="U93" i="1"/>
  <c r="F67" i="1"/>
  <c r="S68" i="1" s="1"/>
  <c r="V68" i="1" s="1"/>
  <c r="F26" i="1"/>
  <c r="D58" i="1"/>
  <c r="D42" i="1"/>
  <c r="S42" i="1" s="1"/>
  <c r="S46" i="1" s="1"/>
  <c r="V46" i="1" s="1"/>
  <c r="A65" i="1"/>
  <c r="A66" i="1" s="1"/>
  <c r="A67" i="1" s="1"/>
  <c r="A70" i="1" s="1"/>
  <c r="A72" i="1" s="1"/>
  <c r="A75" i="1" s="1"/>
  <c r="A76" i="1" s="1"/>
  <c r="A77" i="1" s="1"/>
  <c r="A78" i="1" s="1"/>
  <c r="A79" i="1" s="1"/>
  <c r="A80" i="1" s="1"/>
  <c r="A83" i="1" s="1"/>
  <c r="A38" i="1" s="1"/>
  <c r="A91" i="1" s="1"/>
  <c r="A92" i="1" s="1"/>
  <c r="A95" i="1" s="1"/>
  <c r="A98" i="1" s="1"/>
  <c r="A100" i="1" s="1"/>
  <c r="A64" i="1"/>
  <c r="D80" i="1"/>
  <c r="F58" i="1"/>
  <c r="S59" i="1" s="1"/>
  <c r="V59" i="1" s="1"/>
  <c r="F80" i="1"/>
  <c r="D10" i="1"/>
  <c r="D26" i="1" s="1"/>
  <c r="D45" i="1"/>
  <c r="D49" i="1" s="1"/>
  <c r="S50" i="1" s="1"/>
  <c r="D64" i="1"/>
  <c r="D67" i="1" s="1"/>
  <c r="D91" i="1"/>
  <c r="D92" i="1" s="1"/>
  <c r="S93" i="1" l="1"/>
  <c r="S52" i="1"/>
  <c r="V52" i="1" s="1"/>
  <c r="S26" i="1"/>
  <c r="D72" i="1"/>
  <c r="S81" i="1"/>
  <c r="S83" i="1" s="1"/>
  <c r="V83" i="1" s="1"/>
  <c r="V97" i="1"/>
  <c r="T93" i="1"/>
  <c r="S30" i="1" l="1"/>
  <c r="V30" i="1" s="1"/>
  <c r="U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gzhkw6</author>
  </authors>
  <commentList>
    <comment ref="D17" authorId="0" shapeId="0" xr:uid="{637E7BE9-5668-4E5B-8E4F-10CCBAE0FA0E}">
      <text>
        <r>
          <rPr>
            <b/>
            <sz val="9"/>
            <color indexed="81"/>
            <rFont val="Tahoma"/>
            <family val="2"/>
          </rPr>
          <t>Brandon, Annette:456700 ED.WA line 93 excel</t>
        </r>
      </text>
    </comment>
    <comment ref="D18" authorId="0" shapeId="0" xr:uid="{BBFEAA4F-162C-47DA-BD94-C7FC208EAF9D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456700 ED.ID. Line 96 (excel)
plus 456030 Clearwater Directly assigned</t>
        </r>
      </text>
    </comment>
    <comment ref="M33" authorId="1" shapeId="0" xr:uid="{AE6834B7-11BC-4D59-A7A0-D2FE0E366E61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plus Weather Adjustment retail load change times monthly retail revenue adjustment rate (weighted pro-ration).</t>
        </r>
      </text>
    </comment>
    <comment ref="X33" authorId="1" shapeId="0" xr:uid="{A9D6A230-46CD-47E1-89CF-B9447313999B}">
      <text>
        <r>
          <rPr>
            <b/>
            <sz val="9"/>
            <color indexed="81"/>
            <rFont val="Tahoma"/>
            <family val="2"/>
          </rPr>
          <t>tlk:</t>
        </r>
        <r>
          <rPr>
            <sz val="9"/>
            <color indexed="81"/>
            <rFont val="Tahoma"/>
            <family val="2"/>
          </rPr>
          <t xml:space="preserve">
includes Actual - Authorized retail load change times monthly retail revenue adjustment rate (weighted pro-ration).</t>
        </r>
      </text>
    </comment>
    <comment ref="K54" authorId="0" shapeId="0" xr:uid="{977A8B67-B1BD-4F07-AD6F-DDF2C68329CB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Tara's weather adjustment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Brandon, Annette</author>
    <author>annette brandon</author>
  </authors>
  <commentList>
    <comment ref="D38" authorId="0" shapeId="0" xr:uid="{B1D44804-6D47-4ED1-8098-D25A6309CA69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REC Journal</t>
        </r>
      </text>
    </comment>
    <comment ref="F42" authorId="0" shapeId="0" xr:uid="{FED5FD50-2921-40F5-BD1B-FF9A5621CF78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Natural Gas Other Purchase + Misc. Power supply</t>
        </r>
      </text>
    </comment>
    <comment ref="S52" authorId="0" shapeId="0" xr:uid="{2D1C59A0-EAC0-4E9B-9E9A-DD723C9F500A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Adjusted for rounding $1</t>
        </r>
      </text>
    </comment>
    <comment ref="G79" authorId="0" shapeId="0" xr:uid="{BFA533A7-9331-45FE-8D33-D91C41AD58BB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why were these positive last year?</t>
        </r>
      </text>
    </comment>
    <comment ref="T82" authorId="0" shapeId="0" xr:uid="{E1317EB5-1EE1-4F9E-B546-A05BB08C8F3B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This is a workbook adjustment only.  It is not recorded to a separate account. However, because it is in the workbook it reduces the total recorded to "short term sales" on Resource Accounting workbook
</t>
        </r>
      </text>
    </comment>
    <comment ref="D83" authorId="0" shapeId="0" xr:uid="{51A70CDE-BEE5-4868-BF08-02F56CF4936F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ID  PCA Paige Acct 456016 (Clearwater)</t>
        </r>
      </text>
    </comment>
    <comment ref="F91" authorId="0" shapeId="0" xr:uid="{CA2F9CDA-29EA-4ECE-82DB-0AF7551D543D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Added 456020 for $. This will flow through adjustment thorugh "other" 456 rather than transmission.
See ROO backup for addl info.
</t>
        </r>
      </text>
    </comment>
    <comment ref="G93" authorId="0" shapeId="0" xr:uid="{8CFC288B-5F0A-4E4A-9238-5AF2236D97FA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From Cheryl's workbook</t>
        </r>
      </text>
    </comment>
    <comment ref="S94" authorId="1" shapeId="0" xr:uid="{1BB5A5B2-59B2-4E68-BD01-AA9B3888677B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456700 is allocated incorrectly on ERM Actual worksheet.  ROO is correct.  WA is included as if it is "AN" and then allocated when it is already assigned only to WA</t>
        </r>
      </text>
    </comment>
    <comment ref="S95" authorId="1" shapeId="0" xr:uid="{02A05B5C-9DBB-48A2-90D2-2B5CB1F6C1B5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account</t>
        </r>
      </text>
    </comment>
    <comment ref="S96" authorId="1" shapeId="0" xr:uid="{3E623447-36FF-48FF-9106-5B9DD79B8A42}">
      <text>
        <r>
          <rPr>
            <b/>
            <sz val="9"/>
            <color indexed="81"/>
            <rFont val="Tahoma"/>
            <family val="2"/>
          </rPr>
          <t>annette brandon:</t>
        </r>
        <r>
          <rPr>
            <sz val="9"/>
            <color indexed="81"/>
            <rFont val="Tahoma"/>
            <family val="2"/>
          </rPr>
          <t xml:space="preserve">
not an erm accou</t>
        </r>
      </text>
    </comment>
    <comment ref="S97" authorId="0" shapeId="0" xr:uid="{5C78336A-F5EB-40A0-95E0-C5B06D6CC811}">
      <text>
        <r>
          <rPr>
            <b/>
            <sz val="9"/>
            <color indexed="81"/>
            <rFont val="Tahoma"/>
            <family val="2"/>
          </rPr>
          <t>Brandon, Annette:</t>
        </r>
        <r>
          <rPr>
            <sz val="9"/>
            <color indexed="81"/>
            <rFont val="Tahoma"/>
            <family val="2"/>
          </rPr>
          <t xml:space="preserve">
adjusted $1 for rounding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2DE488BB-D599-46AA-8BC6-0ADC65CC2C1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9306993E-6D5D-4F2D-8A8F-34DD54C97EE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<sst xmlns="http://schemas.openxmlformats.org/spreadsheetml/2006/main" count="568" uniqueCount="325">
  <si>
    <t>Avista Corp.</t>
  </si>
  <si>
    <t>Power Supply Pro forma - Washington Jurisdiction</t>
  </si>
  <si>
    <t>Line</t>
  </si>
  <si>
    <t>Monthly</t>
  </si>
  <si>
    <t>Reconcilation</t>
  </si>
  <si>
    <t>No.</t>
  </si>
  <si>
    <t>Actuals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</si>
  <si>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</si>
  <si>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</si>
  <si>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</si>
  <si>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</si>
  <si>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</si>
  <si>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</si>
  <si>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</si>
  <si>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t>Bonneville Power Admin. (WNP-3)1</t>
  </si>
  <si>
    <t>Inland Power &amp; Light - Deer Lake</t>
  </si>
  <si>
    <t>Small Power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</si>
  <si>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</si>
  <si>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</si>
  <si>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</si>
  <si>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</si>
  <si>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</si>
  <si>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Palouse Wind</t>
  </si>
  <si>
    <t>Rattlesnake Flat, LLC</t>
  </si>
  <si>
    <t>WPM Ancillary Services</t>
  </si>
  <si>
    <t>Non-Mon. Accruals</t>
  </si>
  <si>
    <t>Total Account 555</t>
  </si>
  <si>
    <t>ERM amount</t>
  </si>
  <si>
    <t>Solar Select 555040</t>
  </si>
  <si>
    <t>557 OTHER EXPENSES</t>
  </si>
  <si>
    <t>Clearwater - ID</t>
  </si>
  <si>
    <t>557170 ED AN - ERM Journal</t>
  </si>
  <si>
    <t>Solar Select - Calc in workbook only</t>
  </si>
  <si>
    <t>557172 ED AN</t>
  </si>
  <si>
    <t>ROO</t>
  </si>
  <si>
    <t>557165 ED AN</t>
  </si>
  <si>
    <t>557018 ED AN</t>
  </si>
  <si>
    <t>557171 ED AN - REC Journal</t>
  </si>
  <si>
    <t>Natural Gas Fuel Purchases</t>
  </si>
  <si>
    <t>Misc. Power Exp. Actual-557160 ED AN</t>
  </si>
  <si>
    <t xml:space="preserve">Wind REC Exp Actual 557395 </t>
  </si>
  <si>
    <t>Total Account 557</t>
  </si>
  <si>
    <t>plus 555 Power Supply Group</t>
  </si>
  <si>
    <t>501 THERMAL FUEL EXPENSE</t>
  </si>
  <si>
    <t>Solar Select 555175</t>
  </si>
  <si>
    <t>less def and amort</t>
  </si>
  <si>
    <t>Total Account 501</t>
  </si>
  <si>
    <t>ERM Amount</t>
  </si>
  <si>
    <t>547 OTHER FUEL EXPENSE</t>
  </si>
  <si>
    <t>501200 not ERM acct</t>
  </si>
  <si>
    <t>NE CT Gas/Oil-547213</t>
  </si>
  <si>
    <t>Boulder Park-547216</t>
  </si>
  <si>
    <t>NWP</t>
  </si>
  <si>
    <t>Kettle Falls CT-547211</t>
  </si>
  <si>
    <t>Coyote Springs2-547610</t>
  </si>
  <si>
    <t>TC Energy</t>
  </si>
  <si>
    <t>Lancaster-547312</t>
  </si>
  <si>
    <t>Rathdrum CT-547310</t>
  </si>
  <si>
    <t>Total Account 547</t>
  </si>
  <si>
    <t>565 TRANSMISSION OF ELECTRICITY BY OTHERS</t>
  </si>
  <si>
    <t>565000 ED AN</t>
  </si>
  <si>
    <t>565312 ED AN</t>
  </si>
  <si>
    <t>565710 ED AN</t>
  </si>
  <si>
    <t>Total Account 565</t>
  </si>
  <si>
    <t>536 WATER FOR POWER</t>
  </si>
  <si>
    <t>Headwater Benefits Payments</t>
  </si>
  <si>
    <t>TOTAL EXPENSE</t>
  </si>
  <si>
    <t>447 SALES FOR RESALE</t>
  </si>
  <si>
    <t>Short-Term Sales</t>
  </si>
  <si>
    <t>Nichols Pumping Index Sale</t>
  </si>
  <si>
    <t>Sovereign Power/Kaiser Load Following</t>
  </si>
  <si>
    <t>Pend Oreille DES</t>
  </si>
  <si>
    <t>Merchant Ancillary Services</t>
  </si>
  <si>
    <t>Total Account 447</t>
  </si>
  <si>
    <t>456 OTHER ELECTRIC REVENUE</t>
  </si>
  <si>
    <t>Solar Select</t>
  </si>
  <si>
    <t>Non-WA EIA REC Sales 456016 ED AN</t>
  </si>
  <si>
    <t>ED AN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</si>
  <si>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</si>
  <si>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</si>
  <si>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</si>
  <si>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</si>
  <si>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</si>
  <si>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</si>
  <si>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</si>
  <si>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>Gas Not Consumed Sales Revenue</t>
  </si>
  <si>
    <t>Total Account 456</t>
  </si>
  <si>
    <t xml:space="preserve"> </t>
  </si>
  <si>
    <t>453 SALES OF WATER AND WATER POWER</t>
  </si>
  <si>
    <t>Transmission Revenue total</t>
  </si>
  <si>
    <t>(ignore Resource Account Total and use ROO)</t>
  </si>
  <si>
    <t>Upstream Storage Revenue</t>
  </si>
  <si>
    <t>Decoupling</t>
  </si>
  <si>
    <t>Misc Elec Rev</t>
  </si>
  <si>
    <t>TOTAL REVENUE</t>
  </si>
  <si>
    <r>
      <t xml:space="preserve">TOTAL </t>
    </r>
    <r>
      <rPr>
        <b/>
        <u/>
        <sz val="10"/>
        <rFont val="Geneva"/>
      </rPr>
      <t>NET</t>
    </r>
    <r>
      <rPr>
        <b/>
        <sz val="10"/>
        <rFont val="Geneva"/>
      </rPr>
      <t xml:space="preserve"> EXPENSE</t>
    </r>
  </si>
  <si>
    <t xml:space="preserve">System Numbers - 12 ME 12.31.21 Actual </t>
  </si>
  <si>
    <t>Detail Source for Recon: ROO</t>
  </si>
  <si>
    <t>Detail Source for Recon: Cognos 501 download</t>
  </si>
  <si>
    <t>501110 Kettle Falls - Wood Fuel</t>
  </si>
  <si>
    <t>501120 Kettle Falls - Start-up Gas</t>
  </si>
  <si>
    <t>501160 Colstrip - Oil</t>
  </si>
  <si>
    <t xml:space="preserve">501140 Colstrip - Coal </t>
  </si>
  <si>
    <r>
      <rPr>
        <i/>
        <u/>
        <sz val="8"/>
        <color rgb="FFFF0000"/>
        <rFont val="Geneva"/>
      </rPr>
      <t>total</t>
    </r>
    <r>
      <rPr>
        <i/>
        <sz val="8"/>
        <color rgb="FFFF0000"/>
        <rFont val="Geneva"/>
      </rPr>
      <t xml:space="preserve"> Source for Recon: ROO</t>
    </r>
  </si>
  <si>
    <t>Detail Source for Recon: Resource Accounting</t>
  </si>
  <si>
    <t>Avista Utilities</t>
  </si>
  <si>
    <t xml:space="preserve">Note: </t>
  </si>
  <si>
    <t xml:space="preserve">The Company's 2019 General Rate Case (UE-190334) did not include a proposed adjustment to the Power Supply Base. </t>
  </si>
  <si>
    <t>Commission Basis Power Supply</t>
  </si>
  <si>
    <t>As such, the Authorized in case UE-170485 remains in effect for 2020.</t>
  </si>
  <si>
    <t xml:space="preserve">ERM Authorized Values changed 5/1/2018 </t>
  </si>
  <si>
    <t>In effect all of 2020 to October 2021</t>
  </si>
  <si>
    <t>Twelve Months Ended December 2019 Embedded Authorized Power Supply</t>
  </si>
  <si>
    <t>UE-170485 Authorized</t>
  </si>
  <si>
    <t>Effective beginning 5/1/2018</t>
  </si>
  <si>
    <t>Avista Corp</t>
  </si>
  <si>
    <t>Pro forma May 2018 - April 2019</t>
  </si>
  <si>
    <t>ERM Authorized Expense and Retail Sales</t>
  </si>
  <si>
    <t>January through December 2016 Historic Normalized Loads</t>
  </si>
  <si>
    <t>ERM Authorized Power Supply Expense - System Numbers (1)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</si>
  <si>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</si>
  <si>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</si>
  <si>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</si>
  <si>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</si>
  <si>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</si>
  <si>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</si>
  <si>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</si>
  <si>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</si>
  <si>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</si>
  <si>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</si>
  <si>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</si>
  <si>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</si>
  <si>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Account 555 - Purchased Power</t>
  </si>
  <si>
    <t>Account 501 - Thermal Fuel</t>
  </si>
  <si>
    <t>Account 547 - Natural Gas Fuel</t>
  </si>
  <si>
    <t>Account 447 - Sale for Resale</t>
  </si>
  <si>
    <t>Power Supply Expense</t>
  </si>
  <si>
    <t>Transmission Expense</t>
  </si>
  <si>
    <t>Transmission Revenue</t>
  </si>
  <si>
    <t>Broker Fees</t>
  </si>
  <si>
    <t xml:space="preserve">     Total</t>
  </si>
  <si>
    <t>WA Share of System Costs</t>
  </si>
  <si>
    <t>WA Only Adjustment (3)</t>
  </si>
  <si>
    <t>Total WA Share of System Costs</t>
  </si>
  <si>
    <t>ERM Authorized Washington Retail Sales (2)</t>
  </si>
  <si>
    <t>Total Retail Sales, MWh (2)</t>
  </si>
  <si>
    <t>Retail Revenue Adjustment Rate</t>
  </si>
  <si>
    <t>/MWh</t>
  </si>
  <si>
    <t>(1)  Multiply system numbers by 65.73% to determine Washington share.</t>
  </si>
  <si>
    <t>(2)  Twelve months ended December 2016 normalized monthly WA Retail Sales.</t>
  </si>
  <si>
    <t>(3) Adjustment per final order No 07 UE-170485 to match revenue requirement of $14.519 million</t>
  </si>
  <si>
    <t>ERM Authorized Expense and Retail Sales (Annual)</t>
  </si>
  <si>
    <t>Based on Pro forma October 2021 - September 2022</t>
  </si>
  <si>
    <t>January 2019 - December 2019 Historic Normalized Loads</t>
  </si>
  <si>
    <t>Account 557 - Other Expenses</t>
  </si>
  <si>
    <t>Account 565 - Transmission Expense</t>
  </si>
  <si>
    <t>Account 456 - Other Revenue</t>
  </si>
  <si>
    <t>Account 456 - Transmission Revenue</t>
  </si>
  <si>
    <t>Total Authorized Expense</t>
  </si>
  <si>
    <t>WA Share (Ignoring Direct Assignment)</t>
  </si>
  <si>
    <t>WASHINGTON CALCULATION</t>
  </si>
  <si>
    <t>Transmission Revenue - Allocated (3)</t>
  </si>
  <si>
    <t>Allocated to Washington at 65.64%</t>
  </si>
  <si>
    <t>PT Ratio</t>
  </si>
  <si>
    <t>Transmission - Washington Only</t>
  </si>
  <si>
    <t xml:space="preserve">TOTAL WASHINGTON AUTHORIZED </t>
  </si>
  <si>
    <t>Total Retail Sales, MWh (4)</t>
  </si>
  <si>
    <t>WA Only Adjustment</t>
  </si>
  <si>
    <t>(sum of Resource Accounting workbook D15:D22)</t>
  </si>
  <si>
    <t>(sum of 251914 * .6573)..resource accounting grossed it up for easy reference; but actual settlement did not)</t>
  </si>
  <si>
    <t>check</t>
  </si>
  <si>
    <t>load change power cost</t>
  </si>
  <si>
    <t>Weather adj load change power cost</t>
  </si>
  <si>
    <t>Retail Revenue Adjustment rate</t>
  </si>
  <si>
    <t>$/MWh</t>
  </si>
  <si>
    <t>load change</t>
  </si>
  <si>
    <t>MWhs</t>
  </si>
  <si>
    <t>weather adjustment load change</t>
  </si>
  <si>
    <t>Decoupling Normalization Cost Change</t>
  </si>
  <si>
    <t>UE-170485 authorized</t>
  </si>
  <si>
    <t>Production Transmission Ratio True-Up</t>
  </si>
  <si>
    <t>Eliminate Power Cost of Weather Adjustment</t>
  </si>
  <si>
    <t xml:space="preserve">(2)  Includes authorized directly assigned reductions and a power cost adjustment for change in WA retail loads from authorized.  </t>
  </si>
  <si>
    <t>ERM Retail Revenue Adjustment rate (weighted average)</t>
  </si>
  <si>
    <t>Average Cost per MWh</t>
  </si>
  <si>
    <t>ERM Retail Revenue Adjustment rate</t>
  </si>
  <si>
    <t xml:space="preserve">Net Change in Revenue Requirement </t>
  </si>
  <si>
    <t>Net Income</t>
  </si>
  <si>
    <t>Federal Income Tax</t>
  </si>
  <si>
    <t>Federal Income Tax (pro-rated rate)</t>
  </si>
  <si>
    <t>Net Income Before Income Taxes</t>
  </si>
  <si>
    <t xml:space="preserve">   Total Expense</t>
  </si>
  <si>
    <t>XXX Other Transmission Expenses</t>
  </si>
  <si>
    <t>Non-ERM</t>
  </si>
  <si>
    <t>570 Maintenance of Station Equipment</t>
  </si>
  <si>
    <t>566 Misc. Transmission Exp</t>
  </si>
  <si>
    <t>565 Trans. of Elec. by Others</t>
  </si>
  <si>
    <t>XXX Other Expenses-Direct WA</t>
  </si>
  <si>
    <t>(3)</t>
  </si>
  <si>
    <t>(2)</t>
  </si>
  <si>
    <t>557 Other Expenses</t>
  </si>
  <si>
    <t>556 System Control &amp; Dispatch</t>
  </si>
  <si>
    <t>550 Rents</t>
  </si>
  <si>
    <t>549 Misc Other Gen Expense</t>
  </si>
  <si>
    <t>555 Purchased Power</t>
  </si>
  <si>
    <t>536 Water for Power</t>
  </si>
  <si>
    <t>547 Other Fuel Expense</t>
  </si>
  <si>
    <t>546 Other Power Gen Supvsn &amp; Eng</t>
  </si>
  <si>
    <t>501 Thermal Fuel Expense</t>
  </si>
  <si>
    <t xml:space="preserve">   Total Revenue</t>
  </si>
  <si>
    <t>456 Other Electric Revenue-Direct WA</t>
  </si>
  <si>
    <t>456 Other Electric Revenue</t>
  </si>
  <si>
    <t>456 Transmission Wheeling Revenue</t>
  </si>
  <si>
    <t>Direct ID</t>
  </si>
  <si>
    <t>Direct WA</t>
  </si>
  <si>
    <t>System</t>
  </si>
  <si>
    <t>454 Misc Rents</t>
  </si>
  <si>
    <t>453 Sales of Water and Water Power</t>
  </si>
  <si>
    <t>447 Sales for Resale</t>
  </si>
  <si>
    <t>P/T Allocation Percentages</t>
  </si>
  <si>
    <t>(1)</t>
  </si>
  <si>
    <t>P/T Allocation Percentages (authorized weighted average)</t>
  </si>
  <si>
    <t>Per Results</t>
  </si>
  <si>
    <t>Amounts</t>
  </si>
  <si>
    <t>Washington</t>
  </si>
  <si>
    <t>Supply</t>
  </si>
  <si>
    <t>Power</t>
  </si>
  <si>
    <t>Total Adjustment</t>
  </si>
  <si>
    <t>Pro Forma 
12 ME 04.2019</t>
  </si>
  <si>
    <t>2018 Pro Forma not in ERM</t>
  </si>
  <si>
    <t>Earnings Test Power Cost True-Up</t>
  </si>
  <si>
    <t>Check</t>
  </si>
  <si>
    <t>NET CHANGE</t>
  </si>
  <si>
    <t>CHANGE</t>
  </si>
  <si>
    <t>Non-ERM  Costs</t>
  </si>
  <si>
    <t>WA Share</t>
  </si>
  <si>
    <t>NET</t>
  </si>
  <si>
    <t>12.31.2017 Normalized Historical Loads</t>
  </si>
  <si>
    <t>Adjustment</t>
  </si>
  <si>
    <t>Earnings Test Only
Adjustment</t>
  </si>
  <si>
    <t>2017 GRC Power Supply - 12.2016 Historical Loads with RRA for WA load change to match 2019 actual revenue with 2019 ERM allocation</t>
  </si>
  <si>
    <t>WA Power Supply/Transmission 
Pro Forma Net Costs</t>
  </si>
  <si>
    <t>WA Power Supply Current Authorized Net Costs</t>
  </si>
  <si>
    <t>WA Power Supply Commission Basis Net Costs</t>
  </si>
  <si>
    <t>WA Power Supply/Transmission Actual Net Cost</t>
  </si>
  <si>
    <t>Avista Corporation</t>
  </si>
  <si>
    <t>12.31.2021 Historical Loads</t>
  </si>
  <si>
    <t>12.2021 Actual</t>
  </si>
  <si>
    <t>ERM 12.2021 Embedded Authorized</t>
  </si>
  <si>
    <t>12 ME 12.2021 Normalized</t>
  </si>
  <si>
    <t>RESULTS OF OPERATIONS</t>
  </si>
  <si>
    <t>Report ID:</t>
  </si>
  <si>
    <t>AVISTA UTILITIES</t>
  </si>
  <si>
    <t>ELECTRIC ALLOCATION OF OTHER REVENUE</t>
  </si>
  <si>
    <t xml:space="preserve"> ***************** SYSTEM *****************</t>
  </si>
  <si>
    <t xml:space="preserve"> *************** WASHINGTON *************</t>
  </si>
  <si>
    <t xml:space="preserve"> ***************** IDAHO ******************</t>
  </si>
  <si>
    <t>Direct</t>
  </si>
  <si>
    <t>Allocated</t>
  </si>
  <si>
    <t>Ref/Basis</t>
  </si>
  <si>
    <t>Account</t>
  </si>
  <si>
    <t>Description</t>
  </si>
  <si>
    <t>Other Electric Rev-Miscellaneous</t>
  </si>
  <si>
    <t>Other Electric Rev-Financial</t>
  </si>
  <si>
    <t>Other Electric Rev-CT Fuel Sales</t>
  </si>
  <si>
    <t>Other Electric Rev-Resource Opt</t>
  </si>
  <si>
    <t>1</t>
  </si>
  <si>
    <t>Other Electric Rev-Non Resource</t>
  </si>
  <si>
    <t>Other Electric Rev-Extraction</t>
  </si>
  <si>
    <t>Other Electric Rev-Specified</t>
  </si>
  <si>
    <t>Other Electric Rev-Sale of Excess</t>
  </si>
  <si>
    <t>Other Electric Rev-Clearwater</t>
  </si>
  <si>
    <t>Other Electric Rev-Attachment Fees</t>
  </si>
  <si>
    <t>Transmission Revenue of Others</t>
  </si>
  <si>
    <t>Parallel Capacity Support Revenue</t>
  </si>
  <si>
    <t>Ancillary Services Revenue</t>
  </si>
  <si>
    <t xml:space="preserve">Other Electric Rev-Res Optim </t>
  </si>
  <si>
    <t>Contra Decoupling Deferral</t>
  </si>
  <si>
    <t>Residential Decoupling Deferral</t>
  </si>
  <si>
    <t>Amortization Res Decoupling Deferral</t>
  </si>
  <si>
    <t>Non-res Decoupling Deferred Rev</t>
  </si>
  <si>
    <t>Amortization Non-res Decoupling</t>
  </si>
  <si>
    <t>Other Electric Revenue-Clearwater</t>
  </si>
  <si>
    <t>Other Electric Rev-Low Voltage</t>
  </si>
  <si>
    <t>Low Voltage B on A</t>
  </si>
  <si>
    <t>Other Electric Revenue-Transmission</t>
  </si>
  <si>
    <t>Other Electric Rev Bookout Off</t>
  </si>
  <si>
    <t>Other Elec Rev-Turbine Gas Bookout</t>
  </si>
  <si>
    <t>Other Elec Rev-Intraco Thermal</t>
  </si>
  <si>
    <t>TOTAL ACCOUNT 456</t>
  </si>
  <si>
    <t>Transmission</t>
  </si>
  <si>
    <t>Natural Gas Reve</t>
  </si>
  <si>
    <t>Misc.</t>
  </si>
  <si>
    <t>ALLOCATION RATIOS:</t>
  </si>
  <si>
    <t>E-ALL</t>
  </si>
  <si>
    <t>456016 Other</t>
  </si>
  <si>
    <t>check - total revenue plus transmission</t>
  </si>
  <si>
    <t>Ending Balance Basis</t>
  </si>
  <si>
    <t>For Twelve Months Ended December 31, 2021</t>
  </si>
  <si>
    <t>E-456-12E</t>
  </si>
  <si>
    <t>2017/2019 GRC Power Supply - Historical Loads with RRA for WA load change to match 2021 normalized revenue with 2021 actual allocation</t>
  </si>
  <si>
    <t>COMBINED 170485 (JAN - SEP) AND 200900 (OCT-DEC)</t>
  </si>
  <si>
    <t>12 ME 12.31.21 Weather Normalized</t>
  </si>
  <si>
    <t>Avista Corp. - Resource Accounting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</si>
  <si>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</si>
  <si>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</si>
  <si>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</si>
  <si>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</si>
  <si>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</si>
  <si>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</si>
  <si>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</si>
  <si>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</si>
  <si>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</si>
  <si>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</si>
  <si>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</si>
  <si>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</si>
  <si>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</si>
  <si>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</si>
  <si>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</si>
  <si>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Restated 12.2021</t>
  </si>
  <si>
    <r>
      <t>(1)  65.73% per UE-170485 authorized / 65.54% per UE-200900. ROO current production/transmission allocation ratio</t>
    </r>
    <r>
      <rPr>
        <sz val="10"/>
        <color rgb="FFFF0000"/>
        <rFont val="Arial"/>
        <family val="2"/>
      </rPr>
      <t xml:space="preserve"> 65.53%.</t>
    </r>
  </si>
  <si>
    <t>12.2021 Actual per books</t>
  </si>
  <si>
    <t>12.31.2021</t>
  </si>
  <si>
    <t>ERM 12.2020 Embedded Authorized</t>
  </si>
  <si>
    <t>Decoupling Normalized Power Cost 2020 Authorized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</si>
</sst>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"/>
    <numFmt numFmtId="167" formatCode="_(* #,##0_);_(* \(#,##0\);_(* &quot;-&quot;??_);_(@_)"/>
    <numFmt numFmtId="168" formatCode="&quot;$&quot;#,##0.00"/>
    <numFmt numFmtId="169" formatCode="0.00000"/>
    <numFmt numFmtId="170" formatCode="0000.00"/>
    <numFmt numFmtId="171" formatCode="0000"/>
    <numFmt numFmtId="172" formatCode="0.000%"/>
    <numFmt numFmtId="173" formatCode="mmmm\ yyyy"/>
    <numFmt numFmtId="174" formatCode="_(* #,##0.0000_);_(* \(#,##0.0000\);_(* &quot;-&quot;??_);_(@_)"/>
    <numFmt numFmtId="175" formatCode="0.000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0"/>
      <name val="Geneva"/>
    </font>
    <font>
      <b/>
      <sz val="10"/>
      <color rgb="FFFF0000"/>
      <name val="Geneva"/>
    </font>
    <font>
      <u/>
      <sz val="10"/>
      <name val="Geneva"/>
    </font>
    <font>
      <sz val="10"/>
      <color rgb="FF0000FF"/>
      <name val="Geneva"/>
    </font>
    <font>
      <sz val="10"/>
      <name val="Arial"/>
      <family val="2"/>
    </font>
    <font>
      <sz val="10"/>
      <color rgb="FF0000FF"/>
      <name val="Arial"/>
      <family val="2"/>
    </font>
    <font>
      <b/>
      <u/>
      <sz val="10"/>
      <name val="Genev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70C0"/>
      <name val="Geneva"/>
    </font>
    <font>
      <i/>
      <sz val="8"/>
      <color rgb="FFFF0000"/>
      <name val="Geneva"/>
    </font>
    <font>
      <b/>
      <sz val="11"/>
      <color theme="1"/>
      <name val="Calibri"/>
      <family val="2"/>
      <scheme val="minor"/>
    </font>
    <font>
      <i/>
      <u/>
      <sz val="8"/>
      <color rgb="FFFF0000"/>
      <name val="Geneva"/>
    </font>
    <font>
      <b/>
      <sz val="14"/>
      <color theme="1"/>
      <name val="Calibri"/>
      <family val="2"/>
      <scheme val="minor"/>
    </font>
    <font>
      <b/>
      <sz val="12"/>
      <name val="Geneva"/>
    </font>
    <font>
      <b/>
      <sz val="14"/>
      <name val="Geneva"/>
    </font>
    <font>
      <sz val="8"/>
      <name val="Calibri"/>
      <family val="2"/>
      <scheme val="minor"/>
    </font>
    <font>
      <sz val="8"/>
      <color rgb="FFFF0000"/>
      <name val="Geneva"/>
    </font>
    <font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rgb="FFFF0000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9"/>
      <name val="Times New Roman"/>
      <family val="1"/>
    </font>
    <font>
      <sz val="10"/>
      <name val="Tms Rmn"/>
    </font>
    <font>
      <sz val="10"/>
      <name val="Adobe Serif MM"/>
    </font>
    <font>
      <sz val="12"/>
      <name val="Adobe Serif MM"/>
    </font>
    <font>
      <sz val="12"/>
      <name val="Times New Roman"/>
      <family val="1"/>
    </font>
    <font>
      <sz val="11"/>
      <name val="Adobe Serif MM"/>
    </font>
    <font>
      <b/>
      <sz val="12"/>
      <color indexed="53"/>
      <name val="Adobe Serif MM"/>
    </font>
    <font>
      <b/>
      <sz val="11"/>
      <name val="Adobe Serif MM"/>
    </font>
    <font>
      <b/>
      <sz val="12"/>
      <name val="Adobe Serif MM"/>
    </font>
    <font>
      <b/>
      <sz val="12"/>
      <color indexed="10"/>
      <name val="Adobe Serif MM"/>
    </font>
    <font>
      <sz val="10"/>
      <name val="Times New Roman"/>
      <family val="1"/>
    </font>
    <font>
      <sz val="8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CD4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27" fillId="0" borderId="0"/>
    <xf numFmtId="0" fontId="31" fillId="0" borderId="0"/>
  </cellStyleXfs>
  <cellXfs count="310">
    <xf numFmtId="0" fontId="0" fillId="0" borderId="0" xfId="0"/>
    <xf numFmtId="14" fontId="2" fillId="0" borderId="0" xfId="3" applyNumberFormat="1" applyAlignment="1">
      <alignment horizontal="left"/>
    </xf>
    <xf numFmtId="0" fontId="3" fillId="0" borderId="0" xfId="3" applyFont="1" applyAlignment="1">
      <alignment horizontal="center"/>
    </xf>
    <xf numFmtId="0" fontId="2" fillId="0" borderId="0" xfId="3"/>
    <xf numFmtId="14" fontId="2" fillId="0" borderId="0" xfId="3" applyNumberFormat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Alignment="1">
      <alignment horizontal="center"/>
    </xf>
    <xf numFmtId="0" fontId="2" fillId="0" borderId="0" xfId="3" quotePrefix="1" applyAlignment="1">
      <alignment horizontal="center"/>
    </xf>
    <xf numFmtId="0" fontId="5" fillId="0" borderId="0" xfId="3" applyFont="1" applyAlignment="1">
      <alignment horizontal="center"/>
    </xf>
    <xf numFmtId="0" fontId="3" fillId="0" borderId="4" xfId="3" applyFont="1" applyBorder="1" applyAlignment="1">
      <alignment horizontal="center"/>
    </xf>
    <xf numFmtId="17" fontId="2" fillId="0" borderId="0" xfId="3" applyNumberFormat="1"/>
    <xf numFmtId="0" fontId="5" fillId="0" borderId="0" xfId="3" applyFont="1"/>
    <xf numFmtId="3" fontId="2" fillId="0" borderId="0" xfId="3" applyNumberFormat="1"/>
    <xf numFmtId="164" fontId="2" fillId="0" borderId="0" xfId="3" applyNumberFormat="1" applyAlignment="1">
      <alignment horizontal="right"/>
    </xf>
    <xf numFmtId="6" fontId="2" fillId="0" borderId="0" xfId="3" applyNumberFormat="1"/>
    <xf numFmtId="6" fontId="6" fillId="0" borderId="0" xfId="3" applyNumberFormat="1" applyFont="1"/>
    <xf numFmtId="6" fontId="6" fillId="0" borderId="0" xfId="2" applyNumberFormat="1" applyFont="1" applyFill="1"/>
    <xf numFmtId="165" fontId="2" fillId="0" borderId="0" xfId="2" applyNumberFormat="1" applyFont="1"/>
    <xf numFmtId="43" fontId="2" fillId="0" borderId="0" xfId="3" applyNumberFormat="1"/>
    <xf numFmtId="166" fontId="2" fillId="0" borderId="0" xfId="3" applyNumberFormat="1"/>
    <xf numFmtId="165" fontId="2" fillId="0" borderId="0" xfId="3" applyNumberFormat="1"/>
    <xf numFmtId="3" fontId="2" fillId="2" borderId="5" xfId="3" applyNumberFormat="1" applyFill="1" applyBorder="1" applyAlignment="1">
      <alignment horizontal="right"/>
    </xf>
    <xf numFmtId="6" fontId="2" fillId="0" borderId="5" xfId="3" applyNumberFormat="1" applyBorder="1"/>
    <xf numFmtId="3" fontId="2" fillId="0" borderId="0" xfId="3" applyNumberFormat="1" applyAlignment="1">
      <alignment horizontal="right"/>
    </xf>
    <xf numFmtId="167" fontId="2" fillId="0" borderId="0" xfId="1" applyNumberFormat="1" applyFont="1" applyFill="1"/>
    <xf numFmtId="6" fontId="2" fillId="3" borderId="0" xfId="3" applyNumberFormat="1" applyFill="1"/>
    <xf numFmtId="5" fontId="8" fillId="0" borderId="0" xfId="4" applyNumberFormat="1" applyFont="1"/>
    <xf numFmtId="167" fontId="2" fillId="0" borderId="0" xfId="1" applyNumberFormat="1" applyFont="1"/>
    <xf numFmtId="167" fontId="2" fillId="0" borderId="0" xfId="3" applyNumberFormat="1"/>
    <xf numFmtId="5" fontId="7" fillId="0" borderId="0" xfId="4" applyNumberFormat="1"/>
    <xf numFmtId="6" fontId="2" fillId="4" borderId="0" xfId="3" applyNumberFormat="1" applyFill="1"/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2" fillId="0" borderId="4" xfId="3" applyBorder="1"/>
    <xf numFmtId="3" fontId="2" fillId="0" borderId="5" xfId="3" applyNumberFormat="1" applyBorder="1" applyAlignment="1">
      <alignment horizontal="right"/>
    </xf>
    <xf numFmtId="5" fontId="7" fillId="0" borderId="0" xfId="2" applyNumberFormat="1" applyFont="1"/>
    <xf numFmtId="3" fontId="2" fillId="0" borderId="5" xfId="3" applyNumberFormat="1" applyBorder="1"/>
    <xf numFmtId="0" fontId="2" fillId="0" borderId="4" xfId="3" applyBorder="1" applyAlignment="1">
      <alignment horizontal="center"/>
    </xf>
    <xf numFmtId="0" fontId="2" fillId="0" borderId="0" xfId="3" applyAlignment="1">
      <alignment wrapText="1"/>
    </xf>
    <xf numFmtId="0" fontId="3" fillId="4" borderId="1" xfId="3" applyFont="1" applyFill="1" applyBorder="1"/>
    <xf numFmtId="0" fontId="2" fillId="4" borderId="2" xfId="3" applyFill="1" applyBorder="1"/>
    <xf numFmtId="3" fontId="2" fillId="0" borderId="2" xfId="3" applyNumberFormat="1" applyBorder="1" applyAlignment="1">
      <alignment horizontal="right"/>
    </xf>
    <xf numFmtId="0" fontId="3" fillId="0" borderId="0" xfId="3" applyFont="1"/>
    <xf numFmtId="167" fontId="2" fillId="0" borderId="4" xfId="1" applyNumberFormat="1" applyFont="1" applyFill="1" applyBorder="1"/>
    <xf numFmtId="167" fontId="2" fillId="0" borderId="5" xfId="3" applyNumberFormat="1" applyBorder="1"/>
    <xf numFmtId="0" fontId="3" fillId="0" borderId="1" xfId="3" applyFont="1" applyBorder="1"/>
    <xf numFmtId="0" fontId="2" fillId="0" borderId="2" xfId="3" applyBorder="1"/>
    <xf numFmtId="0" fontId="2" fillId="0" borderId="0" xfId="3" applyAlignment="1">
      <alignment horizontal="left"/>
    </xf>
    <xf numFmtId="6" fontId="2" fillId="0" borderId="0" xfId="3" applyNumberFormat="1" applyFill="1"/>
    <xf numFmtId="6" fontId="2" fillId="0" borderId="5" xfId="3" applyNumberFormat="1" applyFill="1" applyBorder="1"/>
    <xf numFmtId="167" fontId="12" fillId="0" borderId="0" xfId="1" applyNumberFormat="1" applyFont="1"/>
    <xf numFmtId="0" fontId="13" fillId="0" borderId="0" xfId="3" applyFont="1"/>
    <xf numFmtId="164" fontId="2" fillId="6" borderId="0" xfId="3" applyNumberFormat="1" applyFill="1" applyAlignment="1">
      <alignment horizontal="right"/>
    </xf>
    <xf numFmtId="0" fontId="14" fillId="0" borderId="0" xfId="0" applyFont="1"/>
    <xf numFmtId="0" fontId="14" fillId="4" borderId="6" xfId="0" applyFont="1" applyFill="1" applyBorder="1" applyAlignment="1">
      <alignment horizontal="right"/>
    </xf>
    <xf numFmtId="0" fontId="14" fillId="4" borderId="5" xfId="0" applyFont="1" applyFill="1" applyBorder="1"/>
    <xf numFmtId="0" fontId="14" fillId="4" borderId="7" xfId="0" applyFont="1" applyFill="1" applyBorder="1"/>
    <xf numFmtId="0" fontId="14" fillId="4" borderId="8" xfId="0" applyFont="1" applyFill="1" applyBorder="1"/>
    <xf numFmtId="0" fontId="14" fillId="4" borderId="4" xfId="0" applyFont="1" applyFill="1" applyBorder="1"/>
    <xf numFmtId="0" fontId="14" fillId="4" borderId="9" xfId="0" applyFont="1" applyFill="1" applyBorder="1"/>
    <xf numFmtId="0" fontId="14" fillId="0" borderId="0" xfId="0" applyFont="1" applyAlignment="1">
      <alignment horizontal="left"/>
    </xf>
    <xf numFmtId="0" fontId="17" fillId="0" borderId="0" xfId="0" applyFont="1"/>
    <xf numFmtId="0" fontId="9" fillId="0" borderId="0" xfId="0" applyFon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4" xfId="0" applyBorder="1"/>
    <xf numFmtId="164" fontId="0" fillId="0" borderId="4" xfId="0" applyNumberFormat="1" applyBorder="1"/>
    <xf numFmtId="0" fontId="3" fillId="0" borderId="0" xfId="0" applyFont="1"/>
    <xf numFmtId="164" fontId="2" fillId="0" borderId="0" xfId="0" applyNumberFormat="1" applyFont="1"/>
    <xf numFmtId="0" fontId="0" fillId="0" borderId="5" xfId="0" applyBorder="1"/>
    <xf numFmtId="0" fontId="3" fillId="0" borderId="0" xfId="0" applyFont="1" applyAlignment="1">
      <alignment wrapText="1"/>
    </xf>
    <xf numFmtId="164" fontId="2" fillId="0" borderId="4" xfId="0" applyNumberFormat="1" applyFont="1" applyBorder="1"/>
    <xf numFmtId="3" fontId="0" fillId="0" borderId="0" xfId="0" applyNumberFormat="1"/>
    <xf numFmtId="168" fontId="0" fillId="0" borderId="0" xfId="0" applyNumberFormat="1"/>
    <xf numFmtId="0" fontId="0" fillId="0" borderId="0" xfId="0" quotePrefix="1"/>
    <xf numFmtId="0" fontId="0" fillId="4" borderId="0" xfId="0" applyFill="1"/>
    <xf numFmtId="0" fontId="0" fillId="0" borderId="0" xfId="0" applyAlignment="1">
      <alignment horizontal="center"/>
    </xf>
    <xf numFmtId="0" fontId="18" fillId="0" borderId="0" xfId="5" applyFont="1"/>
    <xf numFmtId="0" fontId="2" fillId="0" borderId="0" xfId="5"/>
    <xf numFmtId="0" fontId="18" fillId="8" borderId="0" xfId="5" applyFont="1" applyFill="1"/>
    <xf numFmtId="0" fontId="18" fillId="0" borderId="0" xfId="5" quotePrefix="1" applyFont="1" applyAlignment="1">
      <alignment horizontal="left"/>
    </xf>
    <xf numFmtId="0" fontId="17" fillId="0" borderId="0" xfId="5" applyFont="1"/>
    <xf numFmtId="0" fontId="9" fillId="0" borderId="0" xfId="5" applyFont="1"/>
    <xf numFmtId="0" fontId="5" fillId="0" borderId="0" xfId="5" applyFont="1" applyAlignment="1">
      <alignment horizontal="center"/>
    </xf>
    <xf numFmtId="17" fontId="5" fillId="0" borderId="0" xfId="5" applyNumberFormat="1" applyFont="1" applyAlignment="1">
      <alignment horizontal="center"/>
    </xf>
    <xf numFmtId="164" fontId="2" fillId="0" borderId="0" xfId="5" applyNumberFormat="1"/>
    <xf numFmtId="0" fontId="2" fillId="0" borderId="4" xfId="5" applyBorder="1"/>
    <xf numFmtId="164" fontId="2" fillId="0" borderId="4" xfId="5" applyNumberFormat="1" applyBorder="1"/>
    <xf numFmtId="0" fontId="3" fillId="0" borderId="0" xfId="5" applyFont="1"/>
    <xf numFmtId="164" fontId="3" fillId="0" borderId="4" xfId="5" applyNumberFormat="1" applyFont="1" applyBorder="1"/>
    <xf numFmtId="164" fontId="3" fillId="0" borderId="10" xfId="5" applyNumberFormat="1" applyFont="1" applyBorder="1"/>
    <xf numFmtId="168" fontId="2" fillId="0" borderId="0" xfId="5" applyNumberFormat="1"/>
    <xf numFmtId="165" fontId="2" fillId="0" borderId="0" xfId="7" applyNumberFormat="1" applyFont="1" applyFill="1"/>
    <xf numFmtId="165" fontId="2" fillId="0" borderId="4" xfId="7" applyNumberFormat="1" applyFont="1" applyFill="1" applyBorder="1"/>
    <xf numFmtId="0" fontId="2" fillId="0" borderId="0" xfId="5" applyAlignment="1">
      <alignment horizontal="right"/>
    </xf>
    <xf numFmtId="10" fontId="2" fillId="0" borderId="4" xfId="8" applyNumberFormat="1" applyFont="1" applyFill="1" applyBorder="1"/>
    <xf numFmtId="165" fontId="2" fillId="0" borderId="4" xfId="5" applyNumberFormat="1" applyBorder="1"/>
    <xf numFmtId="165" fontId="3" fillId="0" borderId="0" xfId="5" applyNumberFormat="1" applyFont="1"/>
    <xf numFmtId="3" fontId="2" fillId="0" borderId="0" xfId="5" applyNumberFormat="1"/>
    <xf numFmtId="167" fontId="2" fillId="0" borderId="0" xfId="4" applyNumberFormat="1" applyFont="1"/>
    <xf numFmtId="168" fontId="3" fillId="0" borderId="11" xfId="5" applyNumberFormat="1" applyFont="1" applyBorder="1"/>
    <xf numFmtId="0" fontId="2" fillId="0" borderId="0" xfId="5" quotePrefix="1"/>
    <xf numFmtId="165" fontId="2" fillId="0" borderId="0" xfId="5" applyNumberFormat="1"/>
    <xf numFmtId="168" fontId="3" fillId="0" borderId="0" xfId="5" applyNumberFormat="1" applyFont="1"/>
    <xf numFmtId="0" fontId="0" fillId="7" borderId="0" xfId="0" applyFill="1"/>
    <xf numFmtId="164" fontId="2" fillId="7" borderId="0" xfId="5" applyNumberFormat="1" applyFill="1"/>
    <xf numFmtId="164" fontId="2" fillId="7" borderId="4" xfId="5" applyNumberFormat="1" applyFill="1" applyBorder="1"/>
    <xf numFmtId="164" fontId="2" fillId="0" borderId="0" xfId="5" applyNumberFormat="1" applyFill="1"/>
    <xf numFmtId="164" fontId="2" fillId="0" borderId="4" xfId="5" applyNumberFormat="1" applyFill="1" applyBorder="1"/>
    <xf numFmtId="164" fontId="3" fillId="0" borderId="4" xfId="5" applyNumberFormat="1" applyFont="1" applyFill="1" applyBorder="1"/>
    <xf numFmtId="0" fontId="2" fillId="0" borderId="0" xfId="5" applyFill="1"/>
    <xf numFmtId="164" fontId="3" fillId="0" borderId="10" xfId="5" applyNumberFormat="1" applyFont="1" applyFill="1" applyBorder="1"/>
    <xf numFmtId="164" fontId="2" fillId="9" borderId="0" xfId="5" applyNumberFormat="1" applyFill="1"/>
    <xf numFmtId="164" fontId="20" fillId="0" borderId="0" xfId="5" applyNumberFormat="1" applyFont="1" applyFill="1"/>
    <xf numFmtId="164" fontId="20" fillId="0" borderId="0" xfId="5" applyNumberFormat="1" applyFont="1"/>
    <xf numFmtId="165" fontId="21" fillId="0" borderId="0" xfId="2" applyNumberFormat="1" applyFont="1"/>
    <xf numFmtId="0" fontId="2" fillId="4" borderId="0" xfId="5" applyFill="1"/>
    <xf numFmtId="169" fontId="22" fillId="0" borderId="0" xfId="0" applyNumberFormat="1" applyFont="1"/>
    <xf numFmtId="0" fontId="22" fillId="0" borderId="0" xfId="0" applyFont="1"/>
    <xf numFmtId="0" fontId="7" fillId="0" borderId="0" xfId="9"/>
    <xf numFmtId="0" fontId="7" fillId="0" borderId="0" xfId="9" applyAlignment="1">
      <alignment horizontal="right"/>
    </xf>
    <xf numFmtId="7" fontId="7" fillId="0" borderId="0" xfId="2" applyNumberFormat="1" applyFont="1"/>
    <xf numFmtId="0" fontId="7" fillId="0" borderId="0" xfId="9" quotePrefix="1" applyAlignment="1">
      <alignment horizontal="center"/>
    </xf>
    <xf numFmtId="0" fontId="7" fillId="0" borderId="0" xfId="9" quotePrefix="1"/>
    <xf numFmtId="5" fontId="0" fillId="0" borderId="0" xfId="0" applyNumberFormat="1"/>
    <xf numFmtId="167" fontId="7" fillId="0" borderId="0" xfId="9" applyNumberFormat="1"/>
    <xf numFmtId="0" fontId="7" fillId="0" borderId="0" xfId="9" applyAlignment="1">
      <alignment horizontal="center"/>
    </xf>
    <xf numFmtId="167" fontId="8" fillId="0" borderId="0" xfId="9" applyNumberFormat="1" applyFont="1"/>
    <xf numFmtId="5" fontId="0" fillId="0" borderId="5" xfId="0" applyNumberFormat="1" applyBorder="1"/>
    <xf numFmtId="167" fontId="7" fillId="0" borderId="0" xfId="1" applyNumberFormat="1" applyFont="1" applyFill="1"/>
    <xf numFmtId="3" fontId="7" fillId="0" borderId="0" xfId="9" applyNumberFormat="1"/>
    <xf numFmtId="0" fontId="7" fillId="0" borderId="0" xfId="9" applyAlignment="1">
      <alignment horizontal="left"/>
    </xf>
    <xf numFmtId="167" fontId="8" fillId="0" borderId="0" xfId="1" applyNumberFormat="1" applyFont="1" applyFill="1"/>
    <xf numFmtId="0" fontId="7" fillId="0" borderId="0" xfId="9" applyAlignment="1">
      <alignment vertical="top" wrapText="1"/>
    </xf>
    <xf numFmtId="0" fontId="23" fillId="0" borderId="0" xfId="9" applyFont="1"/>
    <xf numFmtId="164" fontId="23" fillId="0" borderId="0" xfId="9" applyNumberFormat="1" applyFont="1"/>
    <xf numFmtId="165" fontId="25" fillId="0" borderId="0" xfId="2" applyNumberFormat="1" applyFont="1" applyFill="1" applyBorder="1"/>
    <xf numFmtId="0" fontId="25" fillId="0" borderId="0" xfId="9" applyFont="1"/>
    <xf numFmtId="164" fontId="26" fillId="0" borderId="0" xfId="0" applyNumberFormat="1" applyFont="1"/>
    <xf numFmtId="165" fontId="7" fillId="0" borderId="0" xfId="2" applyNumberFormat="1" applyFont="1" applyBorder="1"/>
    <xf numFmtId="168" fontId="7" fillId="0" borderId="0" xfId="9" applyNumberFormat="1"/>
    <xf numFmtId="0" fontId="7" fillId="9" borderId="0" xfId="9" applyFill="1"/>
    <xf numFmtId="164" fontId="25" fillId="0" borderId="0" xfId="9" applyNumberFormat="1" applyFont="1"/>
    <xf numFmtId="164" fontId="7" fillId="0" borderId="0" xfId="9" applyNumberFormat="1"/>
    <xf numFmtId="5" fontId="7" fillId="0" borderId="0" xfId="9" applyNumberFormat="1"/>
    <xf numFmtId="164" fontId="7" fillId="0" borderId="4" xfId="9" applyNumberFormat="1" applyBorder="1"/>
    <xf numFmtId="3" fontId="7" fillId="0" borderId="4" xfId="9" applyNumberFormat="1" applyBorder="1"/>
    <xf numFmtId="9" fontId="7" fillId="0" borderId="0" xfId="9" applyNumberFormat="1"/>
    <xf numFmtId="3" fontId="7" fillId="0" borderId="2" xfId="9" applyNumberFormat="1" applyBorder="1"/>
    <xf numFmtId="167" fontId="7" fillId="10" borderId="0" xfId="1" applyNumberFormat="1" applyFont="1" applyFill="1"/>
    <xf numFmtId="0" fontId="7" fillId="10" borderId="0" xfId="9" applyFill="1"/>
    <xf numFmtId="3" fontId="7" fillId="10" borderId="0" xfId="9" applyNumberFormat="1" applyFill="1"/>
    <xf numFmtId="164" fontId="7" fillId="10" borderId="0" xfId="9" applyNumberFormat="1" applyFill="1"/>
    <xf numFmtId="167" fontId="7" fillId="0" borderId="0" xfId="1" applyNumberFormat="1" applyFont="1"/>
    <xf numFmtId="167" fontId="7" fillId="0" borderId="0" xfId="1" applyNumberFormat="1" applyFont="1" applyBorder="1"/>
    <xf numFmtId="3" fontId="7" fillId="0" borderId="5" xfId="9" applyNumberFormat="1" applyBorder="1"/>
    <xf numFmtId="167" fontId="7" fillId="0" borderId="4" xfId="1" applyNumberFormat="1" applyFont="1" applyBorder="1"/>
    <xf numFmtId="0" fontId="7" fillId="0" borderId="0" xfId="10" applyFont="1" applyAlignment="1">
      <alignment horizontal="center"/>
    </xf>
    <xf numFmtId="3" fontId="8" fillId="0" borderId="0" xfId="9" applyNumberFormat="1" applyFont="1"/>
    <xf numFmtId="164" fontId="7" fillId="0" borderId="0" xfId="9" applyNumberFormat="1" applyAlignment="1">
      <alignment horizontal="center"/>
    </xf>
    <xf numFmtId="10" fontId="0" fillId="0" borderId="0" xfId="8" applyNumberFormat="1" applyFont="1" applyFill="1" applyAlignment="1">
      <alignment horizontal="center"/>
    </xf>
    <xf numFmtId="10" fontId="0" fillId="9" borderId="0" xfId="8" applyNumberFormat="1" applyFont="1" applyFill="1" applyAlignment="1">
      <alignment horizontal="center"/>
    </xf>
    <xf numFmtId="10" fontId="14" fillId="0" borderId="0" xfId="8" applyNumberFormat="1" applyFont="1" applyFill="1" applyAlignment="1">
      <alignment horizontal="center"/>
    </xf>
    <xf numFmtId="10" fontId="0" fillId="9" borderId="0" xfId="8" quotePrefix="1" applyNumberFormat="1" applyFont="1" applyFill="1" applyAlignment="1">
      <alignment horizontal="center"/>
    </xf>
    <xf numFmtId="10" fontId="7" fillId="0" borderId="0" xfId="8" applyNumberFormat="1" applyFont="1" applyBorder="1" applyAlignment="1">
      <alignment horizontal="left"/>
    </xf>
    <xf numFmtId="10" fontId="0" fillId="0" borderId="0" xfId="8" applyNumberFormat="1" applyFont="1" applyAlignment="1">
      <alignment horizontal="center"/>
    </xf>
    <xf numFmtId="0" fontId="28" fillId="0" borderId="0" xfId="9" applyFont="1" applyAlignment="1">
      <alignment horizontal="center"/>
    </xf>
    <xf numFmtId="16" fontId="28" fillId="0" borderId="0" xfId="9" applyNumberFormat="1" applyFont="1" applyAlignment="1">
      <alignment horizontal="left"/>
    </xf>
    <xf numFmtId="0" fontId="0" fillId="0" borderId="0" xfId="0" applyAlignment="1">
      <alignment horizontal="center" wrapText="1"/>
    </xf>
    <xf numFmtId="0" fontId="25" fillId="4" borderId="0" xfId="9" applyFont="1" applyFill="1" applyAlignment="1">
      <alignment horizontal="center" wrapText="1"/>
    </xf>
    <xf numFmtId="0" fontId="25" fillId="9" borderId="0" xfId="9" applyFont="1" applyFill="1" applyAlignment="1">
      <alignment horizontal="center" wrapText="1"/>
    </xf>
    <xf numFmtId="167" fontId="30" fillId="9" borderId="0" xfId="4" applyNumberFormat="1" applyFont="1" applyFill="1" applyBorder="1" applyAlignment="1">
      <alignment horizontal="center"/>
    </xf>
    <xf numFmtId="0" fontId="25" fillId="9" borderId="0" xfId="9" quotePrefix="1" applyFont="1" applyFill="1" applyAlignment="1">
      <alignment horizontal="center"/>
    </xf>
    <xf numFmtId="0" fontId="25" fillId="9" borderId="0" xfId="9" applyFont="1" applyFill="1"/>
    <xf numFmtId="0" fontId="29" fillId="9" borderId="0" xfId="9" applyFont="1" applyFill="1" applyAlignment="1">
      <alignment horizontal="center"/>
    </xf>
    <xf numFmtId="0" fontId="7" fillId="4" borderId="0" xfId="9" applyFill="1" applyAlignment="1">
      <alignment horizontal="center"/>
    </xf>
    <xf numFmtId="0" fontId="7" fillId="9" borderId="0" xfId="9" applyFill="1" applyAlignment="1">
      <alignment horizontal="center"/>
    </xf>
    <xf numFmtId="0" fontId="7" fillId="9" borderId="0" xfId="9" applyFill="1" applyAlignment="1">
      <alignment horizontal="centerContinuous"/>
    </xf>
    <xf numFmtId="0" fontId="28" fillId="0" borderId="0" xfId="9" applyFont="1" applyAlignment="1">
      <alignment wrapText="1"/>
    </xf>
    <xf numFmtId="0" fontId="7" fillId="4" borderId="0" xfId="9" applyFill="1" applyAlignment="1">
      <alignment horizontal="centerContinuous"/>
    </xf>
    <xf numFmtId="0" fontId="7" fillId="0" borderId="0" xfId="9" applyAlignment="1">
      <alignment horizontal="centerContinuous"/>
    </xf>
    <xf numFmtId="0" fontId="28" fillId="0" borderId="0" xfId="9" applyFont="1" applyAlignment="1">
      <alignment horizontal="centerContinuous"/>
    </xf>
    <xf numFmtId="2" fontId="7" fillId="4" borderId="0" xfId="9" applyNumberFormat="1" applyFill="1" applyAlignment="1">
      <alignment horizontal="centerContinuous"/>
    </xf>
    <xf numFmtId="0" fontId="25" fillId="4" borderId="0" xfId="9" applyFont="1" applyFill="1" applyAlignment="1">
      <alignment horizontal="centerContinuous"/>
    </xf>
    <xf numFmtId="0" fontId="7" fillId="4" borderId="0" xfId="9" applyFill="1" applyAlignment="1">
      <alignment horizontal="center" wrapText="1"/>
    </xf>
    <xf numFmtId="0" fontId="7" fillId="0" borderId="0" xfId="9" applyAlignment="1">
      <alignment horizontal="center" wrapText="1"/>
    </xf>
    <xf numFmtId="0" fontId="32" fillId="0" borderId="0" xfId="11" applyFont="1"/>
    <xf numFmtId="49" fontId="33" fillId="0" borderId="0" xfId="11" applyNumberFormat="1" applyFont="1" applyAlignment="1">
      <alignment horizontal="center"/>
    </xf>
    <xf numFmtId="170" fontId="33" fillId="0" borderId="0" xfId="11" applyNumberFormat="1" applyFont="1"/>
    <xf numFmtId="3" fontId="33" fillId="0" borderId="0" xfId="11" applyNumberFormat="1" applyFont="1"/>
    <xf numFmtId="0" fontId="33" fillId="0" borderId="0" xfId="11" applyFont="1"/>
    <xf numFmtId="0" fontId="35" fillId="0" borderId="0" xfId="11" applyFont="1"/>
    <xf numFmtId="49" fontId="33" fillId="0" borderId="6" xfId="11" applyNumberFormat="1" applyFont="1" applyBorder="1"/>
    <xf numFmtId="170" fontId="33" fillId="0" borderId="5" xfId="11" applyNumberFormat="1" applyFont="1" applyBorder="1" applyAlignment="1">
      <alignment horizontal="left"/>
    </xf>
    <xf numFmtId="0" fontId="33" fillId="0" borderId="5" xfId="11" applyFont="1" applyBorder="1"/>
    <xf numFmtId="0" fontId="33" fillId="0" borderId="7" xfId="11" applyFont="1" applyBorder="1"/>
    <xf numFmtId="0" fontId="33" fillId="0" borderId="12" xfId="11" applyFont="1" applyBorder="1" applyAlignment="1">
      <alignment horizontal="center"/>
    </xf>
    <xf numFmtId="49" fontId="37" fillId="0" borderId="6" xfId="11" applyNumberFormat="1" applyFont="1" applyBorder="1"/>
    <xf numFmtId="170" fontId="38" fillId="0" borderId="13" xfId="11" applyNumberFormat="1" applyFont="1" applyBorder="1" applyAlignment="1">
      <alignment horizontal="center"/>
    </xf>
    <xf numFmtId="49" fontId="33" fillId="0" borderId="14" xfId="11" applyNumberFormat="1" applyFont="1" applyBorder="1"/>
    <xf numFmtId="0" fontId="33" fillId="0" borderId="0" xfId="11" applyFont="1" applyAlignment="1">
      <alignment horizontal="left"/>
    </xf>
    <xf numFmtId="0" fontId="33" fillId="0" borderId="15" xfId="11" applyFont="1" applyBorder="1"/>
    <xf numFmtId="0" fontId="33" fillId="0" borderId="13" xfId="11" applyFont="1" applyBorder="1" applyAlignment="1">
      <alignment horizontal="center"/>
    </xf>
    <xf numFmtId="49" fontId="33" fillId="0" borderId="8" xfId="11" applyNumberFormat="1" applyFont="1" applyBorder="1"/>
    <xf numFmtId="170" fontId="33" fillId="0" borderId="4" xfId="11" applyNumberFormat="1" applyFont="1" applyBorder="1" applyAlignment="1">
      <alignment horizontal="left"/>
    </xf>
    <xf numFmtId="0" fontId="33" fillId="0" borderId="4" xfId="11" applyFont="1" applyBorder="1"/>
    <xf numFmtId="0" fontId="33" fillId="0" borderId="9" xfId="11" applyFont="1" applyBorder="1"/>
    <xf numFmtId="0" fontId="33" fillId="0" borderId="16" xfId="11" applyFont="1" applyBorder="1" applyAlignment="1">
      <alignment horizontal="center"/>
    </xf>
    <xf numFmtId="49" fontId="33" fillId="0" borderId="4" xfId="11" applyNumberFormat="1" applyFont="1" applyBorder="1" applyAlignment="1">
      <alignment horizontal="center"/>
    </xf>
    <xf numFmtId="170" fontId="33" fillId="0" borderId="4" xfId="11" applyNumberFormat="1" applyFont="1" applyBorder="1" applyAlignment="1">
      <alignment horizontal="center"/>
    </xf>
    <xf numFmtId="3" fontId="33" fillId="0" borderId="4" xfId="11" applyNumberFormat="1" applyFont="1" applyBorder="1" applyAlignment="1">
      <alignment horizontal="left"/>
    </xf>
    <xf numFmtId="3" fontId="33" fillId="0" borderId="4" xfId="11" applyNumberFormat="1" applyFont="1" applyBorder="1" applyAlignment="1">
      <alignment horizontal="right"/>
    </xf>
    <xf numFmtId="3" fontId="35" fillId="0" borderId="0" xfId="11" applyNumberFormat="1" applyFont="1" applyAlignment="1">
      <alignment horizontal="center"/>
    </xf>
    <xf numFmtId="171" fontId="33" fillId="0" borderId="0" xfId="11" applyNumberFormat="1" applyFont="1" applyAlignment="1">
      <alignment horizontal="center"/>
    </xf>
    <xf numFmtId="37" fontId="33" fillId="11" borderId="0" xfId="11" applyNumberFormat="1" applyFont="1" applyFill="1"/>
    <xf numFmtId="37" fontId="33" fillId="0" borderId="15" xfId="11" applyNumberFormat="1" applyFont="1" applyBorder="1"/>
    <xf numFmtId="37" fontId="33" fillId="0" borderId="0" xfId="11" applyNumberFormat="1" applyFont="1"/>
    <xf numFmtId="3" fontId="35" fillId="0" borderId="0" xfId="11" applyNumberFormat="1" applyFont="1"/>
    <xf numFmtId="37" fontId="34" fillId="12" borderId="15" xfId="11" applyNumberFormat="1" applyFont="1" applyFill="1" applyBorder="1"/>
    <xf numFmtId="37" fontId="33" fillId="4" borderId="0" xfId="11" applyNumberFormat="1" applyFont="1" applyFill="1"/>
    <xf numFmtId="49" fontId="33" fillId="8" borderId="0" xfId="11" applyNumberFormat="1" applyFont="1" applyFill="1" applyAlignment="1">
      <alignment horizontal="center"/>
    </xf>
    <xf numFmtId="37" fontId="33" fillId="4" borderId="15" xfId="11" applyNumberFormat="1" applyFont="1" applyFill="1" applyBorder="1"/>
    <xf numFmtId="170" fontId="33" fillId="0" borderId="0" xfId="11" applyNumberFormat="1" applyFont="1" applyAlignment="1">
      <alignment horizontal="center"/>
    </xf>
    <xf numFmtId="37" fontId="33" fillId="0" borderId="2" xfId="11" applyNumberFormat="1" applyFont="1" applyBorder="1"/>
    <xf numFmtId="37" fontId="33" fillId="0" borderId="3" xfId="11" applyNumberFormat="1" applyFont="1" applyBorder="1"/>
    <xf numFmtId="49" fontId="33" fillId="0" borderId="0" xfId="11" applyNumberFormat="1" applyFont="1"/>
    <xf numFmtId="1" fontId="33" fillId="0" borderId="0" xfId="11" applyNumberFormat="1" applyFont="1" applyAlignment="1">
      <alignment horizontal="center"/>
    </xf>
    <xf numFmtId="172" fontId="33" fillId="8" borderId="0" xfId="11" applyNumberFormat="1" applyFont="1" applyFill="1"/>
    <xf numFmtId="172" fontId="33" fillId="0" borderId="0" xfId="11" applyNumberFormat="1" applyFont="1"/>
    <xf numFmtId="172" fontId="35" fillId="0" borderId="0" xfId="11" applyNumberFormat="1" applyFont="1"/>
    <xf numFmtId="0" fontId="33" fillId="0" borderId="0" xfId="11" applyFont="1" applyAlignment="1">
      <alignment horizontal="center"/>
    </xf>
    <xf numFmtId="49" fontId="32" fillId="0" borderId="0" xfId="11" applyNumberFormat="1" applyFont="1"/>
    <xf numFmtId="3" fontId="33" fillId="0" borderId="0" xfId="11" applyNumberFormat="1" applyFont="1" applyFill="1"/>
    <xf numFmtId="3" fontId="34" fillId="0" borderId="0" xfId="11" applyNumberFormat="1" applyFont="1" applyFill="1"/>
    <xf numFmtId="3" fontId="36" fillId="0" borderId="0" xfId="11" applyNumberFormat="1" applyFont="1" applyFill="1"/>
    <xf numFmtId="3" fontId="39" fillId="0" borderId="0" xfId="11" applyNumberFormat="1" applyFont="1" applyFill="1"/>
    <xf numFmtId="3" fontId="33" fillId="0" borderId="4" xfId="11" applyNumberFormat="1" applyFont="1" applyFill="1" applyBorder="1" applyAlignment="1">
      <alignment horizontal="right"/>
    </xf>
    <xf numFmtId="3" fontId="34" fillId="0" borderId="4" xfId="11" applyNumberFormat="1" applyFont="1" applyFill="1" applyBorder="1" applyAlignment="1">
      <alignment horizontal="right"/>
    </xf>
    <xf numFmtId="37" fontId="33" fillId="0" borderId="0" xfId="11" applyNumberFormat="1" applyFont="1" applyFill="1"/>
    <xf numFmtId="37" fontId="34" fillId="0" borderId="15" xfId="11" applyNumberFormat="1" applyFont="1" applyFill="1" applyBorder="1"/>
    <xf numFmtId="37" fontId="33" fillId="0" borderId="2" xfId="11" applyNumberFormat="1" applyFont="1" applyFill="1" applyBorder="1"/>
    <xf numFmtId="37" fontId="34" fillId="0" borderId="3" xfId="11" applyNumberFormat="1" applyFont="1" applyFill="1" applyBorder="1"/>
    <xf numFmtId="37" fontId="34" fillId="0" borderId="0" xfId="11" applyNumberFormat="1" applyFont="1" applyFill="1"/>
    <xf numFmtId="172" fontId="33" fillId="0" borderId="0" xfId="11" applyNumberFormat="1" applyFont="1" applyFill="1"/>
    <xf numFmtId="0" fontId="32" fillId="0" borderId="0" xfId="11" applyFont="1" applyFill="1"/>
    <xf numFmtId="172" fontId="34" fillId="0" borderId="0" xfId="11" applyNumberFormat="1" applyFont="1" applyFill="1"/>
    <xf numFmtId="0" fontId="40" fillId="0" borderId="0" xfId="11" applyFont="1" applyFill="1"/>
    <xf numFmtId="3" fontId="34" fillId="0" borderId="4" xfId="11" applyNumberFormat="1" applyFont="1" applyFill="1" applyBorder="1"/>
    <xf numFmtId="37" fontId="34" fillId="0" borderId="0" xfId="0" applyNumberFormat="1" applyFont="1"/>
    <xf numFmtId="0" fontId="20" fillId="0" borderId="0" xfId="3" applyFont="1"/>
    <xf numFmtId="167" fontId="20" fillId="0" borderId="0" xfId="3" applyNumberFormat="1" applyFont="1"/>
    <xf numFmtId="3" fontId="41" fillId="0" borderId="0" xfId="9" applyNumberFormat="1" applyFont="1"/>
    <xf numFmtId="3" fontId="2" fillId="5" borderId="2" xfId="3" applyNumberFormat="1" applyFill="1" applyBorder="1" applyAlignment="1">
      <alignment horizontal="right"/>
    </xf>
    <xf numFmtId="10" fontId="0" fillId="4" borderId="0" xfId="8" applyNumberFormat="1" applyFont="1" applyFill="1" applyAlignment="1">
      <alignment horizontal="center"/>
    </xf>
    <xf numFmtId="0" fontId="43" fillId="0" borderId="0" xfId="9" applyFont="1"/>
    <xf numFmtId="0" fontId="47" fillId="0" borderId="2" xfId="9" applyFont="1" applyBorder="1" applyAlignment="1">
      <alignment vertical="center"/>
    </xf>
    <xf numFmtId="17" fontId="47" fillId="0" borderId="2" xfId="9" applyNumberFormat="1" applyFont="1" applyBorder="1" applyAlignment="1">
      <alignment horizontal="center" vertical="center"/>
    </xf>
    <xf numFmtId="0" fontId="47" fillId="0" borderId="2" xfId="9" applyFont="1" applyBorder="1" applyAlignment="1">
      <alignment horizontal="center" vertical="center"/>
    </xf>
    <xf numFmtId="0" fontId="43" fillId="0" borderId="0" xfId="9" quotePrefix="1" applyFont="1" applyAlignment="1">
      <alignment horizontal="left" vertical="center"/>
    </xf>
    <xf numFmtId="167" fontId="48" fillId="0" borderId="0" xfId="4" applyNumberFormat="1" applyFont="1" applyFill="1" applyAlignment="1">
      <alignment vertical="center"/>
    </xf>
    <xf numFmtId="167" fontId="43" fillId="0" borderId="0" xfId="9" applyNumberFormat="1" applyFont="1" applyAlignment="1">
      <alignment vertical="center"/>
    </xf>
    <xf numFmtId="167" fontId="43" fillId="0" borderId="0" xfId="9" applyNumberFormat="1" applyFont="1"/>
    <xf numFmtId="0" fontId="43" fillId="0" borderId="0" xfId="9" applyFont="1" applyAlignment="1">
      <alignment vertical="center"/>
    </xf>
    <xf numFmtId="167" fontId="43" fillId="0" borderId="0" xfId="4" applyNumberFormat="1" applyFont="1" applyFill="1"/>
    <xf numFmtId="167" fontId="43" fillId="0" borderId="0" xfId="4" applyNumberFormat="1" applyFont="1" applyFill="1" applyAlignment="1">
      <alignment vertical="center"/>
    </xf>
    <xf numFmtId="0" fontId="43" fillId="0" borderId="0" xfId="9" applyFont="1" applyAlignment="1">
      <alignment horizontal="center"/>
    </xf>
    <xf numFmtId="0" fontId="42" fillId="0" borderId="2" xfId="9" applyFont="1" applyBorder="1" applyAlignment="1">
      <alignment horizontal="left" vertical="center"/>
    </xf>
    <xf numFmtId="167" fontId="42" fillId="0" borderId="2" xfId="4" applyNumberFormat="1" applyFont="1" applyFill="1" applyBorder="1" applyAlignment="1">
      <alignment vertical="center"/>
    </xf>
    <xf numFmtId="167" fontId="42" fillId="0" borderId="2" xfId="9" applyNumberFormat="1" applyFont="1" applyBorder="1" applyAlignment="1">
      <alignment vertical="center"/>
    </xf>
    <xf numFmtId="0" fontId="42" fillId="0" borderId="0" xfId="9" quotePrefix="1" applyFont="1" applyAlignment="1">
      <alignment horizontal="left" vertical="center"/>
    </xf>
    <xf numFmtId="167" fontId="46" fillId="0" borderId="0" xfId="4" applyNumberFormat="1" applyFont="1" applyFill="1" applyAlignment="1">
      <alignment vertical="center"/>
    </xf>
    <xf numFmtId="167" fontId="42" fillId="0" borderId="0" xfId="9" applyNumberFormat="1" applyFont="1" applyAlignment="1">
      <alignment vertical="center"/>
    </xf>
    <xf numFmtId="0" fontId="42" fillId="0" borderId="2" xfId="9" applyFont="1" applyBorder="1" applyAlignment="1">
      <alignment vertical="center"/>
    </xf>
    <xf numFmtId="167" fontId="49" fillId="0" borderId="2" xfId="4" applyNumberFormat="1" applyFont="1" applyFill="1" applyBorder="1" applyAlignment="1">
      <alignment vertical="center"/>
    </xf>
    <xf numFmtId="167" fontId="49" fillId="0" borderId="2" xfId="9" applyNumberFormat="1" applyFont="1" applyBorder="1" applyAlignment="1">
      <alignment vertical="center"/>
    </xf>
    <xf numFmtId="168" fontId="50" fillId="0" borderId="0" xfId="9" applyNumberFormat="1" applyFont="1" applyAlignment="1">
      <alignment horizontal="right" vertical="center"/>
    </xf>
    <xf numFmtId="0" fontId="42" fillId="0" borderId="10" xfId="9" applyFont="1" applyBorder="1" applyAlignment="1">
      <alignment vertical="center"/>
    </xf>
    <xf numFmtId="5" fontId="42" fillId="0" borderId="10" xfId="9" applyNumberFormat="1" applyFont="1" applyBorder="1" applyAlignment="1">
      <alignment vertical="center"/>
    </xf>
    <xf numFmtId="0" fontId="51" fillId="0" borderId="0" xfId="9" applyFont="1" applyAlignment="1">
      <alignment horizontal="left"/>
    </xf>
    <xf numFmtId="0" fontId="42" fillId="0" borderId="2" xfId="9" applyFont="1" applyBorder="1" applyAlignment="1">
      <alignment horizontal="left" vertical="center" wrapText="1"/>
    </xf>
    <xf numFmtId="17" fontId="47" fillId="0" borderId="2" xfId="9" applyNumberFormat="1" applyFont="1" applyBorder="1" applyAlignment="1">
      <alignment vertical="center"/>
    </xf>
    <xf numFmtId="0" fontId="42" fillId="0" borderId="0" xfId="9" applyFont="1" applyAlignment="1">
      <alignment horizontal="left" vertical="center" wrapText="1"/>
    </xf>
    <xf numFmtId="5" fontId="42" fillId="0" borderId="0" xfId="9" applyNumberFormat="1" applyFont="1" applyAlignment="1">
      <alignment vertical="center"/>
    </xf>
    <xf numFmtId="0" fontId="52" fillId="0" borderId="0" xfId="9" applyFont="1"/>
    <xf numFmtId="0" fontId="53" fillId="0" borderId="0" xfId="9" applyFont="1" applyAlignment="1">
      <alignment horizontal="center"/>
    </xf>
    <xf numFmtId="0" fontId="51" fillId="0" borderId="0" xfId="9" applyFont="1"/>
    <xf numFmtId="168" fontId="43" fillId="0" borderId="0" xfId="9" applyNumberFormat="1" applyFont="1"/>
    <xf numFmtId="174" fontId="43" fillId="0" borderId="0" xfId="9" applyNumberFormat="1" applyFont="1"/>
    <xf numFmtId="44" fontId="43" fillId="0" borderId="0" xfId="2" applyNumberFormat="1" applyFont="1" applyAlignment="1">
      <alignment vertical="center"/>
    </xf>
    <xf numFmtId="165" fontId="43" fillId="0" borderId="0" xfId="2" applyNumberFormat="1" applyFont="1"/>
    <xf numFmtId="5" fontId="43" fillId="0" borderId="0" xfId="9" applyNumberFormat="1" applyFont="1"/>
    <xf numFmtId="175" fontId="43" fillId="0" borderId="0" xfId="9" applyNumberFormat="1" applyFont="1"/>
    <xf numFmtId="0" fontId="7" fillId="0" borderId="0" xfId="9" quotePrefix="1" applyAlignment="1">
      <alignment horizontal="left" vertical="top" wrapText="1"/>
    </xf>
    <xf numFmtId="0" fontId="7" fillId="0" borderId="0" xfId="9" applyAlignment="1">
      <alignment horizontal="left" vertical="top" wrapText="1"/>
    </xf>
    <xf numFmtId="0" fontId="25" fillId="9" borderId="0" xfId="9" applyFont="1" applyFill="1" applyAlignment="1">
      <alignment horizontal="center"/>
    </xf>
    <xf numFmtId="0" fontId="29" fillId="9" borderId="0" xfId="9" applyFont="1" applyFill="1" applyAlignment="1">
      <alignment horizontal="center"/>
    </xf>
    <xf numFmtId="0" fontId="7" fillId="0" borderId="0" xfId="9" applyAlignment="1">
      <alignment horizontal="center" wrapText="1"/>
    </xf>
    <xf numFmtId="0" fontId="7" fillId="0" borderId="0" xfId="9" applyAlignment="1">
      <alignment horizontal="center"/>
    </xf>
    <xf numFmtId="0" fontId="28" fillId="0" borderId="0" xfId="9" applyFont="1" applyAlignment="1">
      <alignment horizontal="center" vertical="center" wrapText="1"/>
    </xf>
    <xf numFmtId="0" fontId="28" fillId="0" borderId="0" xfId="9" applyFont="1" applyAlignment="1">
      <alignment horizontal="center"/>
    </xf>
    <xf numFmtId="0" fontId="16" fillId="0" borderId="0" xfId="0" applyFont="1" applyAlignment="1">
      <alignment horizontal="left"/>
    </xf>
    <xf numFmtId="0" fontId="3" fillId="0" borderId="0" xfId="3" applyFont="1" applyAlignment="1">
      <alignment horizontal="left" vertical="top"/>
    </xf>
    <xf numFmtId="0" fontId="2" fillId="0" borderId="1" xfId="3" applyBorder="1" applyAlignment="1">
      <alignment horizontal="center"/>
    </xf>
    <xf numFmtId="0" fontId="2" fillId="0" borderId="2" xfId="3" applyBorder="1" applyAlignment="1">
      <alignment horizontal="center"/>
    </xf>
    <xf numFmtId="0" fontId="2" fillId="0" borderId="3" xfId="3" applyBorder="1" applyAlignment="1">
      <alignment horizontal="center"/>
    </xf>
    <xf numFmtId="0" fontId="42" fillId="0" borderId="0" xfId="9" applyFont="1" applyAlignment="1">
      <alignment horizontal="center"/>
    </xf>
    <xf numFmtId="0" fontId="44" fillId="0" borderId="0" xfId="9" applyFont="1" applyAlignment="1">
      <alignment horizontal="center"/>
    </xf>
    <xf numFmtId="0" fontId="45" fillId="0" borderId="0" xfId="9" applyFont="1" applyAlignment="1">
      <alignment horizontal="center"/>
    </xf>
    <xf numFmtId="173" fontId="46" fillId="0" borderId="0" xfId="9" applyNumberFormat="1" applyFont="1" applyAlignment="1">
      <alignment horizontal="center"/>
    </xf>
  </cellXfs>
  <cellStyles count="12">
    <cellStyle name="Comma" xfId="1" builtinId="3"/>
    <cellStyle name="Comma 2" xfId="4" xr:uid="{C9A1AD3C-CC20-4BF3-9A6A-6C05D50DC298}"/>
    <cellStyle name="Currency" xfId="2" builtinId="4"/>
    <cellStyle name="Currency 2" xfId="7" xr:uid="{9493FFAE-CBB6-4640-A30B-71AE867EC1A8}"/>
    <cellStyle name="Normal" xfId="0" builtinId="0"/>
    <cellStyle name="Normal 2" xfId="3" xr:uid="{61A5C92F-9C46-41C9-9429-EDB81F37B1F5}"/>
    <cellStyle name="Normal 2 3" xfId="9" xr:uid="{AF6535A7-F388-4CBF-98CF-B5FA43D83929}"/>
    <cellStyle name="Normal 3" xfId="5" xr:uid="{515F3E6A-1CE7-4022-8B64-717F3272B9DE}"/>
    <cellStyle name="Normal 4" xfId="6" xr:uid="{D8247AC8-6958-4D7C-B42B-C39CBA486101}"/>
    <cellStyle name="Normal 5" xfId="11" xr:uid="{DC456E2C-7694-4668-8093-3C86FEF198EB}"/>
    <cellStyle name="Normal 8" xfId="10" xr:uid="{9566D452-F529-4F92-A59C-7EF8C8A4C314}"/>
    <cellStyle name="Percent 2" xfId="8" xr:uid="{2F3598CF-3398-4599-A7FA-CE8C42E75B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21.12%20CBR/2.18%20ECBR%20-%20Power%20Supply/Save%20dont%20send/12E-2021.12_Avista%20Electric%20Pul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21.12%20CBR/2.18%20ECBR%20-%20Power%20Supply/Save%20dont%20send/Dec%202021%20WA%20%20ID%20Actual%20Deferrals%20Updated%2010.01.2021%20BPA%20Change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ias"/>
      <sheetName val="Data"/>
      <sheetName val="E-CHK"/>
      <sheetName val="E-CHK-UI"/>
      <sheetName val="E-ALL"/>
      <sheetName val="E-OPS"/>
      <sheetName val="E-456"/>
      <sheetName val="E-555"/>
      <sheetName val="E-557"/>
      <sheetName val="E-908"/>
      <sheetName val="E-INT"/>
      <sheetName val="E-FIT"/>
      <sheetName val="E-SCM"/>
      <sheetName val="E-DTE"/>
      <sheetName val="E-OTX"/>
      <sheetName val="E-PLT"/>
      <sheetName val="E-APL"/>
      <sheetName val="E-DEPX"/>
      <sheetName val="E-AMTX"/>
      <sheetName val="E-ADEP"/>
      <sheetName val="E-AAMT"/>
      <sheetName val="C-GPL"/>
      <sheetName val="C-IPL"/>
      <sheetName val="C-DTX"/>
      <sheetName val="C-WKC"/>
      <sheetName val="E-ROR"/>
    </sheetNames>
    <sheetDataSet>
      <sheetData sheetId="0"/>
      <sheetData sheetId="1">
        <row r="2">
          <cell r="H2">
            <v>12</v>
          </cell>
          <cell r="S2" t="str">
            <v>Results of Operations - 12E</v>
          </cell>
        </row>
        <row r="3">
          <cell r="H3" t="str">
            <v>E</v>
          </cell>
        </row>
        <row r="4">
          <cell r="H4" t="str">
            <v>For Twelve Months Ended December 31, 2021</v>
          </cell>
        </row>
        <row r="5">
          <cell r="H5" t="str">
            <v>Ending Balance Basis</v>
          </cell>
        </row>
      </sheetData>
      <sheetData sheetId="2"/>
      <sheetData sheetId="3"/>
      <sheetData sheetId="4">
        <row r="7">
          <cell r="D7"/>
          <cell r="E7"/>
          <cell r="G7"/>
          <cell r="H7"/>
          <cell r="I7"/>
          <cell r="J7"/>
        </row>
        <row r="8">
          <cell r="C8">
            <v>1</v>
          </cell>
          <cell r="D8" t="str">
            <v>Input</v>
          </cell>
          <cell r="E8" t="str">
            <v>Production/Transmission  Ratio</v>
          </cell>
          <cell r="F8" t="str">
            <v>01-01-2021 thru 12-31-2021</v>
          </cell>
          <cell r="G8">
            <v>1</v>
          </cell>
          <cell r="H8">
            <v>0.65529999999999999</v>
          </cell>
          <cell r="I8">
            <v>0.34470000000000001</v>
          </cell>
          <cell r="J8" t="str">
            <v xml:space="preserve"> </v>
          </cell>
        </row>
        <row r="9">
          <cell r="C9"/>
          <cell r="D9"/>
          <cell r="E9"/>
          <cell r="G9"/>
          <cell r="H9"/>
          <cell r="I9"/>
          <cell r="J9"/>
        </row>
        <row r="10">
          <cell r="C10"/>
          <cell r="D10"/>
          <cell r="E10"/>
          <cell r="G10"/>
          <cell r="H10"/>
          <cell r="I10"/>
          <cell r="J10"/>
        </row>
        <row r="11">
          <cell r="D11" t="str">
            <v>Input</v>
          </cell>
          <cell r="E11" t="str">
            <v>Number of Customers</v>
          </cell>
          <cell r="F11" t="str">
            <v>12-01-2021 thru 12-31-2021</v>
          </cell>
          <cell r="G11">
            <v>405775</v>
          </cell>
          <cell r="H11">
            <v>264439</v>
          </cell>
          <cell r="I11">
            <v>141336</v>
          </cell>
          <cell r="J11"/>
        </row>
        <row r="12">
          <cell r="C12">
            <v>2</v>
          </cell>
          <cell r="E12" t="str">
            <v xml:space="preserve">  Percent</v>
          </cell>
          <cell r="G12">
            <v>1</v>
          </cell>
          <cell r="H12">
            <v>0.65168999999999999</v>
          </cell>
          <cell r="I12">
            <v>0.34831000000000001</v>
          </cell>
          <cell r="J12"/>
        </row>
        <row r="13">
          <cell r="C13"/>
          <cell r="E13"/>
          <cell r="G13"/>
          <cell r="H13"/>
          <cell r="I13"/>
          <cell r="J13"/>
        </row>
        <row r="14">
          <cell r="C14"/>
          <cell r="D14"/>
          <cell r="E14"/>
          <cell r="G14"/>
          <cell r="H14"/>
          <cell r="I14"/>
          <cell r="J14"/>
        </row>
        <row r="15">
          <cell r="D15" t="str">
            <v>E-OPS</v>
          </cell>
          <cell r="E15" t="str">
            <v>Direct Distribution Operating Expense</v>
          </cell>
          <cell r="F15" t="str">
            <v>01-01-2021 thru 12-31-2021</v>
          </cell>
          <cell r="G15">
            <v>29962128</v>
          </cell>
          <cell r="H15">
            <v>17630447</v>
          </cell>
          <cell r="I15">
            <v>12331681</v>
          </cell>
          <cell r="J15"/>
        </row>
        <row r="16">
          <cell r="C16">
            <v>3</v>
          </cell>
          <cell r="E16" t="str">
            <v xml:space="preserve">  Percent</v>
          </cell>
          <cell r="G16">
            <v>1</v>
          </cell>
          <cell r="H16">
            <v>0.58842000000000005</v>
          </cell>
          <cell r="I16">
            <v>0.41158</v>
          </cell>
          <cell r="J16"/>
        </row>
        <row r="17">
          <cell r="C17"/>
          <cell r="E17"/>
          <cell r="G17"/>
          <cell r="H17"/>
          <cell r="I17"/>
          <cell r="J17"/>
        </row>
        <row r="18">
          <cell r="C18"/>
          <cell r="D18"/>
          <cell r="E18"/>
          <cell r="G18"/>
          <cell r="H18"/>
          <cell r="I18"/>
          <cell r="J18"/>
        </row>
        <row r="19">
          <cell r="C19"/>
          <cell r="D19" t="str">
            <v>Input</v>
          </cell>
          <cell r="E19" t="str">
            <v>Jurisdictional 4-Factor Ratio</v>
          </cell>
          <cell r="F19" t="str">
            <v>01-01-2021 thru 12-31-2021</v>
          </cell>
          <cell r="G19"/>
          <cell r="H19"/>
          <cell r="I19"/>
          <cell r="J19"/>
        </row>
        <row r="20">
          <cell r="C20"/>
          <cell r="D20"/>
          <cell r="E20" t="str">
            <v xml:space="preserve">   Direct O &amp; M Accts 500 - 598</v>
          </cell>
          <cell r="F20"/>
          <cell r="G20">
            <v>28881614</v>
          </cell>
          <cell r="H20">
            <v>16720518</v>
          </cell>
          <cell r="I20">
            <v>12161096</v>
          </cell>
          <cell r="J20"/>
        </row>
        <row r="21">
          <cell r="C21"/>
          <cell r="D21"/>
          <cell r="E21" t="str">
            <v xml:space="preserve">   Direct O &amp; M Accts 901 - 935</v>
          </cell>
          <cell r="F21"/>
          <cell r="G21">
            <v>41330083</v>
          </cell>
          <cell r="H21">
            <v>28709390</v>
          </cell>
          <cell r="I21">
            <v>12620693</v>
          </cell>
          <cell r="J21"/>
        </row>
        <row r="22">
          <cell r="C22"/>
          <cell r="D22"/>
          <cell r="E22" t="str">
            <v>Total</v>
          </cell>
          <cell r="F22"/>
          <cell r="G22">
            <v>70211697</v>
          </cell>
          <cell r="H22">
            <v>45429908</v>
          </cell>
          <cell r="I22">
            <v>24781789</v>
          </cell>
          <cell r="J22"/>
        </row>
        <row r="23">
          <cell r="C23"/>
          <cell r="D23"/>
          <cell r="E23" t="str">
            <v>Percentage</v>
          </cell>
          <cell r="F23"/>
          <cell r="G23">
            <v>1</v>
          </cell>
          <cell r="H23">
            <v>0.64703999999999995</v>
          </cell>
          <cell r="I23">
            <v>0.35296</v>
          </cell>
          <cell r="J23"/>
        </row>
        <row r="24">
          <cell r="C24"/>
          <cell r="D24"/>
          <cell r="E24"/>
          <cell r="F24"/>
          <cell r="G24"/>
          <cell r="H24"/>
          <cell r="I24"/>
          <cell r="J24"/>
        </row>
        <row r="25">
          <cell r="C25"/>
          <cell r="D25"/>
          <cell r="E25" t="str">
            <v xml:space="preserve">   Direct Labor Accts 500 - 598</v>
          </cell>
          <cell r="F25"/>
          <cell r="G25">
            <v>11062279</v>
          </cell>
          <cell r="H25">
            <v>7376236</v>
          </cell>
          <cell r="I25">
            <v>3686043</v>
          </cell>
          <cell r="J25"/>
        </row>
        <row r="26">
          <cell r="C26"/>
          <cell r="D26"/>
          <cell r="E26" t="str">
            <v xml:space="preserve">   Direct Labor Accts 901 - 935</v>
          </cell>
          <cell r="F26"/>
          <cell r="G26">
            <v>6332931</v>
          </cell>
          <cell r="H26">
            <v>4359405</v>
          </cell>
          <cell r="I26">
            <v>1973526</v>
          </cell>
          <cell r="J26"/>
        </row>
        <row r="27">
          <cell r="C27"/>
          <cell r="D27"/>
          <cell r="E27" t="str">
            <v>Total</v>
          </cell>
          <cell r="F27"/>
          <cell r="G27">
            <v>17395210</v>
          </cell>
          <cell r="H27">
            <v>11735641</v>
          </cell>
          <cell r="I27">
            <v>5659569</v>
          </cell>
          <cell r="J27"/>
        </row>
        <row r="28">
          <cell r="C28"/>
          <cell r="D28"/>
          <cell r="E28" t="str">
            <v>Percentage</v>
          </cell>
          <cell r="F28"/>
          <cell r="G28">
            <v>1</v>
          </cell>
          <cell r="H28">
            <v>0.67464999999999997</v>
          </cell>
          <cell r="I28">
            <v>0.32534999999999997</v>
          </cell>
          <cell r="J28"/>
        </row>
        <row r="29">
          <cell r="C29"/>
          <cell r="D29"/>
          <cell r="E29"/>
          <cell r="F29"/>
          <cell r="G29"/>
          <cell r="H29"/>
          <cell r="I29"/>
          <cell r="J29"/>
        </row>
        <row r="30">
          <cell r="C30"/>
          <cell r="D30"/>
          <cell r="E30" t="str">
            <v xml:space="preserve">   Number of Customers</v>
          </cell>
          <cell r="F30"/>
          <cell r="G30">
            <v>405775</v>
          </cell>
          <cell r="H30">
            <v>264439</v>
          </cell>
          <cell r="I30">
            <v>141336</v>
          </cell>
          <cell r="J30"/>
        </row>
        <row r="31">
          <cell r="C31"/>
          <cell r="D31"/>
          <cell r="E31" t="str">
            <v>Percentage</v>
          </cell>
          <cell r="F31"/>
          <cell r="G31">
            <v>1</v>
          </cell>
          <cell r="H31">
            <v>0.65168999999999999</v>
          </cell>
          <cell r="I31">
            <v>0.34831000000000001</v>
          </cell>
          <cell r="J31"/>
        </row>
        <row r="32">
          <cell r="C32"/>
          <cell r="D32"/>
          <cell r="E32"/>
          <cell r="F32"/>
          <cell r="G32"/>
          <cell r="H32"/>
          <cell r="I32"/>
          <cell r="J32"/>
        </row>
        <row r="33">
          <cell r="C33"/>
          <cell r="D33"/>
          <cell r="E33" t="str">
            <v xml:space="preserve">   Net Direct Plant</v>
          </cell>
          <cell r="F33"/>
          <cell r="G33">
            <v>1447497356</v>
          </cell>
          <cell r="H33">
            <v>993951438</v>
          </cell>
          <cell r="I33">
            <v>453545918</v>
          </cell>
          <cell r="J33"/>
        </row>
        <row r="34">
          <cell r="C34"/>
          <cell r="D34"/>
          <cell r="E34" t="str">
            <v>Percentage</v>
          </cell>
          <cell r="F34"/>
          <cell r="G34">
            <v>1</v>
          </cell>
          <cell r="H34">
            <v>0.68667</v>
          </cell>
          <cell r="I34">
            <v>0.31333</v>
          </cell>
          <cell r="J34"/>
        </row>
        <row r="35">
          <cell r="C35"/>
          <cell r="D35"/>
          <cell r="E35"/>
          <cell r="F35"/>
          <cell r="G35"/>
          <cell r="H35"/>
          <cell r="I35"/>
          <cell r="J35"/>
        </row>
        <row r="36">
          <cell r="C36"/>
          <cell r="D36"/>
          <cell r="E36" t="str">
            <v>Total Percentages</v>
          </cell>
          <cell r="G36">
            <v>4</v>
          </cell>
          <cell r="H36">
            <v>2.66005</v>
          </cell>
          <cell r="I36">
            <v>1.33995</v>
          </cell>
          <cell r="J36"/>
        </row>
        <row r="37">
          <cell r="C37">
            <v>4</v>
          </cell>
          <cell r="D37"/>
          <cell r="E37" t="str">
            <v xml:space="preserve">  Percent</v>
          </cell>
          <cell r="G37">
            <v>1</v>
          </cell>
          <cell r="H37">
            <v>0.66500999999999999</v>
          </cell>
          <cell r="I37">
            <v>0.33499000000000001</v>
          </cell>
          <cell r="J37"/>
        </row>
        <row r="38">
          <cell r="C38"/>
          <cell r="D38"/>
          <cell r="E38"/>
          <cell r="G38"/>
          <cell r="H38"/>
          <cell r="I38"/>
          <cell r="J38"/>
        </row>
        <row r="39">
          <cell r="C39"/>
          <cell r="D39"/>
          <cell r="E39"/>
          <cell r="G39"/>
          <cell r="H39"/>
          <cell r="I39"/>
          <cell r="J39"/>
        </row>
        <row r="40">
          <cell r="C40"/>
          <cell r="D40" t="str">
            <v>Input</v>
          </cell>
          <cell r="E40" t="str">
            <v>Elec/Gas North/Oregon 4-Factor</v>
          </cell>
          <cell r="F40" t="str">
            <v>01-01-2020 thru 12-31-2020</v>
          </cell>
          <cell r="G40" t="str">
            <v>Total</v>
          </cell>
          <cell r="H40" t="str">
            <v>Electric</v>
          </cell>
          <cell r="I40" t="str">
            <v>Gas North</v>
          </cell>
          <cell r="J40" t="str">
            <v>Oregon Gas</v>
          </cell>
        </row>
        <row r="41">
          <cell r="C41"/>
          <cell r="D41"/>
          <cell r="E41" t="str">
            <v xml:space="preserve">   Direct O &amp; M Accts 500 - 894</v>
          </cell>
          <cell r="F41"/>
          <cell r="G41">
            <v>86534322</v>
          </cell>
          <cell r="H41">
            <v>71831775</v>
          </cell>
          <cell r="I41">
            <v>9996688</v>
          </cell>
          <cell r="J41">
            <v>4705859</v>
          </cell>
        </row>
        <row r="42">
          <cell r="C42"/>
          <cell r="D42"/>
          <cell r="E42" t="str">
            <v xml:space="preserve">   Direct O &amp; M Accts 901 - 935</v>
          </cell>
          <cell r="F42"/>
          <cell r="G42">
            <v>56986936</v>
          </cell>
          <cell r="H42">
            <v>41483949</v>
          </cell>
          <cell r="I42">
            <v>10661146</v>
          </cell>
          <cell r="J42">
            <v>4841841</v>
          </cell>
        </row>
        <row r="43">
          <cell r="C43"/>
          <cell r="D43"/>
          <cell r="E43" t="str">
            <v xml:space="preserve">   Direct O &amp; M Accts 901 - 905 Utility 9 Only</v>
          </cell>
          <cell r="F43"/>
          <cell r="G43">
            <v>5344411</v>
          </cell>
          <cell r="H43">
            <v>3666556</v>
          </cell>
          <cell r="I43">
            <v>1677855</v>
          </cell>
          <cell r="J43">
            <v>0</v>
          </cell>
        </row>
        <row r="44">
          <cell r="C44"/>
          <cell r="D44"/>
          <cell r="E44" t="str">
            <v xml:space="preserve">   Adjustments</v>
          </cell>
          <cell r="F44"/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/>
          <cell r="D45"/>
          <cell r="E45" t="str">
            <v>Total</v>
          </cell>
          <cell r="F45"/>
          <cell r="G45">
            <v>148865669</v>
          </cell>
          <cell r="H45">
            <v>116982280</v>
          </cell>
          <cell r="I45">
            <v>22335689</v>
          </cell>
          <cell r="J45">
            <v>9547700</v>
          </cell>
        </row>
        <row r="46">
          <cell r="C46"/>
          <cell r="D46"/>
          <cell r="E46" t="str">
            <v>Percentage</v>
          </cell>
          <cell r="F46"/>
          <cell r="G46">
            <v>1</v>
          </cell>
          <cell r="H46">
            <v>0.78581999999999996</v>
          </cell>
          <cell r="I46">
            <v>0.15004000000000001</v>
          </cell>
          <cell r="J46">
            <v>6.4140000000000003E-2</v>
          </cell>
        </row>
        <row r="47">
          <cell r="C47"/>
          <cell r="D47"/>
          <cell r="E47"/>
          <cell r="F47"/>
          <cell r="G47"/>
          <cell r="H47"/>
          <cell r="I47"/>
          <cell r="J47"/>
        </row>
        <row r="48">
          <cell r="C48"/>
          <cell r="D48"/>
          <cell r="E48" t="str">
            <v xml:space="preserve">   Direct Labor Accts 500 - 894</v>
          </cell>
          <cell r="F48"/>
          <cell r="G48">
            <v>58107051</v>
          </cell>
          <cell r="H48">
            <v>43787244</v>
          </cell>
          <cell r="I48">
            <v>9876450</v>
          </cell>
          <cell r="J48">
            <v>4443357</v>
          </cell>
        </row>
        <row r="49">
          <cell r="C49"/>
          <cell r="D49"/>
          <cell r="E49" t="str">
            <v xml:space="preserve">   Direct Labor Accts 901 - 935</v>
          </cell>
          <cell r="F49"/>
          <cell r="G49">
            <v>25672539</v>
          </cell>
          <cell r="H49">
            <v>18836884</v>
          </cell>
          <cell r="I49">
            <v>3371196</v>
          </cell>
          <cell r="J49">
            <v>3464459</v>
          </cell>
        </row>
        <row r="50">
          <cell r="C50"/>
          <cell r="D50"/>
          <cell r="E50" t="str">
            <v xml:space="preserve">   Direct Labor Accts 901 - 905 Utility 9 Only</v>
          </cell>
          <cell r="F50"/>
          <cell r="G50">
            <v>6716625</v>
          </cell>
          <cell r="H50">
            <v>4683857</v>
          </cell>
          <cell r="I50">
            <v>2032768</v>
          </cell>
          <cell r="J50">
            <v>0</v>
          </cell>
        </row>
        <row r="51">
          <cell r="C51"/>
          <cell r="D51"/>
          <cell r="E51" t="str">
            <v>Total</v>
          </cell>
          <cell r="F51"/>
          <cell r="G51">
            <v>90496215</v>
          </cell>
          <cell r="H51">
            <v>67307985</v>
          </cell>
          <cell r="I51">
            <v>15280414</v>
          </cell>
          <cell r="J51">
            <v>7907816</v>
          </cell>
        </row>
        <row r="52">
          <cell r="C52"/>
          <cell r="D52"/>
          <cell r="E52" t="str">
            <v>Percentage</v>
          </cell>
          <cell r="F52"/>
          <cell r="G52">
            <v>1</v>
          </cell>
          <cell r="H52">
            <v>0.74377000000000004</v>
          </cell>
          <cell r="I52">
            <v>0.16885</v>
          </cell>
          <cell r="J52">
            <v>8.7379999999999999E-2</v>
          </cell>
        </row>
        <row r="53">
          <cell r="C53"/>
          <cell r="D53"/>
          <cell r="E53"/>
          <cell r="F53"/>
          <cell r="G53"/>
          <cell r="H53"/>
          <cell r="I53"/>
          <cell r="J53"/>
        </row>
        <row r="54">
          <cell r="C54"/>
          <cell r="D54"/>
          <cell r="E54" t="str">
            <v xml:space="preserve">   Number of Customers at</v>
          </cell>
          <cell r="F54"/>
          <cell r="G54">
            <v>767163</v>
          </cell>
          <cell r="H54">
            <v>400172</v>
          </cell>
          <cell r="I54">
            <v>262104</v>
          </cell>
          <cell r="J54">
            <v>104887</v>
          </cell>
        </row>
        <row r="55">
          <cell r="C55"/>
          <cell r="D55"/>
          <cell r="E55" t="str">
            <v>Percentage</v>
          </cell>
          <cell r="F55"/>
          <cell r="G55">
            <v>1</v>
          </cell>
          <cell r="H55">
            <v>0.52163000000000004</v>
          </cell>
          <cell r="I55">
            <v>0.34165000000000001</v>
          </cell>
          <cell r="J55">
            <v>0.13672000000000001</v>
          </cell>
        </row>
        <row r="56">
          <cell r="C56"/>
          <cell r="D56"/>
          <cell r="E56"/>
          <cell r="F56"/>
          <cell r="G56"/>
          <cell r="H56"/>
          <cell r="I56"/>
          <cell r="J56"/>
        </row>
        <row r="57">
          <cell r="C57"/>
          <cell r="D57"/>
          <cell r="E57" t="str">
            <v xml:space="preserve">   Net Direct Plant</v>
          </cell>
          <cell r="F57"/>
          <cell r="G57">
            <v>4005991635</v>
          </cell>
          <cell r="H57">
            <v>2999209274</v>
          </cell>
          <cell r="I57">
            <v>670088277</v>
          </cell>
          <cell r="J57">
            <v>336694084</v>
          </cell>
        </row>
        <row r="58">
          <cell r="C58"/>
          <cell r="D58"/>
          <cell r="E58" t="str">
            <v>Percentage</v>
          </cell>
          <cell r="F58"/>
          <cell r="G58">
            <v>1</v>
          </cell>
          <cell r="H58">
            <v>0.74868000000000001</v>
          </cell>
          <cell r="I58">
            <v>0.16727</v>
          </cell>
          <cell r="J58">
            <v>8.405E-2</v>
          </cell>
        </row>
        <row r="59">
          <cell r="C59"/>
          <cell r="D59"/>
          <cell r="E59"/>
          <cell r="F59"/>
          <cell r="G59"/>
          <cell r="H59"/>
          <cell r="I59"/>
          <cell r="J59"/>
        </row>
        <row r="60">
          <cell r="C60"/>
          <cell r="D60"/>
          <cell r="E60" t="str">
            <v>Total Percentages</v>
          </cell>
          <cell r="F60"/>
          <cell r="G60">
            <v>4</v>
          </cell>
          <cell r="H60">
            <v>2.7999000000000001</v>
          </cell>
          <cell r="I60">
            <v>0.82782</v>
          </cell>
          <cell r="J60">
            <v>0.37229000000000001</v>
          </cell>
        </row>
        <row r="61">
          <cell r="C61">
            <v>7</v>
          </cell>
          <cell r="D61"/>
          <cell r="E61" t="str">
            <v>Average  (CD AA)</v>
          </cell>
          <cell r="F61"/>
          <cell r="G61">
            <v>1</v>
          </cell>
          <cell r="H61">
            <v>0.69998000000000005</v>
          </cell>
          <cell r="I61">
            <v>0.20695</v>
          </cell>
          <cell r="J61">
            <v>9.307E-2</v>
          </cell>
        </row>
        <row r="62">
          <cell r="C62"/>
          <cell r="D62"/>
          <cell r="E62"/>
          <cell r="F62"/>
          <cell r="G62"/>
          <cell r="H62"/>
          <cell r="I62"/>
          <cell r="J62"/>
        </row>
        <row r="63">
          <cell r="C63"/>
          <cell r="D63" t="str">
            <v>Input</v>
          </cell>
          <cell r="E63" t="str">
            <v>Gas North/Oregon 4-Factor</v>
          </cell>
          <cell r="F63" t="str">
            <v>01-01-2020 thru 12-31-2020</v>
          </cell>
          <cell r="G63" t="str">
            <v>Total</v>
          </cell>
          <cell r="H63" t="str">
            <v>Electric</v>
          </cell>
          <cell r="I63" t="str">
            <v>Gas North</v>
          </cell>
          <cell r="J63" t="str">
            <v>Oregon Gas</v>
          </cell>
        </row>
        <row r="64">
          <cell r="C64"/>
          <cell r="D64"/>
          <cell r="E64" t="str">
            <v xml:space="preserve">   Direct O &amp; M Accts 500 - 894</v>
          </cell>
          <cell r="F64"/>
          <cell r="G64">
            <v>13741953</v>
          </cell>
          <cell r="H64">
            <v>0</v>
          </cell>
          <cell r="I64">
            <v>9343552</v>
          </cell>
          <cell r="J64">
            <v>4398401</v>
          </cell>
        </row>
        <row r="65">
          <cell r="C65"/>
          <cell r="D65"/>
          <cell r="E65" t="str">
            <v xml:space="preserve">   Direct O &amp; M Accts 901 - 935</v>
          </cell>
          <cell r="F65"/>
          <cell r="G65">
            <v>15267063</v>
          </cell>
          <cell r="H65">
            <v>0</v>
          </cell>
          <cell r="I65">
            <v>10498905</v>
          </cell>
          <cell r="J65">
            <v>4768158</v>
          </cell>
        </row>
        <row r="66">
          <cell r="C66"/>
          <cell r="D66"/>
          <cell r="E66" t="str">
            <v xml:space="preserve">   Direct O &amp; M Accts 901 - 905 Utility 9 Only</v>
          </cell>
          <cell r="F66"/>
          <cell r="G66">
            <v>1677855</v>
          </cell>
          <cell r="H66">
            <v>0</v>
          </cell>
          <cell r="I66">
            <v>1677855</v>
          </cell>
          <cell r="J66">
            <v>0</v>
          </cell>
        </row>
        <row r="67">
          <cell r="C67"/>
          <cell r="D67"/>
          <cell r="E67" t="str">
            <v>Total</v>
          </cell>
          <cell r="F67"/>
          <cell r="G67">
            <v>30686871</v>
          </cell>
          <cell r="H67">
            <v>0</v>
          </cell>
          <cell r="I67">
            <v>21520312</v>
          </cell>
          <cell r="J67">
            <v>9166559</v>
          </cell>
        </row>
        <row r="68">
          <cell r="C68"/>
          <cell r="D68"/>
          <cell r="E68" t="str">
            <v>Percentage</v>
          </cell>
          <cell r="F68"/>
          <cell r="G68">
            <v>1</v>
          </cell>
          <cell r="H68">
            <v>0</v>
          </cell>
          <cell r="I68">
            <v>0.70128999999999997</v>
          </cell>
          <cell r="J68">
            <v>0.29870999999999998</v>
          </cell>
        </row>
        <row r="69">
          <cell r="C69"/>
          <cell r="D69"/>
          <cell r="E69"/>
          <cell r="F69"/>
          <cell r="G69"/>
          <cell r="H69"/>
          <cell r="I69"/>
          <cell r="J69"/>
        </row>
        <row r="70">
          <cell r="C70"/>
          <cell r="D70"/>
          <cell r="E70" t="str">
            <v xml:space="preserve">   Direct Labor Accts 500 - 894</v>
          </cell>
          <cell r="F70"/>
          <cell r="G70">
            <v>9747473</v>
          </cell>
          <cell r="H70">
            <v>0</v>
          </cell>
          <cell r="I70">
            <v>6722886</v>
          </cell>
          <cell r="J70">
            <v>3024587</v>
          </cell>
        </row>
        <row r="71">
          <cell r="C71"/>
          <cell r="D71"/>
          <cell r="E71" t="str">
            <v xml:space="preserve">   Direct Labor Accts 901 - 935</v>
          </cell>
          <cell r="F71"/>
          <cell r="G71">
            <v>4242868</v>
          </cell>
          <cell r="H71">
            <v>0</v>
          </cell>
          <cell r="I71">
            <v>2092490</v>
          </cell>
          <cell r="J71">
            <v>2150378</v>
          </cell>
        </row>
        <row r="72">
          <cell r="C72"/>
          <cell r="D72"/>
          <cell r="E72" t="str">
            <v xml:space="preserve">   Direct Labor Accts 901 - 905 Utility 9 Only</v>
          </cell>
          <cell r="F72"/>
          <cell r="G72">
            <v>2032768</v>
          </cell>
          <cell r="H72">
            <v>0</v>
          </cell>
          <cell r="I72">
            <v>2032768</v>
          </cell>
          <cell r="J72">
            <v>0</v>
          </cell>
        </row>
        <row r="73">
          <cell r="C73"/>
          <cell r="D73"/>
          <cell r="E73" t="str">
            <v>Total</v>
          </cell>
          <cell r="F73"/>
          <cell r="G73">
            <v>16023109</v>
          </cell>
          <cell r="H73">
            <v>0</v>
          </cell>
          <cell r="I73">
            <v>10848144</v>
          </cell>
          <cell r="J73">
            <v>5174965</v>
          </cell>
        </row>
        <row r="74">
          <cell r="C74"/>
          <cell r="D74"/>
          <cell r="E74" t="str">
            <v>Percentage</v>
          </cell>
          <cell r="F74"/>
          <cell r="G74">
            <v>1</v>
          </cell>
          <cell r="H74">
            <v>0</v>
          </cell>
          <cell r="I74">
            <v>0.67703000000000002</v>
          </cell>
          <cell r="J74">
            <v>0.32296999999999998</v>
          </cell>
        </row>
        <row r="75">
          <cell r="C75"/>
          <cell r="D75"/>
          <cell r="E75"/>
          <cell r="F75"/>
          <cell r="G75"/>
          <cell r="H75"/>
          <cell r="I75"/>
          <cell r="J75"/>
        </row>
        <row r="76">
          <cell r="C76"/>
          <cell r="D76"/>
          <cell r="E76" t="str">
            <v xml:space="preserve">   Number of Customers at</v>
          </cell>
          <cell r="F76"/>
          <cell r="G76">
            <v>366991</v>
          </cell>
          <cell r="H76">
            <v>0</v>
          </cell>
          <cell r="I76">
            <v>262104</v>
          </cell>
          <cell r="J76">
            <v>104887</v>
          </cell>
        </row>
        <row r="77">
          <cell r="C77"/>
          <cell r="D77"/>
          <cell r="E77" t="str">
            <v>Percentage</v>
          </cell>
          <cell r="F77"/>
          <cell r="G77">
            <v>1</v>
          </cell>
          <cell r="H77">
            <v>0</v>
          </cell>
          <cell r="I77">
            <v>0.71419999999999995</v>
          </cell>
          <cell r="J77">
            <v>0.2858</v>
          </cell>
        </row>
        <row r="78">
          <cell r="C78"/>
          <cell r="D78"/>
          <cell r="E78"/>
          <cell r="F78"/>
          <cell r="G78"/>
          <cell r="H78"/>
          <cell r="I78"/>
          <cell r="J78"/>
        </row>
        <row r="79">
          <cell r="C79"/>
          <cell r="D79"/>
          <cell r="E79" t="str">
            <v xml:space="preserve">   Net Direct Plant</v>
          </cell>
          <cell r="F79"/>
          <cell r="G79">
            <v>988383327</v>
          </cell>
          <cell r="H79">
            <v>0</v>
          </cell>
          <cell r="I79">
            <v>653112453</v>
          </cell>
          <cell r="J79">
            <v>335270874</v>
          </cell>
        </row>
        <row r="80">
          <cell r="C80"/>
          <cell r="D80"/>
          <cell r="E80" t="str">
            <v>Percentage</v>
          </cell>
          <cell r="F80"/>
          <cell r="G80">
            <v>1</v>
          </cell>
          <cell r="H80">
            <v>0</v>
          </cell>
          <cell r="I80">
            <v>0.66078999999999999</v>
          </cell>
          <cell r="J80">
            <v>0.33921000000000001</v>
          </cell>
        </row>
        <row r="81">
          <cell r="C81"/>
          <cell r="D81"/>
          <cell r="E81"/>
          <cell r="F81"/>
          <cell r="G81"/>
          <cell r="H81"/>
          <cell r="I81"/>
          <cell r="J81"/>
        </row>
        <row r="82">
          <cell r="C82"/>
          <cell r="D82"/>
          <cell r="E82" t="str">
            <v>Total Percentages</v>
          </cell>
          <cell r="F82"/>
          <cell r="G82">
            <v>4</v>
          </cell>
          <cell r="H82">
            <v>0</v>
          </cell>
          <cell r="I82">
            <v>2.7532999999999999</v>
          </cell>
          <cell r="J82">
            <v>1.2466999999999999</v>
          </cell>
        </row>
        <row r="83">
          <cell r="C83">
            <v>8</v>
          </cell>
          <cell r="D83"/>
          <cell r="E83" t="str">
            <v>Average  (GD AA)</v>
          </cell>
          <cell r="F83"/>
          <cell r="G83">
            <v>1</v>
          </cell>
          <cell r="H83">
            <v>0</v>
          </cell>
          <cell r="I83">
            <v>0.68833</v>
          </cell>
          <cell r="J83">
            <v>0.31167</v>
          </cell>
        </row>
        <row r="84">
          <cell r="C84"/>
          <cell r="D84"/>
          <cell r="E84"/>
          <cell r="F84"/>
          <cell r="G84"/>
          <cell r="H84"/>
          <cell r="I84"/>
          <cell r="J84"/>
        </row>
        <row r="85">
          <cell r="C85"/>
          <cell r="D85"/>
          <cell r="E85"/>
          <cell r="G85"/>
          <cell r="H85"/>
          <cell r="I85"/>
          <cell r="J85"/>
        </row>
        <row r="86">
          <cell r="C86"/>
          <cell r="D86" t="str">
            <v>Input</v>
          </cell>
          <cell r="E86" t="str">
            <v>Elec/Gas North 4-Factor</v>
          </cell>
          <cell r="F86" t="str">
            <v>01-01-2020 thru 12-31-2020</v>
          </cell>
          <cell r="G86" t="str">
            <v>Total</v>
          </cell>
          <cell r="H86" t="str">
            <v>Electric</v>
          </cell>
          <cell r="I86" t="str">
            <v>Gas North</v>
          </cell>
          <cell r="J86" t="str">
            <v>Oregon Gas</v>
          </cell>
        </row>
        <row r="87">
          <cell r="C87"/>
          <cell r="D87"/>
          <cell r="E87" t="str">
            <v xml:space="preserve">   Direct O &amp; M Accts 500 - 894</v>
          </cell>
          <cell r="F87"/>
          <cell r="G87">
            <v>81838442</v>
          </cell>
          <cell r="H87">
            <v>71831775</v>
          </cell>
          <cell r="I87">
            <v>10006667</v>
          </cell>
          <cell r="J87">
            <v>0</v>
          </cell>
        </row>
        <row r="88">
          <cell r="C88"/>
          <cell r="D88"/>
          <cell r="E88" t="str">
            <v xml:space="preserve">   Direct O &amp; M Accts 901 - 935</v>
          </cell>
          <cell r="F88"/>
          <cell r="G88">
            <v>52145717</v>
          </cell>
          <cell r="H88">
            <v>41483949</v>
          </cell>
          <cell r="I88">
            <v>10661768</v>
          </cell>
          <cell r="J88">
            <v>0</v>
          </cell>
        </row>
        <row r="89">
          <cell r="C89"/>
          <cell r="D89"/>
          <cell r="E89" t="str">
            <v xml:space="preserve">    Adjustments</v>
          </cell>
          <cell r="F89"/>
          <cell r="G89">
            <v>0</v>
          </cell>
          <cell r="H89">
            <v>0</v>
          </cell>
          <cell r="I89">
            <v>0</v>
          </cell>
          <cell r="J89">
            <v>0</v>
          </cell>
        </row>
        <row r="90">
          <cell r="C90"/>
          <cell r="D90"/>
          <cell r="E90" t="str">
            <v>Total</v>
          </cell>
          <cell r="F90"/>
          <cell r="G90">
            <v>133984159</v>
          </cell>
          <cell r="H90">
            <v>113315724</v>
          </cell>
          <cell r="I90">
            <v>20668435</v>
          </cell>
          <cell r="J90">
            <v>0</v>
          </cell>
        </row>
        <row r="91">
          <cell r="C91"/>
          <cell r="D91"/>
          <cell r="E91" t="str">
            <v>Percentage</v>
          </cell>
          <cell r="F91"/>
          <cell r="G91">
            <v>1</v>
          </cell>
          <cell r="H91">
            <v>0.84574000000000005</v>
          </cell>
          <cell r="I91">
            <v>0.15426000000000001</v>
          </cell>
          <cell r="J91">
            <v>0</v>
          </cell>
        </row>
        <row r="92">
          <cell r="C92"/>
          <cell r="D92"/>
          <cell r="E92"/>
          <cell r="F92"/>
          <cell r="G92"/>
          <cell r="H92"/>
          <cell r="I92"/>
          <cell r="J92"/>
        </row>
        <row r="93">
          <cell r="C93"/>
          <cell r="D93"/>
          <cell r="E93" t="str">
            <v xml:space="preserve">   Direct Labor Accts 500 - 894</v>
          </cell>
          <cell r="F93"/>
          <cell r="G93">
            <v>53666504</v>
          </cell>
          <cell r="H93">
            <v>43787244</v>
          </cell>
          <cell r="I93">
            <v>9879260</v>
          </cell>
          <cell r="J93">
            <v>0</v>
          </cell>
        </row>
        <row r="94">
          <cell r="C94"/>
          <cell r="D94"/>
          <cell r="E94" t="str">
            <v xml:space="preserve">   Direct Labor Accts 901 - 935</v>
          </cell>
          <cell r="F94"/>
          <cell r="G94">
            <v>22719227</v>
          </cell>
          <cell r="H94">
            <v>18836884</v>
          </cell>
          <cell r="I94">
            <v>3882343</v>
          </cell>
          <cell r="J94">
            <v>0</v>
          </cell>
        </row>
        <row r="95">
          <cell r="C95"/>
          <cell r="D95"/>
          <cell r="E95" t="str">
            <v>Total</v>
          </cell>
          <cell r="F95"/>
          <cell r="G95">
            <v>76385731</v>
          </cell>
          <cell r="H95">
            <v>62624128</v>
          </cell>
          <cell r="I95">
            <v>13761603</v>
          </cell>
          <cell r="J95">
            <v>0</v>
          </cell>
        </row>
        <row r="96">
          <cell r="C96"/>
          <cell r="D96"/>
          <cell r="E96" t="str">
            <v>Percentage</v>
          </cell>
          <cell r="F96"/>
          <cell r="G96">
            <v>1</v>
          </cell>
          <cell r="H96">
            <v>0.81984000000000001</v>
          </cell>
          <cell r="I96">
            <v>0.18015999999999999</v>
          </cell>
          <cell r="J96">
            <v>0</v>
          </cell>
        </row>
        <row r="97">
          <cell r="C97"/>
          <cell r="D97"/>
          <cell r="E97"/>
          <cell r="F97"/>
          <cell r="G97"/>
          <cell r="H97"/>
          <cell r="I97"/>
          <cell r="J97"/>
        </row>
        <row r="98">
          <cell r="C98"/>
          <cell r="D98"/>
          <cell r="E98" t="str">
            <v xml:space="preserve">   Number of Customers at</v>
          </cell>
          <cell r="F98"/>
          <cell r="G98">
            <v>662276</v>
          </cell>
          <cell r="H98">
            <v>400172</v>
          </cell>
          <cell r="I98">
            <v>262104</v>
          </cell>
          <cell r="J98">
            <v>0</v>
          </cell>
        </row>
        <row r="99">
          <cell r="C99"/>
          <cell r="D99"/>
          <cell r="E99" t="str">
            <v>Percentage</v>
          </cell>
          <cell r="F99"/>
          <cell r="G99">
            <v>1</v>
          </cell>
          <cell r="H99">
            <v>0.60424</v>
          </cell>
          <cell r="I99">
            <v>0.39576</v>
          </cell>
          <cell r="J99">
            <v>0</v>
          </cell>
        </row>
        <row r="100">
          <cell r="C100"/>
          <cell r="D100"/>
          <cell r="E100"/>
          <cell r="F100"/>
          <cell r="G100"/>
          <cell r="H100"/>
          <cell r="I100"/>
          <cell r="J100"/>
        </row>
        <row r="101">
          <cell r="C101"/>
          <cell r="D101"/>
          <cell r="E101" t="str">
            <v xml:space="preserve">   Net Direct Plant</v>
          </cell>
          <cell r="F101"/>
          <cell r="G101">
            <v>3605436980</v>
          </cell>
          <cell r="H101">
            <v>2952324527</v>
          </cell>
          <cell r="I101">
            <v>653112453</v>
          </cell>
          <cell r="J101">
            <v>0</v>
          </cell>
        </row>
        <row r="102">
          <cell r="C102"/>
          <cell r="D102"/>
          <cell r="E102" t="str">
            <v>Percentage</v>
          </cell>
          <cell r="F102"/>
          <cell r="G102">
            <v>1</v>
          </cell>
          <cell r="H102">
            <v>0.81884999999999997</v>
          </cell>
          <cell r="I102">
            <v>0.18115000000000001</v>
          </cell>
          <cell r="J102">
            <v>0</v>
          </cell>
        </row>
        <row r="103">
          <cell r="C103"/>
          <cell r="D103"/>
          <cell r="E103"/>
          <cell r="F103"/>
          <cell r="G103"/>
          <cell r="H103"/>
          <cell r="I103"/>
          <cell r="J103"/>
        </row>
        <row r="104">
          <cell r="C104"/>
          <cell r="D104"/>
          <cell r="E104" t="str">
            <v>Total Percentages</v>
          </cell>
          <cell r="F104"/>
          <cell r="G104">
            <v>4</v>
          </cell>
          <cell r="H104">
            <v>3.08867</v>
          </cell>
          <cell r="I104">
            <v>0.91132999999999997</v>
          </cell>
          <cell r="J104">
            <v>0</v>
          </cell>
        </row>
        <row r="105">
          <cell r="C105">
            <v>9</v>
          </cell>
          <cell r="D105"/>
          <cell r="E105" t="str">
            <v>Average  (CD AN/ID/WA)</v>
          </cell>
          <cell r="F105"/>
          <cell r="G105">
            <v>1</v>
          </cell>
          <cell r="H105">
            <v>0.77217999999999998</v>
          </cell>
          <cell r="I105">
            <v>0.22781999999999999</v>
          </cell>
          <cell r="J105">
            <v>0</v>
          </cell>
        </row>
        <row r="106">
          <cell r="C106"/>
          <cell r="D106"/>
          <cell r="E106"/>
          <cell r="F106"/>
          <cell r="G106"/>
          <cell r="H106"/>
          <cell r="I106"/>
          <cell r="J106"/>
        </row>
        <row r="107">
          <cell r="C107"/>
          <cell r="D107"/>
          <cell r="E107"/>
          <cell r="G107"/>
          <cell r="H107"/>
          <cell r="I107"/>
          <cell r="J107"/>
        </row>
        <row r="108">
          <cell r="D108" t="str">
            <v>E-PLT</v>
          </cell>
          <cell r="E108" t="str">
            <v>Net Electric Distribution Plant</v>
          </cell>
          <cell r="F108" t="str">
            <v>12-01-2021 thru 12-31-2021</v>
          </cell>
          <cell r="G108">
            <v>1397372592</v>
          </cell>
          <cell r="H108">
            <v>954639430</v>
          </cell>
          <cell r="I108">
            <v>442733162</v>
          </cell>
          <cell r="J108"/>
        </row>
        <row r="109">
          <cell r="C109">
            <v>10</v>
          </cell>
          <cell r="D109"/>
          <cell r="E109" t="str">
            <v xml:space="preserve">  Percent</v>
          </cell>
          <cell r="G109">
            <v>1</v>
          </cell>
          <cell r="H109">
            <v>0.68317000000000005</v>
          </cell>
          <cell r="I109">
            <v>0.31683</v>
          </cell>
          <cell r="J109"/>
        </row>
        <row r="110">
          <cell r="C110"/>
          <cell r="D110"/>
          <cell r="E110"/>
          <cell r="G110"/>
          <cell r="H110"/>
          <cell r="I110"/>
          <cell r="J110"/>
        </row>
        <row r="111">
          <cell r="C111"/>
          <cell r="D111"/>
          <cell r="E111"/>
          <cell r="G111"/>
          <cell r="H111"/>
          <cell r="I111"/>
          <cell r="J111"/>
        </row>
        <row r="112">
          <cell r="D112"/>
          <cell r="E112" t="str">
            <v>Book Depreciation</v>
          </cell>
          <cell r="F112" t="str">
            <v>01-01-2021 thru 12-31-2021</v>
          </cell>
          <cell r="G112">
            <v>139497202</v>
          </cell>
          <cell r="H112">
            <v>92869709</v>
          </cell>
          <cell r="I112">
            <v>46627493</v>
          </cell>
          <cell r="J112"/>
        </row>
        <row r="113">
          <cell r="C113">
            <v>11</v>
          </cell>
          <cell r="E113" t="str">
            <v xml:space="preserve">  Percent</v>
          </cell>
          <cell r="G113">
            <v>1</v>
          </cell>
          <cell r="H113">
            <v>0.66574999999999995</v>
          </cell>
          <cell r="I113">
            <v>0.33424999999999999</v>
          </cell>
          <cell r="J113"/>
        </row>
        <row r="114">
          <cell r="C114"/>
          <cell r="E114"/>
          <cell r="G114"/>
          <cell r="H114"/>
          <cell r="I114"/>
          <cell r="J114"/>
        </row>
        <row r="115">
          <cell r="C115"/>
          <cell r="D115"/>
          <cell r="E115"/>
          <cell r="G115"/>
          <cell r="H115"/>
          <cell r="I115"/>
          <cell r="J115"/>
        </row>
        <row r="116">
          <cell r="D116"/>
          <cell r="E116" t="str">
            <v>Net Electric Plant (before ADFIT)</v>
          </cell>
          <cell r="F116" t="str">
            <v>12-01-2021 thru 12-31-2021</v>
          </cell>
          <cell r="G116">
            <v>3391408660</v>
          </cell>
          <cell r="H116">
            <v>2272764336</v>
          </cell>
          <cell r="I116">
            <v>1118644324</v>
          </cell>
          <cell r="J116"/>
        </row>
        <row r="117">
          <cell r="C117">
            <v>12</v>
          </cell>
          <cell r="D117"/>
          <cell r="E117" t="str">
            <v xml:space="preserve">  Percent</v>
          </cell>
          <cell r="G117">
            <v>1</v>
          </cell>
          <cell r="H117">
            <v>0.67015000000000002</v>
          </cell>
          <cell r="I117">
            <v>0.32984999999999998</v>
          </cell>
          <cell r="J117"/>
        </row>
        <row r="118">
          <cell r="C118"/>
          <cell r="D118"/>
          <cell r="E118"/>
          <cell r="G118"/>
          <cell r="H118"/>
          <cell r="I118"/>
          <cell r="J118"/>
        </row>
        <row r="119">
          <cell r="C119"/>
          <cell r="D119"/>
          <cell r="E119"/>
          <cell r="G119"/>
          <cell r="H119"/>
          <cell r="I119"/>
          <cell r="J119"/>
        </row>
        <row r="120">
          <cell r="D120" t="str">
            <v>E-PLT</v>
          </cell>
          <cell r="E120" t="str">
            <v>Net Electric General Plant</v>
          </cell>
          <cell r="F120" t="str">
            <v>12-01-2021 thru 12-31-2021</v>
          </cell>
          <cell r="G120">
            <v>293798037</v>
          </cell>
          <cell r="H120">
            <v>199514160</v>
          </cell>
          <cell r="I120">
            <v>94283877</v>
          </cell>
          <cell r="J120"/>
        </row>
        <row r="121">
          <cell r="C121">
            <v>13</v>
          </cell>
          <cell r="D121"/>
          <cell r="E121" t="str">
            <v xml:space="preserve">  Percent</v>
          </cell>
          <cell r="G121">
            <v>1</v>
          </cell>
          <cell r="H121">
            <v>0.67908999999999997</v>
          </cell>
          <cell r="I121">
            <v>0.32090999999999997</v>
          </cell>
          <cell r="J121"/>
        </row>
        <row r="122">
          <cell r="C122"/>
          <cell r="D122"/>
          <cell r="E122"/>
          <cell r="G122"/>
          <cell r="H122"/>
          <cell r="I122"/>
          <cell r="J122"/>
        </row>
        <row r="123">
          <cell r="C123"/>
          <cell r="D123"/>
          <cell r="E123" t="str">
            <v>Net Allocated Schedule M's</v>
          </cell>
          <cell r="F123" t="str">
            <v>01-01-2021 thru 12-31-2021</v>
          </cell>
          <cell r="G123">
            <v>-131158142</v>
          </cell>
          <cell r="H123">
            <v>-88878838</v>
          </cell>
          <cell r="I123">
            <v>-42279304</v>
          </cell>
          <cell r="J123"/>
        </row>
        <row r="124">
          <cell r="C124">
            <v>14</v>
          </cell>
          <cell r="D124"/>
          <cell r="E124" t="str">
            <v xml:space="preserve">  Percent</v>
          </cell>
          <cell r="G124">
            <v>1</v>
          </cell>
          <cell r="H124">
            <v>0.67764999999999997</v>
          </cell>
          <cell r="I124">
            <v>0.32235000000000003</v>
          </cell>
          <cell r="J124"/>
        </row>
        <row r="125">
          <cell r="C125"/>
          <cell r="D125"/>
          <cell r="E125"/>
          <cell r="G125"/>
          <cell r="H125"/>
          <cell r="I125"/>
          <cell r="J125"/>
        </row>
        <row r="126">
          <cell r="C126"/>
          <cell r="D126"/>
          <cell r="E126"/>
          <cell r="G126"/>
          <cell r="H126"/>
          <cell r="I126"/>
          <cell r="J126"/>
        </row>
        <row r="127">
          <cell r="C127"/>
          <cell r="D127"/>
          <cell r="E127"/>
          <cell r="G127"/>
          <cell r="H127"/>
          <cell r="I127"/>
          <cell r="J127"/>
        </row>
        <row r="128">
          <cell r="C128">
            <v>99</v>
          </cell>
          <cell r="D128" t="str">
            <v>Input</v>
          </cell>
          <cell r="E128" t="str">
            <v>Not Allocated</v>
          </cell>
          <cell r="G128">
            <v>0</v>
          </cell>
          <cell r="H128">
            <v>0</v>
          </cell>
          <cell r="I128">
            <v>0</v>
          </cell>
          <cell r="J128"/>
        </row>
        <row r="129">
          <cell r="C129"/>
          <cell r="D129"/>
          <cell r="E129" t="str">
            <v>**** The following is obsolete as of 201111 and will not be printed. ***</v>
          </cell>
          <cell r="G129"/>
          <cell r="H129"/>
          <cell r="I129"/>
          <cell r="J129"/>
        </row>
        <row r="130">
          <cell r="C130"/>
          <cell r="D130"/>
          <cell r="E130" t="str">
            <v>Situs Plant by Functional Group:</v>
          </cell>
          <cell r="G130"/>
          <cell r="H130"/>
          <cell r="I130"/>
          <cell r="J130"/>
        </row>
        <row r="131">
          <cell r="C131"/>
          <cell r="D131"/>
          <cell r="E131" t="str">
            <v>(Used to functionalize R&amp;P Property Tax for COS)</v>
          </cell>
          <cell r="G131"/>
          <cell r="H131"/>
          <cell r="I131"/>
          <cell r="J131"/>
        </row>
        <row r="132">
          <cell r="C132"/>
          <cell r="D132"/>
          <cell r="G132" t="str">
            <v>Washington</v>
          </cell>
          <cell r="H132" t="str">
            <v>Idaho</v>
          </cell>
          <cell r="I132" t="str">
            <v>Montana</v>
          </cell>
          <cell r="J132" t="str">
            <v>Oregon</v>
          </cell>
        </row>
        <row r="133">
          <cell r="C133"/>
          <cell r="D133"/>
          <cell r="E133" t="str">
            <v>Balance Date</v>
          </cell>
          <cell r="F133"/>
          <cell r="G133"/>
          <cell r="H133"/>
          <cell r="I133"/>
          <cell r="J133"/>
        </row>
        <row r="134">
          <cell r="C134"/>
          <cell r="D134" t="str">
            <v>Input</v>
          </cell>
          <cell r="E134" t="str">
            <v>Production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</row>
        <row r="135">
          <cell r="C135"/>
          <cell r="D135" t="str">
            <v>Input</v>
          </cell>
          <cell r="E135" t="str">
            <v>Transmission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</row>
        <row r="136">
          <cell r="C136"/>
          <cell r="D136" t="str">
            <v>Input</v>
          </cell>
          <cell r="E136" t="str">
            <v>Distribution</v>
          </cell>
          <cell r="G136">
            <v>0</v>
          </cell>
          <cell r="H136">
            <v>0</v>
          </cell>
          <cell r="I136">
            <v>0</v>
          </cell>
          <cell r="J136"/>
        </row>
        <row r="137">
          <cell r="C137"/>
          <cell r="D137" t="str">
            <v>Input</v>
          </cell>
          <cell r="E137" t="str">
            <v>General</v>
          </cell>
          <cell r="G137">
            <v>0</v>
          </cell>
          <cell r="H137">
            <v>0</v>
          </cell>
          <cell r="I137"/>
          <cell r="J137"/>
        </row>
        <row r="138">
          <cell r="C138"/>
          <cell r="D138"/>
          <cell r="E138" t="str">
            <v xml:space="preserve">  TOTAL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ummary  (2)"/>
      <sheetName val="Instructions"/>
      <sheetName val="Input Tab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/>
      <sheetData sheetId="2">
        <row r="54">
          <cell r="C54">
            <v>523729</v>
          </cell>
          <cell r="D54">
            <v>501047</v>
          </cell>
          <cell r="E54">
            <v>536506</v>
          </cell>
          <cell r="F54">
            <v>441255</v>
          </cell>
          <cell r="G54">
            <v>400880</v>
          </cell>
          <cell r="H54">
            <v>432739</v>
          </cell>
          <cell r="I54">
            <v>533586</v>
          </cell>
          <cell r="J54">
            <v>533857</v>
          </cell>
          <cell r="K54">
            <v>457882</v>
          </cell>
          <cell r="L54">
            <v>409808</v>
          </cell>
          <cell r="M54">
            <v>438575</v>
          </cell>
          <cell r="N54">
            <v>519183</v>
          </cell>
        </row>
        <row r="55">
          <cell r="C55">
            <v>291212</v>
          </cell>
          <cell r="D55">
            <v>272741</v>
          </cell>
          <cell r="E55">
            <v>225056</v>
          </cell>
          <cell r="F55">
            <v>200672</v>
          </cell>
          <cell r="G55">
            <v>224333</v>
          </cell>
          <cell r="H55">
            <v>285426</v>
          </cell>
          <cell r="I55">
            <v>298640</v>
          </cell>
          <cell r="J55">
            <v>270063</v>
          </cell>
          <cell r="K55">
            <v>234260</v>
          </cell>
          <cell r="L55">
            <v>259081</v>
          </cell>
          <cell r="M55">
            <v>283011</v>
          </cell>
          <cell r="N55">
            <v>312074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453843</v>
          </cell>
          <cell r="M56">
            <v>464733</v>
          </cell>
          <cell r="N56">
            <v>551297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13</v>
          </cell>
          <cell r="M57">
            <v>13</v>
          </cell>
          <cell r="N57">
            <v>13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57626-02D3-49E0-956D-DE0742818E10}">
  <dimension ref="A1:AS58"/>
  <sheetViews>
    <sheetView tabSelected="1" topLeftCell="D1" zoomScaleNormal="100" zoomScaleSheetLayoutView="85" workbookViewId="0">
      <selection activeCell="AD54" sqref="AD54"/>
    </sheetView>
  </sheetViews>
  <sheetFormatPr defaultRowHeight="15"/>
  <cols>
    <col min="1" max="1" width="34.7109375" customWidth="1"/>
    <col min="2" max="2" width="9.140625" hidden="1" customWidth="1"/>
    <col min="3" max="3" width="9.5703125" customWidth="1"/>
    <col min="4" max="4" width="12.28515625" customWidth="1"/>
    <col min="5" max="5" width="2" customWidth="1"/>
    <col min="6" max="6" width="10.85546875" bestFit="1" customWidth="1"/>
    <col min="7" max="7" width="3.7109375" customWidth="1"/>
    <col min="8" max="8" width="3.5703125" customWidth="1"/>
    <col min="9" max="9" width="1.28515625" customWidth="1"/>
    <col min="10" max="10" width="22.140625" hidden="1" customWidth="1"/>
    <col min="11" max="11" width="11.42578125" customWidth="1"/>
    <col min="12" max="12" width="7.28515625" customWidth="1"/>
    <col min="13" max="13" width="11.5703125" customWidth="1"/>
    <col min="14" max="14" width="2.42578125" customWidth="1"/>
    <col min="15" max="15" width="12.140625" customWidth="1"/>
    <col min="16" max="16" width="1.28515625" customWidth="1"/>
    <col min="17" max="17" width="11.42578125" customWidth="1"/>
    <col min="18" max="18" width="1.85546875" customWidth="1"/>
    <col min="19" max="19" width="12.28515625" customWidth="1"/>
    <col min="20" max="20" width="1.5703125" customWidth="1"/>
    <col min="21" max="21" width="30" customWidth="1"/>
    <col min="22" max="22" width="2.140625" customWidth="1"/>
    <col min="23" max="23" width="4.85546875" customWidth="1"/>
    <col min="24" max="24" width="11.28515625" customWidth="1"/>
    <col min="25" max="25" width="3.85546875" customWidth="1"/>
    <col min="26" max="26" width="13.7109375" customWidth="1"/>
    <col min="27" max="27" width="1.7109375" customWidth="1"/>
    <col min="28" max="28" width="19.42578125" customWidth="1"/>
    <col min="29" max="29" width="1.85546875" customWidth="1"/>
    <col min="30" max="30" width="20.7109375" customWidth="1"/>
    <col min="31" max="31" width="0.28515625" customWidth="1"/>
    <col min="32" max="32" width="8.85546875" hidden="1" customWidth="1"/>
    <col min="33" max="33" width="1.42578125" hidden="1" customWidth="1"/>
    <col min="34" max="34" width="5.7109375" hidden="1" customWidth="1"/>
    <col min="35" max="35" width="14.28515625" hidden="1" customWidth="1"/>
    <col min="36" max="36" width="4.7109375" hidden="1" customWidth="1"/>
    <col min="37" max="37" width="10.85546875" hidden="1" customWidth="1"/>
    <col min="38" max="38" width="1.7109375" hidden="1" customWidth="1"/>
    <col min="39" max="39" width="13.5703125" hidden="1" customWidth="1"/>
    <col min="40" max="42" width="9.42578125" hidden="1" customWidth="1"/>
    <col min="43" max="43" width="12.28515625" customWidth="1"/>
    <col min="44" max="45" width="9.140625" customWidth="1"/>
  </cols>
  <sheetData>
    <row r="1" spans="1:44" ht="16.899999999999999" customHeight="1">
      <c r="A1" s="181" t="s">
        <v>245</v>
      </c>
      <c r="B1" s="181"/>
      <c r="C1" s="181"/>
      <c r="D1" s="181"/>
      <c r="E1" s="181"/>
      <c r="F1" s="181"/>
      <c r="G1" s="181"/>
      <c r="H1" s="181"/>
      <c r="I1" s="142"/>
      <c r="J1" s="186"/>
      <c r="K1" s="297" t="s">
        <v>245</v>
      </c>
      <c r="L1" s="297"/>
      <c r="M1" s="297"/>
      <c r="N1" s="297"/>
      <c r="O1" s="297"/>
      <c r="P1" s="142"/>
      <c r="Q1" s="181"/>
      <c r="R1" s="120"/>
      <c r="S1" s="181"/>
      <c r="T1" s="142"/>
      <c r="U1" s="298" t="s">
        <v>245</v>
      </c>
      <c r="V1" s="298"/>
      <c r="W1" s="298"/>
      <c r="X1" s="298"/>
      <c r="Y1" s="298"/>
      <c r="Z1" s="298"/>
      <c r="AA1" s="142"/>
      <c r="AB1" s="181"/>
      <c r="AC1" s="120"/>
      <c r="AD1" s="181"/>
      <c r="AE1" s="142"/>
      <c r="AF1" s="181"/>
      <c r="AG1" s="298" t="s">
        <v>245</v>
      </c>
      <c r="AH1" s="298"/>
      <c r="AI1" s="298"/>
      <c r="AJ1" s="298"/>
      <c r="AK1" s="298"/>
      <c r="AL1" s="142"/>
      <c r="AM1" s="181"/>
      <c r="AN1" s="120"/>
      <c r="AO1" s="181"/>
      <c r="AP1" s="142"/>
    </row>
    <row r="2" spans="1:44" ht="14.45" customHeight="1">
      <c r="A2" s="181" t="s">
        <v>244</v>
      </c>
      <c r="B2" s="181"/>
      <c r="C2" s="181"/>
      <c r="D2" s="181"/>
      <c r="E2" s="181"/>
      <c r="F2" s="181"/>
      <c r="G2" s="181"/>
      <c r="H2" s="181"/>
      <c r="I2" s="142"/>
      <c r="J2" s="127"/>
      <c r="K2" s="298" t="s">
        <v>243</v>
      </c>
      <c r="L2" s="298"/>
      <c r="M2" s="298"/>
      <c r="N2" s="298"/>
      <c r="O2" s="298"/>
      <c r="P2" s="142"/>
      <c r="Q2" s="178"/>
      <c r="R2" s="120"/>
      <c r="S2" s="180"/>
      <c r="T2" s="142"/>
      <c r="U2" s="298" t="s">
        <v>242</v>
      </c>
      <c r="V2" s="298"/>
      <c r="W2" s="298"/>
      <c r="X2" s="298"/>
      <c r="Y2" s="298"/>
      <c r="Z2" s="298"/>
      <c r="AA2" s="142"/>
      <c r="AB2" s="178"/>
      <c r="AC2" s="120"/>
      <c r="AD2" s="176"/>
      <c r="AE2" s="142"/>
      <c r="AF2" s="127"/>
      <c r="AG2" s="297" t="s">
        <v>241</v>
      </c>
      <c r="AH2" s="297"/>
      <c r="AI2" s="297"/>
      <c r="AJ2" s="297"/>
      <c r="AK2" s="297"/>
      <c r="AL2" s="142"/>
      <c r="AM2" s="178"/>
      <c r="AN2" s="120"/>
      <c r="AO2" s="176"/>
      <c r="AP2" s="142"/>
    </row>
    <row r="3" spans="1:44" ht="29.45" customHeight="1">
      <c r="A3" s="181"/>
      <c r="B3" s="181"/>
      <c r="C3" s="181"/>
      <c r="D3" s="181"/>
      <c r="E3" s="181"/>
      <c r="F3" s="181"/>
      <c r="G3" s="181"/>
      <c r="H3" s="181"/>
      <c r="I3" s="142"/>
      <c r="J3" s="127"/>
      <c r="K3" s="299" t="s">
        <v>300</v>
      </c>
      <c r="L3" s="299"/>
      <c r="M3" s="299"/>
      <c r="N3" s="299"/>
      <c r="O3" s="299"/>
      <c r="P3" s="142"/>
      <c r="Q3" s="178"/>
      <c r="R3" s="120"/>
      <c r="S3" s="180" t="s">
        <v>238</v>
      </c>
      <c r="T3" s="142"/>
      <c r="U3" s="299" t="s">
        <v>240</v>
      </c>
      <c r="V3" s="299"/>
      <c r="W3" s="299"/>
      <c r="X3" s="299"/>
      <c r="Y3" s="299"/>
      <c r="Z3" s="299"/>
      <c r="AA3" s="142"/>
      <c r="AB3" s="178"/>
      <c r="AC3" s="120"/>
      <c r="AD3" s="185" t="s">
        <v>239</v>
      </c>
      <c r="AE3" s="142"/>
      <c r="AF3" s="127"/>
      <c r="AG3" s="297"/>
      <c r="AH3" s="297"/>
      <c r="AI3" s="297"/>
      <c r="AJ3" s="297"/>
      <c r="AK3" s="297"/>
      <c r="AL3" s="142"/>
      <c r="AM3" s="178"/>
      <c r="AN3" s="120"/>
      <c r="AO3" s="180" t="s">
        <v>238</v>
      </c>
      <c r="AP3" s="142"/>
    </row>
    <row r="4" spans="1:44" ht="14.45" customHeight="1">
      <c r="A4" s="181"/>
      <c r="B4" s="181"/>
      <c r="C4" s="181"/>
      <c r="D4" s="181"/>
      <c r="E4" s="181"/>
      <c r="F4" s="181"/>
      <c r="G4" s="181"/>
      <c r="H4" s="181"/>
      <c r="I4" s="142"/>
      <c r="J4" s="127"/>
      <c r="K4" s="299"/>
      <c r="L4" s="299"/>
      <c r="M4" s="299"/>
      <c r="N4" s="299"/>
      <c r="O4" s="299"/>
      <c r="P4" s="142"/>
      <c r="Q4" s="178"/>
      <c r="R4" s="120"/>
      <c r="S4" s="184">
        <v>2.1800000000000002</v>
      </c>
      <c r="T4" s="142"/>
      <c r="U4" s="299"/>
      <c r="V4" s="299"/>
      <c r="W4" s="299"/>
      <c r="X4" s="299"/>
      <c r="Y4" s="299"/>
      <c r="Z4" s="299"/>
      <c r="AA4" s="142"/>
      <c r="AB4" s="178"/>
      <c r="AC4" s="120"/>
      <c r="AD4" s="184">
        <v>3.02</v>
      </c>
      <c r="AE4" s="142"/>
      <c r="AF4" s="127"/>
      <c r="AG4" s="127"/>
      <c r="AH4" s="127"/>
      <c r="AI4" s="127"/>
      <c r="AJ4" s="127"/>
      <c r="AK4" s="127"/>
      <c r="AL4" s="142"/>
      <c r="AM4" s="178"/>
      <c r="AN4" s="120"/>
      <c r="AO4" s="183">
        <v>3.01</v>
      </c>
      <c r="AP4" s="142"/>
    </row>
    <row r="5" spans="1:44" ht="16.149999999999999" customHeight="1">
      <c r="A5" s="182" t="s">
        <v>246</v>
      </c>
      <c r="B5" s="181"/>
      <c r="C5" s="181"/>
      <c r="D5" s="181"/>
      <c r="E5" s="181"/>
      <c r="F5" s="181"/>
      <c r="G5" s="181"/>
      <c r="H5" s="181"/>
      <c r="I5" s="142"/>
      <c r="J5" s="179"/>
      <c r="K5" s="299"/>
      <c r="L5" s="299"/>
      <c r="M5" s="299"/>
      <c r="N5" s="299"/>
      <c r="O5" s="299"/>
      <c r="P5" s="142"/>
      <c r="Q5" s="178" t="s">
        <v>236</v>
      </c>
      <c r="R5" s="120"/>
      <c r="S5" s="180" t="s">
        <v>235</v>
      </c>
      <c r="T5" s="142"/>
      <c r="U5" s="299"/>
      <c r="V5" s="299"/>
      <c r="W5" s="299"/>
      <c r="X5" s="299"/>
      <c r="Y5" s="299"/>
      <c r="Z5" s="299"/>
      <c r="AA5" s="142"/>
      <c r="AB5" s="178" t="s">
        <v>236</v>
      </c>
      <c r="AC5" s="120"/>
      <c r="AD5" s="176" t="s">
        <v>235</v>
      </c>
      <c r="AE5" s="142"/>
      <c r="AF5" s="179"/>
      <c r="AG5" s="300" t="s">
        <v>237</v>
      </c>
      <c r="AH5" s="300"/>
      <c r="AI5" s="300"/>
      <c r="AJ5" s="300"/>
      <c r="AK5" s="300"/>
      <c r="AL5" s="142"/>
      <c r="AM5" s="178" t="s">
        <v>236</v>
      </c>
      <c r="AN5" s="120"/>
      <c r="AO5" s="176" t="s">
        <v>235</v>
      </c>
      <c r="AP5" s="142"/>
    </row>
    <row r="6" spans="1:44">
      <c r="A6" s="295" t="s">
        <v>247</v>
      </c>
      <c r="B6" s="295"/>
      <c r="C6" s="295"/>
      <c r="D6" s="295"/>
      <c r="E6" s="295"/>
      <c r="F6" s="295"/>
      <c r="G6" s="295"/>
      <c r="H6" s="295"/>
      <c r="I6" s="142"/>
      <c r="J6" s="295" t="s">
        <v>248</v>
      </c>
      <c r="K6" s="295"/>
      <c r="L6" s="295"/>
      <c r="M6" s="295"/>
      <c r="N6" s="295"/>
      <c r="O6" s="295"/>
      <c r="P6" s="142"/>
      <c r="Q6" s="177" t="s">
        <v>233</v>
      </c>
      <c r="R6" s="120"/>
      <c r="S6" s="176" t="s">
        <v>232</v>
      </c>
      <c r="T6" s="142"/>
      <c r="U6" s="295" t="s">
        <v>323</v>
      </c>
      <c r="V6" s="295"/>
      <c r="W6" s="295"/>
      <c r="X6" s="295"/>
      <c r="Y6" s="295"/>
      <c r="Z6" s="295"/>
      <c r="AA6" s="142"/>
      <c r="AB6" s="177" t="s">
        <v>233</v>
      </c>
      <c r="AC6" s="120"/>
      <c r="AD6" s="176" t="s">
        <v>232</v>
      </c>
      <c r="AE6" s="142"/>
      <c r="AF6" s="295" t="s">
        <v>234</v>
      </c>
      <c r="AG6" s="295"/>
      <c r="AH6" s="295"/>
      <c r="AI6" s="295"/>
      <c r="AJ6" s="295"/>
      <c r="AK6" s="295"/>
      <c r="AL6" s="142"/>
      <c r="AM6" s="177" t="s">
        <v>233</v>
      </c>
      <c r="AN6" s="120"/>
      <c r="AO6" s="176" t="s">
        <v>232</v>
      </c>
      <c r="AP6" s="142"/>
      <c r="AQ6" s="77" t="s">
        <v>231</v>
      </c>
    </row>
    <row r="7" spans="1:44" ht="30.6" customHeight="1">
      <c r="A7" s="142"/>
      <c r="B7" s="142"/>
      <c r="C7" s="174"/>
      <c r="D7" s="175"/>
      <c r="E7" s="174"/>
      <c r="F7" s="173"/>
      <c r="G7" s="142"/>
      <c r="H7" s="172"/>
      <c r="I7" s="142"/>
      <c r="J7" s="142"/>
      <c r="K7" s="296" t="s">
        <v>249</v>
      </c>
      <c r="L7" s="296"/>
      <c r="M7" s="296"/>
      <c r="N7" s="296"/>
      <c r="O7" s="296"/>
      <c r="P7" s="142"/>
      <c r="Q7" s="171" t="s">
        <v>319</v>
      </c>
      <c r="R7" s="120"/>
      <c r="S7" s="170" t="s">
        <v>319</v>
      </c>
      <c r="T7" s="142"/>
      <c r="U7" s="296" t="s">
        <v>324</v>
      </c>
      <c r="V7" s="296"/>
      <c r="W7" s="296"/>
      <c r="X7" s="296"/>
      <c r="Y7" s="296"/>
      <c r="Z7" s="296"/>
      <c r="AA7" s="142"/>
      <c r="AB7" s="171" t="s">
        <v>230</v>
      </c>
      <c r="AC7" s="120"/>
      <c r="AD7" s="171" t="s">
        <v>230</v>
      </c>
      <c r="AE7" s="142"/>
      <c r="AF7" s="142"/>
      <c r="AG7" s="296" t="s">
        <v>229</v>
      </c>
      <c r="AH7" s="296"/>
      <c r="AI7" s="296"/>
      <c r="AJ7" s="296"/>
      <c r="AK7" s="296"/>
      <c r="AL7" s="142"/>
      <c r="AM7" s="171" t="s">
        <v>228</v>
      </c>
      <c r="AN7" s="120"/>
      <c r="AO7" s="170" t="s">
        <v>228</v>
      </c>
      <c r="AP7" s="142"/>
      <c r="AQ7" s="169" t="s">
        <v>227</v>
      </c>
    </row>
    <row r="8" spans="1:44">
      <c r="A8" s="120"/>
      <c r="B8" s="120"/>
      <c r="C8" s="120"/>
      <c r="D8" s="127" t="s">
        <v>226</v>
      </c>
      <c r="E8" s="127"/>
      <c r="F8" s="127" t="s">
        <v>7</v>
      </c>
      <c r="G8" s="120"/>
      <c r="H8" s="120"/>
      <c r="I8" s="142"/>
      <c r="J8" s="120"/>
      <c r="K8" s="120"/>
      <c r="L8" s="120"/>
      <c r="M8" s="127" t="s">
        <v>226</v>
      </c>
      <c r="N8" s="127"/>
      <c r="O8" s="127" t="s">
        <v>7</v>
      </c>
      <c r="P8" s="142"/>
      <c r="Q8" s="127" t="s">
        <v>226</v>
      </c>
      <c r="R8" s="120"/>
      <c r="S8" s="127" t="s">
        <v>7</v>
      </c>
      <c r="T8" s="142"/>
      <c r="U8" s="120"/>
      <c r="V8" s="120"/>
      <c r="W8" s="120"/>
      <c r="X8" s="127" t="s">
        <v>226</v>
      </c>
      <c r="Y8" s="127"/>
      <c r="Z8" s="127" t="s">
        <v>7</v>
      </c>
      <c r="AA8" s="142"/>
      <c r="AB8" s="127" t="s">
        <v>226</v>
      </c>
      <c r="AC8" s="120"/>
      <c r="AD8" s="127" t="s">
        <v>7</v>
      </c>
      <c r="AE8" s="142"/>
      <c r="AF8" s="120"/>
      <c r="AG8" s="120"/>
      <c r="AH8" s="120"/>
      <c r="AI8" s="127" t="s">
        <v>226</v>
      </c>
      <c r="AJ8" s="127"/>
      <c r="AK8" s="127" t="s">
        <v>7</v>
      </c>
      <c r="AL8" s="142"/>
      <c r="AM8" s="127" t="s">
        <v>226</v>
      </c>
      <c r="AN8" s="120"/>
      <c r="AO8" s="127" t="s">
        <v>7</v>
      </c>
      <c r="AP8" s="142"/>
    </row>
    <row r="9" spans="1:44">
      <c r="A9" s="120"/>
      <c r="B9" s="120"/>
      <c r="C9" s="120"/>
      <c r="D9" s="127" t="s">
        <v>225</v>
      </c>
      <c r="E9" s="127"/>
      <c r="F9" s="127" t="s">
        <v>224</v>
      </c>
      <c r="G9" s="120"/>
      <c r="H9" s="120"/>
      <c r="I9" s="142"/>
      <c r="J9" s="120"/>
      <c r="K9" s="120"/>
      <c r="L9" s="120"/>
      <c r="M9" s="127" t="s">
        <v>225</v>
      </c>
      <c r="N9" s="127"/>
      <c r="O9" s="127" t="s">
        <v>224</v>
      </c>
      <c r="P9" s="142"/>
      <c r="Q9" s="127" t="s">
        <v>225</v>
      </c>
      <c r="R9" s="120"/>
      <c r="S9" s="127" t="s">
        <v>224</v>
      </c>
      <c r="T9" s="142"/>
      <c r="U9" s="120"/>
      <c r="V9" s="120"/>
      <c r="W9" s="120"/>
      <c r="X9" s="127" t="s">
        <v>225</v>
      </c>
      <c r="Y9" s="127"/>
      <c r="Z9" s="127" t="s">
        <v>224</v>
      </c>
      <c r="AA9" s="142"/>
      <c r="AB9" s="127" t="s">
        <v>225</v>
      </c>
      <c r="AC9" s="120"/>
      <c r="AD9" s="127" t="s">
        <v>224</v>
      </c>
      <c r="AE9" s="142"/>
      <c r="AF9" s="120"/>
      <c r="AG9" s="120"/>
      <c r="AH9" s="120"/>
      <c r="AI9" s="127" t="s">
        <v>225</v>
      </c>
      <c r="AJ9" s="127"/>
      <c r="AK9" s="127" t="s">
        <v>224</v>
      </c>
      <c r="AL9" s="142"/>
      <c r="AM9" s="127" t="s">
        <v>225</v>
      </c>
      <c r="AN9" s="120"/>
      <c r="AO9" s="127" t="s">
        <v>224</v>
      </c>
      <c r="AP9" s="142"/>
    </row>
    <row r="10" spans="1:44">
      <c r="A10" s="120"/>
      <c r="B10" s="120"/>
      <c r="C10" s="120"/>
      <c r="D10" s="167" t="s">
        <v>215</v>
      </c>
      <c r="E10" s="167"/>
      <c r="F10" s="167" t="s">
        <v>223</v>
      </c>
      <c r="G10" s="168"/>
      <c r="H10" s="120"/>
      <c r="I10" s="142"/>
      <c r="J10" s="120"/>
      <c r="K10" s="120"/>
      <c r="L10" s="120"/>
      <c r="M10" s="167" t="s">
        <v>215</v>
      </c>
      <c r="N10" s="167"/>
      <c r="O10" s="167" t="s">
        <v>223</v>
      </c>
      <c r="P10" s="142"/>
      <c r="Q10" s="167" t="s">
        <v>215</v>
      </c>
      <c r="R10" s="120"/>
      <c r="S10" s="167" t="s">
        <v>223</v>
      </c>
      <c r="T10" s="142"/>
      <c r="U10" s="120"/>
      <c r="V10" s="120"/>
      <c r="W10" s="120"/>
      <c r="X10" s="167" t="s">
        <v>215</v>
      </c>
      <c r="Y10" s="167"/>
      <c r="Z10" s="167" t="s">
        <v>223</v>
      </c>
      <c r="AA10" s="142"/>
      <c r="AB10" s="167" t="s">
        <v>215</v>
      </c>
      <c r="AC10" s="120"/>
      <c r="AD10" s="167" t="s">
        <v>223</v>
      </c>
      <c r="AE10" s="142"/>
      <c r="AF10" s="120"/>
      <c r="AG10" s="120"/>
      <c r="AH10" s="120"/>
      <c r="AI10" s="167" t="s">
        <v>215</v>
      </c>
      <c r="AJ10" s="167"/>
      <c r="AK10" s="167" t="s">
        <v>223</v>
      </c>
      <c r="AL10" s="142"/>
      <c r="AM10" s="167" t="s">
        <v>215</v>
      </c>
      <c r="AN10" s="120"/>
      <c r="AO10" s="167" t="s">
        <v>223</v>
      </c>
      <c r="AP10" s="142"/>
    </row>
    <row r="11" spans="1:44">
      <c r="A11" s="120" t="s">
        <v>219</v>
      </c>
      <c r="B11" s="120"/>
      <c r="C11" s="120"/>
      <c r="D11" s="138" t="s">
        <v>222</v>
      </c>
      <c r="E11" s="166"/>
      <c r="F11" s="254">
        <v>0.65529999999999999</v>
      </c>
      <c r="G11" s="165"/>
      <c r="H11" s="161"/>
      <c r="I11" s="142"/>
      <c r="J11" s="120" t="s">
        <v>219</v>
      </c>
      <c r="K11" s="120"/>
      <c r="L11" s="120"/>
      <c r="M11" s="120"/>
      <c r="N11" s="164" t="s">
        <v>220</v>
      </c>
      <c r="O11" s="163">
        <v>0.65529999999999999</v>
      </c>
      <c r="P11" s="142"/>
      <c r="Q11" s="120"/>
      <c r="R11" s="120"/>
      <c r="S11" s="161"/>
      <c r="T11" s="142"/>
      <c r="U11" s="120" t="s">
        <v>221</v>
      </c>
      <c r="V11" s="120"/>
      <c r="W11" s="120"/>
      <c r="X11" s="120"/>
      <c r="Y11" s="164" t="s">
        <v>220</v>
      </c>
      <c r="Z11" s="163">
        <f>'Monthly Authorized '!A29</f>
        <v>0.65707806372247379</v>
      </c>
      <c r="AA11" s="142"/>
      <c r="AB11" s="120"/>
      <c r="AC11" s="120"/>
      <c r="AD11" s="161"/>
      <c r="AE11" s="142"/>
      <c r="AF11" s="120" t="s">
        <v>219</v>
      </c>
      <c r="AG11" s="120"/>
      <c r="AH11" s="120"/>
      <c r="AI11" s="120"/>
      <c r="AK11" s="162">
        <f>Z11</f>
        <v>0.65707806372247379</v>
      </c>
      <c r="AL11" s="142"/>
      <c r="AM11" s="120"/>
      <c r="AN11" s="120"/>
      <c r="AO11" s="161"/>
      <c r="AP11" s="142"/>
    </row>
    <row r="12" spans="1:44">
      <c r="A12" s="120"/>
      <c r="B12" s="120"/>
      <c r="C12" s="120"/>
      <c r="D12" s="120"/>
      <c r="E12" s="120"/>
      <c r="F12" s="120"/>
      <c r="G12" s="120"/>
      <c r="H12" s="120"/>
      <c r="I12" s="142"/>
      <c r="J12" s="120"/>
      <c r="K12" s="120"/>
      <c r="L12" s="120"/>
      <c r="M12" s="120"/>
      <c r="N12" s="120"/>
      <c r="O12" s="120"/>
      <c r="P12" s="142"/>
      <c r="Q12" s="120"/>
      <c r="R12" s="120"/>
      <c r="S12" s="120"/>
      <c r="T12" s="142"/>
      <c r="U12" s="120"/>
      <c r="V12" s="120"/>
      <c r="W12" s="120"/>
      <c r="X12" s="120"/>
      <c r="Y12" s="120"/>
      <c r="Z12" s="120"/>
      <c r="AA12" s="142"/>
      <c r="AB12" s="120"/>
      <c r="AC12" s="120"/>
      <c r="AD12" s="120"/>
      <c r="AE12" s="142"/>
      <c r="AF12" s="120"/>
      <c r="AG12" s="120"/>
      <c r="AH12" s="120"/>
      <c r="AI12" s="120"/>
      <c r="AJ12" s="120"/>
      <c r="AK12" s="120"/>
      <c r="AL12" s="142"/>
      <c r="AM12" s="120"/>
      <c r="AN12" s="120"/>
      <c r="AO12" s="120"/>
      <c r="AP12" s="142"/>
    </row>
    <row r="13" spans="1:44">
      <c r="A13" s="120" t="s">
        <v>218</v>
      </c>
      <c r="B13" s="120"/>
      <c r="C13" s="120"/>
      <c r="D13" s="144">
        <f>'12 ME 12.31.21'!D80</f>
        <v>91754</v>
      </c>
      <c r="E13" s="144"/>
      <c r="F13" s="144">
        <f>F$11*D13</f>
        <v>60126.396200000003</v>
      </c>
      <c r="G13" s="144"/>
      <c r="H13" s="144"/>
      <c r="I13" s="142"/>
      <c r="J13" s="120" t="s">
        <v>218</v>
      </c>
      <c r="K13" s="120"/>
      <c r="L13" s="120"/>
      <c r="M13" s="144">
        <f>-'Monthly Authorized '!B22/1000</f>
        <v>69140.595561921393</v>
      </c>
      <c r="N13" s="144"/>
      <c r="O13" s="144">
        <f>O$11*M13</f>
        <v>45307.832271727086</v>
      </c>
      <c r="P13" s="142"/>
      <c r="Q13" s="144">
        <f>M13-D13</f>
        <v>-22613.404438078607</v>
      </c>
      <c r="R13" s="120"/>
      <c r="S13" s="144">
        <f>O13-F13</f>
        <v>-14818.563928272917</v>
      </c>
      <c r="T13" s="142"/>
      <c r="U13" s="120" t="s">
        <v>218</v>
      </c>
      <c r="V13" s="120"/>
      <c r="W13" s="120"/>
      <c r="X13" s="144">
        <f>M13</f>
        <v>69140.595561921393</v>
      </c>
      <c r="Y13" s="144"/>
      <c r="Z13" s="144">
        <f>Z$11*X13</f>
        <v>45430.768656445973</v>
      </c>
      <c r="AA13" s="142"/>
      <c r="AB13" s="144">
        <f>X13-M13</f>
        <v>0</v>
      </c>
      <c r="AC13" s="120"/>
      <c r="AD13" s="144">
        <f>Z13-O13</f>
        <v>122.93638471888698</v>
      </c>
      <c r="AE13" s="142"/>
      <c r="AF13" s="120" t="s">
        <v>218</v>
      </c>
      <c r="AG13" s="120"/>
      <c r="AH13" s="120"/>
      <c r="AI13" s="144"/>
      <c r="AJ13" s="144"/>
      <c r="AK13" s="144">
        <f>AK$11*AI13</f>
        <v>0</v>
      </c>
      <c r="AL13" s="142"/>
      <c r="AM13" s="144"/>
      <c r="AN13" s="120"/>
      <c r="AO13" s="144"/>
      <c r="AP13" s="142"/>
      <c r="AQ13" s="65">
        <f>S13+AD13+AO13</f>
        <v>-14695.62754355403</v>
      </c>
      <c r="AR13" s="65">
        <f>Z13+AK13-F13</f>
        <v>-14695.62754355403</v>
      </c>
    </row>
    <row r="14" spans="1:44" ht="19.899999999999999" hidden="1" customHeight="1">
      <c r="A14" s="120" t="s">
        <v>217</v>
      </c>
      <c r="B14" s="120"/>
      <c r="C14" s="151" t="s">
        <v>193</v>
      </c>
      <c r="D14" s="131"/>
      <c r="E14" s="131"/>
      <c r="F14" s="131">
        <f>F$11*D14</f>
        <v>0</v>
      </c>
      <c r="G14" s="152"/>
      <c r="H14" s="153"/>
      <c r="I14" s="151"/>
      <c r="J14" s="151" t="s">
        <v>217</v>
      </c>
      <c r="K14" s="151"/>
      <c r="L14" s="120"/>
      <c r="M14" s="144">
        <v>0</v>
      </c>
      <c r="N14" s="152"/>
      <c r="O14" s="152">
        <f>O$11*M14</f>
        <v>0</v>
      </c>
      <c r="P14" s="151"/>
      <c r="Q14" s="150"/>
      <c r="R14" s="151"/>
      <c r="S14" s="150"/>
      <c r="T14" s="151"/>
      <c r="U14" s="151" t="s">
        <v>217</v>
      </c>
      <c r="V14" s="151"/>
      <c r="W14" s="151"/>
      <c r="X14" s="144">
        <f t="shared" ref="X14:X19" si="0">M14</f>
        <v>0</v>
      </c>
      <c r="Y14" s="152"/>
      <c r="Z14" s="152">
        <f>Z$11*X14</f>
        <v>0</v>
      </c>
      <c r="AA14" s="151"/>
      <c r="AB14" s="152">
        <f t="shared" ref="AB14:AB20" si="1">X14-M14</f>
        <v>0</v>
      </c>
      <c r="AC14" s="152"/>
      <c r="AD14" s="152">
        <f t="shared" ref="AD14:AD20" si="2">Z14-O14</f>
        <v>0</v>
      </c>
      <c r="AE14" s="151"/>
      <c r="AF14" s="151" t="s">
        <v>217</v>
      </c>
      <c r="AG14" s="151"/>
      <c r="AH14" s="151"/>
      <c r="AI14" s="152">
        <v>0</v>
      </c>
      <c r="AJ14" s="152"/>
      <c r="AK14" s="152">
        <f>AK$11*AI14</f>
        <v>0</v>
      </c>
      <c r="AL14" s="151"/>
      <c r="AM14" s="150">
        <f>AI14-D14</f>
        <v>0</v>
      </c>
      <c r="AN14" s="151"/>
      <c r="AO14" s="150">
        <f>AK14-F14</f>
        <v>0</v>
      </c>
      <c r="AP14" s="142"/>
      <c r="AQ14" s="65">
        <f>S14+AD14+AO14</f>
        <v>0</v>
      </c>
      <c r="AR14" s="65">
        <f t="shared" ref="AR14:AR21" si="3">Z14+AK14-F14</f>
        <v>0</v>
      </c>
    </row>
    <row r="15" spans="1:44" ht="20.65" hidden="1" customHeight="1">
      <c r="A15" s="120" t="s">
        <v>216</v>
      </c>
      <c r="B15" s="120"/>
      <c r="C15" s="120"/>
      <c r="D15" s="131">
        <v>0</v>
      </c>
      <c r="E15" s="131"/>
      <c r="F15" s="131">
        <f>F$11*D15</f>
        <v>0</v>
      </c>
      <c r="G15" s="131"/>
      <c r="H15" s="144"/>
      <c r="I15" s="142"/>
      <c r="J15" s="120" t="s">
        <v>216</v>
      </c>
      <c r="K15" s="120"/>
      <c r="L15" s="120"/>
      <c r="M15" s="144"/>
      <c r="N15" s="131"/>
      <c r="O15" s="131">
        <f>O$11*M15</f>
        <v>0</v>
      </c>
      <c r="P15" s="142"/>
      <c r="Q15" s="154">
        <f t="shared" ref="Q15:Q19" si="4">M15-D15</f>
        <v>0</v>
      </c>
      <c r="R15" s="120"/>
      <c r="S15" s="154">
        <f t="shared" ref="S15:S20" si="5">O15-F15</f>
        <v>0</v>
      </c>
      <c r="T15" s="142"/>
      <c r="U15" s="120" t="s">
        <v>216</v>
      </c>
      <c r="V15" s="120"/>
      <c r="W15" s="120"/>
      <c r="X15" s="144">
        <f t="shared" si="0"/>
        <v>0</v>
      </c>
      <c r="Y15" s="131"/>
      <c r="Z15" s="131">
        <f>Z$11*X15</f>
        <v>0</v>
      </c>
      <c r="AA15" s="142"/>
      <c r="AB15" s="131">
        <f t="shared" si="1"/>
        <v>0</v>
      </c>
      <c r="AC15" s="131"/>
      <c r="AD15" s="131">
        <f t="shared" si="2"/>
        <v>0</v>
      </c>
      <c r="AE15" s="142"/>
      <c r="AF15" s="120" t="s">
        <v>216</v>
      </c>
      <c r="AG15" s="120"/>
      <c r="AH15" s="120"/>
      <c r="AI15" s="131"/>
      <c r="AJ15" s="131"/>
      <c r="AK15" s="131">
        <f>AK$11*AI15</f>
        <v>0</v>
      </c>
      <c r="AL15" s="142"/>
      <c r="AM15" s="154"/>
      <c r="AN15" s="120"/>
      <c r="AO15" s="154"/>
      <c r="AP15" s="142"/>
      <c r="AR15" s="65">
        <f t="shared" si="3"/>
        <v>0</v>
      </c>
    </row>
    <row r="16" spans="1:44">
      <c r="A16" s="120" t="s">
        <v>212</v>
      </c>
      <c r="B16" s="120"/>
      <c r="C16" s="120" t="s">
        <v>215</v>
      </c>
      <c r="D16" s="131">
        <f>'E-456'!L37/1000-D17-D18</f>
        <v>21241.222999999998</v>
      </c>
      <c r="E16" s="131"/>
      <c r="F16" s="131">
        <f>F$11*D16</f>
        <v>13919.373431899998</v>
      </c>
      <c r="G16" s="131"/>
      <c r="H16" s="160"/>
      <c r="I16" s="142"/>
      <c r="J16" s="120" t="s">
        <v>212</v>
      </c>
      <c r="K16" s="120"/>
      <c r="L16" s="120"/>
      <c r="M16" s="144">
        <f>-'Monthly Authorized '!B26/1000</f>
        <v>17237.401999999998</v>
      </c>
      <c r="N16" s="131"/>
      <c r="O16" s="131">
        <f>O$11*M16</f>
        <v>11295.669530599998</v>
      </c>
      <c r="P16" s="142"/>
      <c r="Q16" s="154">
        <f t="shared" si="4"/>
        <v>-4003.8209999999999</v>
      </c>
      <c r="R16" s="120"/>
      <c r="S16" s="154">
        <f t="shared" si="5"/>
        <v>-2623.7039012999994</v>
      </c>
      <c r="T16" s="142"/>
      <c r="U16" s="120" t="s">
        <v>212</v>
      </c>
      <c r="V16" s="120"/>
      <c r="W16" s="120"/>
      <c r="X16" s="144">
        <f t="shared" si="0"/>
        <v>17237.401999999998</v>
      </c>
      <c r="Y16" s="131"/>
      <c r="Z16" s="131">
        <f>Z$11*X16</f>
        <v>11326.318729765897</v>
      </c>
      <c r="AA16" s="142"/>
      <c r="AB16" s="131">
        <f t="shared" si="1"/>
        <v>0</v>
      </c>
      <c r="AC16" s="131"/>
      <c r="AD16" s="131">
        <f t="shared" si="2"/>
        <v>30.649199165898608</v>
      </c>
      <c r="AE16" s="142"/>
      <c r="AF16" s="120" t="s">
        <v>212</v>
      </c>
      <c r="AG16" s="120"/>
      <c r="AH16" s="120"/>
      <c r="AI16" s="131"/>
      <c r="AJ16" s="131"/>
      <c r="AK16" s="131">
        <f>AK$11*AI16</f>
        <v>0</v>
      </c>
      <c r="AL16" s="142"/>
      <c r="AM16" s="154"/>
      <c r="AN16" s="120"/>
      <c r="AO16" s="154"/>
      <c r="AP16" s="142"/>
      <c r="AQ16" s="65">
        <f t="shared" ref="AQ16:AQ19" si="6">S16+AD16+AO16</f>
        <v>-2593.0547021341008</v>
      </c>
      <c r="AR16" s="65">
        <f t="shared" si="3"/>
        <v>-2593.0547021341008</v>
      </c>
    </row>
    <row r="17" spans="1:44">
      <c r="A17" s="120" t="s">
        <v>212</v>
      </c>
      <c r="B17" s="120"/>
      <c r="C17" s="120" t="s">
        <v>214</v>
      </c>
      <c r="D17" s="159">
        <f>'E-456'!M28/1000</f>
        <v>114.274</v>
      </c>
      <c r="E17" s="131"/>
      <c r="F17" s="131">
        <f>D17</f>
        <v>114.274</v>
      </c>
      <c r="G17" s="131"/>
      <c r="H17" s="158"/>
      <c r="I17" s="142"/>
      <c r="J17" s="120" t="s">
        <v>212</v>
      </c>
      <c r="K17" s="120"/>
      <c r="L17" s="120"/>
      <c r="M17" s="131">
        <v>0</v>
      </c>
      <c r="N17" s="131"/>
      <c r="O17" s="131">
        <f>M17</f>
        <v>0</v>
      </c>
      <c r="P17" s="142"/>
      <c r="Q17" s="154">
        <f t="shared" si="4"/>
        <v>-114.274</v>
      </c>
      <c r="R17" s="120"/>
      <c r="S17" s="154">
        <f t="shared" si="5"/>
        <v>-114.274</v>
      </c>
      <c r="T17" s="142"/>
      <c r="U17" s="120" t="s">
        <v>212</v>
      </c>
      <c r="V17" s="120"/>
      <c r="W17" s="120"/>
      <c r="X17" s="144">
        <f t="shared" si="0"/>
        <v>0</v>
      </c>
      <c r="Y17" s="131"/>
      <c r="Z17" s="131">
        <f>X17</f>
        <v>0</v>
      </c>
      <c r="AA17" s="142"/>
      <c r="AB17" s="131">
        <f t="shared" si="1"/>
        <v>0</v>
      </c>
      <c r="AC17" s="131"/>
      <c r="AD17" s="131">
        <f t="shared" si="2"/>
        <v>0</v>
      </c>
      <c r="AE17" s="142"/>
      <c r="AF17" s="120" t="s">
        <v>212</v>
      </c>
      <c r="AG17" s="120"/>
      <c r="AH17" s="120"/>
      <c r="AI17" s="131"/>
      <c r="AJ17" s="131"/>
      <c r="AK17" s="131">
        <f>AI17</f>
        <v>0</v>
      </c>
      <c r="AL17" s="142"/>
      <c r="AM17" s="154"/>
      <c r="AN17" s="120"/>
      <c r="AO17" s="154"/>
      <c r="AP17" s="142"/>
      <c r="AQ17" s="65">
        <f t="shared" si="6"/>
        <v>-114.274</v>
      </c>
      <c r="AR17" s="65">
        <f t="shared" si="3"/>
        <v>-114.274</v>
      </c>
    </row>
    <row r="18" spans="1:44">
      <c r="A18" s="120" t="s">
        <v>212</v>
      </c>
      <c r="B18" s="120"/>
      <c r="C18" s="120" t="s">
        <v>213</v>
      </c>
      <c r="D18" s="159">
        <f>'E-456'!P28/1000</f>
        <v>62.790999999999997</v>
      </c>
      <c r="E18" s="131"/>
      <c r="F18" s="131">
        <v>0</v>
      </c>
      <c r="G18" s="131"/>
      <c r="H18" s="158"/>
      <c r="I18" s="142"/>
      <c r="J18" s="120" t="s">
        <v>212</v>
      </c>
      <c r="K18" s="120"/>
      <c r="L18" s="120"/>
      <c r="M18" s="131">
        <v>0</v>
      </c>
      <c r="N18" s="131"/>
      <c r="O18" s="131">
        <v>0</v>
      </c>
      <c r="P18" s="142"/>
      <c r="Q18" s="154">
        <f t="shared" si="4"/>
        <v>-62.790999999999997</v>
      </c>
      <c r="R18" s="120"/>
      <c r="S18" s="154">
        <f t="shared" si="5"/>
        <v>0</v>
      </c>
      <c r="T18" s="142"/>
      <c r="U18" s="120" t="s">
        <v>212</v>
      </c>
      <c r="V18" s="120"/>
      <c r="W18" s="120"/>
      <c r="X18" s="144">
        <f t="shared" si="0"/>
        <v>0</v>
      </c>
      <c r="Y18" s="131"/>
      <c r="Z18" s="131">
        <v>0</v>
      </c>
      <c r="AA18" s="142"/>
      <c r="AB18" s="131">
        <f t="shared" si="1"/>
        <v>0</v>
      </c>
      <c r="AC18" s="131"/>
      <c r="AD18" s="131">
        <f t="shared" si="2"/>
        <v>0</v>
      </c>
      <c r="AE18" s="142"/>
      <c r="AF18" s="120" t="s">
        <v>212</v>
      </c>
      <c r="AG18" s="120"/>
      <c r="AH18" s="120"/>
      <c r="AI18" s="131"/>
      <c r="AJ18" s="131"/>
      <c r="AK18" s="131">
        <v>0</v>
      </c>
      <c r="AL18" s="142"/>
      <c r="AM18" s="154"/>
      <c r="AN18" s="120"/>
      <c r="AO18" s="154"/>
      <c r="AP18" s="142"/>
      <c r="AQ18" s="65">
        <f t="shared" si="6"/>
        <v>0</v>
      </c>
      <c r="AR18" s="65">
        <f t="shared" si="3"/>
        <v>0</v>
      </c>
    </row>
    <row r="19" spans="1:44" ht="13.9" customHeight="1">
      <c r="A19" s="120" t="s">
        <v>211</v>
      </c>
      <c r="B19" s="120"/>
      <c r="C19" s="120"/>
      <c r="D19" s="131">
        <f>'12 ME 12.31.21'!D92</f>
        <v>72090.804000000004</v>
      </c>
      <c r="E19" s="131"/>
      <c r="F19" s="131">
        <f>F$11*D19</f>
        <v>47241.103861200005</v>
      </c>
      <c r="G19" s="131"/>
      <c r="H19" s="144"/>
      <c r="I19" s="142"/>
      <c r="J19" s="120" t="s">
        <v>211</v>
      </c>
      <c r="K19" s="120"/>
      <c r="L19" s="120"/>
      <c r="M19" s="131">
        <f>-'Monthly Authorized '!B20/1000</f>
        <v>656.85590733465608</v>
      </c>
      <c r="N19" s="131"/>
      <c r="O19" s="131">
        <f>O$11*M19</f>
        <v>430.43767607640012</v>
      </c>
      <c r="P19" s="142"/>
      <c r="Q19" s="154">
        <f t="shared" si="4"/>
        <v>-71433.948092665349</v>
      </c>
      <c r="R19" s="120"/>
      <c r="S19" s="154">
        <f t="shared" si="5"/>
        <v>-46810.666185123606</v>
      </c>
      <c r="T19" s="142"/>
      <c r="U19" s="120" t="s">
        <v>211</v>
      </c>
      <c r="V19" s="120"/>
      <c r="W19" s="120"/>
      <c r="X19" s="146">
        <f t="shared" si="0"/>
        <v>656.85590733465608</v>
      </c>
      <c r="Y19" s="131"/>
      <c r="Z19" s="131">
        <f>Z$11*X19</f>
        <v>431.60560773612451</v>
      </c>
      <c r="AA19" s="142"/>
      <c r="AB19" s="131">
        <f t="shared" si="1"/>
        <v>0</v>
      </c>
      <c r="AC19" s="131"/>
      <c r="AD19" s="131">
        <f t="shared" si="2"/>
        <v>1.1679316597243883</v>
      </c>
      <c r="AE19" s="142"/>
      <c r="AF19" s="120" t="s">
        <v>211</v>
      </c>
      <c r="AG19" s="120"/>
      <c r="AH19" s="120"/>
      <c r="AI19" s="131"/>
      <c r="AJ19" s="131"/>
      <c r="AK19" s="131">
        <f>AK$11*AI19</f>
        <v>0</v>
      </c>
      <c r="AL19" s="142"/>
      <c r="AM19" s="154"/>
      <c r="AN19" s="120"/>
      <c r="AO19" s="154"/>
      <c r="AP19" s="142"/>
      <c r="AQ19" s="65">
        <f t="shared" si="6"/>
        <v>-46809.498253463884</v>
      </c>
      <c r="AR19" s="65">
        <f t="shared" si="3"/>
        <v>-46809.498253463884</v>
      </c>
    </row>
    <row r="20" spans="1:44" ht="0.6" customHeight="1">
      <c r="A20" s="120" t="s">
        <v>210</v>
      </c>
      <c r="B20" s="120"/>
      <c r="C20" s="120"/>
      <c r="D20" s="147">
        <v>0</v>
      </c>
      <c r="E20" s="131"/>
      <c r="F20" s="147">
        <f>D20</f>
        <v>0</v>
      </c>
      <c r="G20" s="131"/>
      <c r="H20" s="144"/>
      <c r="I20" s="142"/>
      <c r="J20" s="120" t="s">
        <v>210</v>
      </c>
      <c r="K20" s="120"/>
      <c r="L20" s="120"/>
      <c r="M20" s="147">
        <v>0</v>
      </c>
      <c r="N20" s="131"/>
      <c r="O20" s="147">
        <f>M20</f>
        <v>0</v>
      </c>
      <c r="P20" s="142"/>
      <c r="Q20" s="147"/>
      <c r="R20" s="120"/>
      <c r="S20" s="157">
        <f t="shared" si="5"/>
        <v>0</v>
      </c>
      <c r="T20" s="142"/>
      <c r="U20" s="120" t="s">
        <v>210</v>
      </c>
      <c r="V20" s="120"/>
      <c r="W20" s="120"/>
      <c r="X20" s="147">
        <v>0</v>
      </c>
      <c r="Y20" s="131"/>
      <c r="Z20" s="147">
        <f>X20</f>
        <v>0</v>
      </c>
      <c r="AA20" s="142"/>
      <c r="AB20" s="131">
        <f t="shared" si="1"/>
        <v>0</v>
      </c>
      <c r="AC20" s="131"/>
      <c r="AD20" s="131">
        <f t="shared" si="2"/>
        <v>0</v>
      </c>
      <c r="AE20" s="142"/>
      <c r="AF20" s="120" t="s">
        <v>210</v>
      </c>
      <c r="AG20" s="120"/>
      <c r="AH20" s="120"/>
      <c r="AI20" s="147"/>
      <c r="AJ20" s="131"/>
      <c r="AK20" s="147">
        <f>AI20</f>
        <v>0</v>
      </c>
      <c r="AL20" s="142"/>
      <c r="AM20" s="147"/>
      <c r="AN20" s="120"/>
      <c r="AO20" s="157"/>
      <c r="AP20" s="142"/>
      <c r="AR20" s="65">
        <f t="shared" si="3"/>
        <v>0</v>
      </c>
    </row>
    <row r="21" spans="1:44">
      <c r="A21" s="120" t="s">
        <v>209</v>
      </c>
      <c r="B21" s="120"/>
      <c r="C21" s="120"/>
      <c r="D21" s="156">
        <f>SUM(D13:D20)</f>
        <v>185263.092</v>
      </c>
      <c r="E21" s="131"/>
      <c r="F21" s="156">
        <f>SUM(F13:F20)</f>
        <v>121401.1474931</v>
      </c>
      <c r="G21" s="131"/>
      <c r="H21" s="144"/>
      <c r="I21" s="142"/>
      <c r="J21" s="120" t="s">
        <v>209</v>
      </c>
      <c r="K21" s="120"/>
      <c r="L21" s="120"/>
      <c r="M21" s="156">
        <f>SUM(M13:M19)</f>
        <v>87034.85346925605</v>
      </c>
      <c r="N21" s="131"/>
      <c r="O21" s="156">
        <f>SUM(O13:O20)</f>
        <v>57033.939478403481</v>
      </c>
      <c r="P21" s="142"/>
      <c r="Q21" s="156">
        <f>SUM(Q13:Q20)</f>
        <v>-98228.238530743954</v>
      </c>
      <c r="R21" s="120"/>
      <c r="S21" s="156">
        <f>SUM(S13:S20)</f>
        <v>-64367.208014696524</v>
      </c>
      <c r="T21" s="142"/>
      <c r="U21" s="120" t="s">
        <v>209</v>
      </c>
      <c r="V21" s="120"/>
      <c r="W21" s="120"/>
      <c r="X21" s="156">
        <f>SUM(X13:X20)</f>
        <v>87034.85346925605</v>
      </c>
      <c r="Y21" s="131"/>
      <c r="Z21" s="156">
        <f>SUM(Z13:Z20)</f>
        <v>57188.692993947989</v>
      </c>
      <c r="AA21" s="142"/>
      <c r="AB21" s="156">
        <f>SUM(AB13:AB20)</f>
        <v>0</v>
      </c>
      <c r="AC21" s="120"/>
      <c r="AD21" s="156">
        <f>SUM(AD13:AD20)</f>
        <v>154.75351554450998</v>
      </c>
      <c r="AE21" s="142"/>
      <c r="AF21" s="120" t="s">
        <v>209</v>
      </c>
      <c r="AG21" s="120"/>
      <c r="AH21" s="120"/>
      <c r="AI21" s="156">
        <f>SUM(AI13:AI20)</f>
        <v>0</v>
      </c>
      <c r="AJ21" s="131"/>
      <c r="AK21" s="156">
        <f>SUM(AK13:AK20)</f>
        <v>0</v>
      </c>
      <c r="AL21" s="142"/>
      <c r="AM21" s="156">
        <f>SUM(AM13:AM20)</f>
        <v>0</v>
      </c>
      <c r="AN21" s="120"/>
      <c r="AO21" s="156">
        <f>SUM(AO13:AO20)</f>
        <v>0</v>
      </c>
      <c r="AP21" s="142"/>
      <c r="AQ21" s="65">
        <f>S21+AD21+AO21</f>
        <v>-64212.454499152016</v>
      </c>
      <c r="AR21" s="65">
        <f t="shared" si="3"/>
        <v>-64212.454499152009</v>
      </c>
    </row>
    <row r="22" spans="1:44" ht="12" customHeight="1">
      <c r="A22" s="120"/>
      <c r="B22" s="120"/>
      <c r="C22" s="120"/>
      <c r="D22" s="252">
        <f>'12 ME 12.31.21'!D99-D21</f>
        <v>0</v>
      </c>
      <c r="E22" s="131"/>
      <c r="F22" s="131"/>
      <c r="G22" s="131"/>
      <c r="H22" s="144"/>
      <c r="I22" s="142"/>
      <c r="J22" s="120"/>
      <c r="K22" s="120"/>
      <c r="L22" s="120"/>
      <c r="M22" s="252">
        <f>-('Monthly Authorized '!B22+'Monthly Authorized '!B20+'Monthly Authorized '!B26)/1000-M21</f>
        <v>0</v>
      </c>
      <c r="N22" s="131"/>
      <c r="O22" s="131"/>
      <c r="P22" s="142"/>
      <c r="Q22" s="131"/>
      <c r="R22" s="120"/>
      <c r="S22" s="131"/>
      <c r="T22" s="142"/>
      <c r="U22" s="120"/>
      <c r="V22" s="120"/>
      <c r="W22" s="120"/>
      <c r="X22" s="131"/>
      <c r="Y22" s="131"/>
      <c r="Z22" s="131"/>
      <c r="AA22" s="142"/>
      <c r="AB22" s="131"/>
      <c r="AC22" s="120"/>
      <c r="AD22" s="131"/>
      <c r="AE22" s="142"/>
      <c r="AF22" s="120"/>
      <c r="AG22" s="120"/>
      <c r="AH22" s="120"/>
      <c r="AI22" s="131"/>
      <c r="AJ22" s="131"/>
      <c r="AK22" s="131"/>
      <c r="AL22" s="142"/>
      <c r="AM22" s="131"/>
      <c r="AN22" s="120"/>
      <c r="AO22" s="131"/>
      <c r="AP22" s="142"/>
    </row>
    <row r="23" spans="1:44" ht="14.45" customHeight="1">
      <c r="A23" s="120"/>
      <c r="B23" s="120"/>
      <c r="C23" s="120"/>
      <c r="D23" s="131"/>
      <c r="E23" s="131"/>
      <c r="F23" s="131"/>
      <c r="G23" s="131"/>
      <c r="H23" s="144"/>
      <c r="I23" s="142"/>
      <c r="J23" s="120"/>
      <c r="K23" s="120"/>
      <c r="L23" s="120"/>
      <c r="M23" s="131"/>
      <c r="N23" s="131"/>
      <c r="O23" s="131"/>
      <c r="P23" s="142"/>
      <c r="Q23" s="131"/>
      <c r="R23" s="120"/>
      <c r="S23" s="131"/>
      <c r="T23" s="142"/>
      <c r="U23" s="120"/>
      <c r="V23" s="120"/>
      <c r="W23" s="120"/>
      <c r="X23" s="131"/>
      <c r="Y23" s="131"/>
      <c r="Z23" s="131"/>
      <c r="AA23" s="142"/>
      <c r="AB23" s="131"/>
      <c r="AC23" s="120"/>
      <c r="AD23" s="131"/>
      <c r="AE23" s="142"/>
      <c r="AF23" s="120"/>
      <c r="AG23" s="120"/>
      <c r="AH23" s="120"/>
      <c r="AI23" s="131"/>
      <c r="AJ23" s="131"/>
      <c r="AK23" s="131"/>
      <c r="AL23" s="142"/>
      <c r="AM23" s="131"/>
      <c r="AN23" s="120"/>
      <c r="AO23" s="131"/>
      <c r="AP23" s="142"/>
    </row>
    <row r="24" spans="1:44">
      <c r="A24" s="120" t="s">
        <v>208</v>
      </c>
      <c r="B24" s="120"/>
      <c r="C24" s="120"/>
      <c r="D24" s="131">
        <f>'12 ME 12.31.21'!D49</f>
        <v>33266</v>
      </c>
      <c r="E24" s="131"/>
      <c r="F24" s="131">
        <f t="shared" ref="F24:F32" si="7">F$11*D24</f>
        <v>21799.209800000001</v>
      </c>
      <c r="G24" s="131"/>
      <c r="H24" s="144"/>
      <c r="I24" s="142"/>
      <c r="J24" s="120" t="s">
        <v>208</v>
      </c>
      <c r="K24" s="120"/>
      <c r="L24" s="120"/>
      <c r="M24" s="126">
        <f>'Monthly Authorized '!B12/1000</f>
        <v>29615.657076488558</v>
      </c>
      <c r="N24" s="131"/>
      <c r="O24" s="131">
        <f t="shared" ref="O24:O28" si="8">O$11*M24</f>
        <v>19407.140082222952</v>
      </c>
      <c r="P24" s="142"/>
      <c r="Q24" s="144">
        <f>M24-D24</f>
        <v>-3650.3429235114418</v>
      </c>
      <c r="R24" s="120"/>
      <c r="S24" s="144">
        <f>O24-F24</f>
        <v>-2392.0697177770489</v>
      </c>
      <c r="T24" s="142"/>
      <c r="U24" s="120" t="s">
        <v>208</v>
      </c>
      <c r="V24" s="120"/>
      <c r="W24" s="120"/>
      <c r="X24" s="126">
        <f>M24</f>
        <v>29615.657076488558</v>
      </c>
      <c r="Y24" s="131"/>
      <c r="Z24" s="131">
        <f>Z$11*X24</f>
        <v>19459.798607687881</v>
      </c>
      <c r="AA24" s="142"/>
      <c r="AB24" s="144">
        <f>X24-M24</f>
        <v>0</v>
      </c>
      <c r="AC24" s="120"/>
      <c r="AD24" s="144">
        <f>Z24-O24</f>
        <v>52.658525464928971</v>
      </c>
      <c r="AE24" s="142"/>
      <c r="AF24" s="120" t="s">
        <v>208</v>
      </c>
      <c r="AG24" s="120"/>
      <c r="AH24" s="120"/>
      <c r="AI24" s="131"/>
      <c r="AJ24" s="131"/>
      <c r="AK24" s="131">
        <f t="shared" ref="AK24:AK28" si="9">AK$11*AI24</f>
        <v>0</v>
      </c>
      <c r="AL24" s="142"/>
      <c r="AM24" s="144"/>
      <c r="AN24" s="120"/>
      <c r="AO24" s="144"/>
      <c r="AP24" s="142"/>
      <c r="AQ24" s="65">
        <f>S24+AD24+AO24</f>
        <v>-2339.41119231212</v>
      </c>
      <c r="AR24" s="65">
        <f t="shared" ref="AR24:AR38" si="10">Z24+AK24-F24</f>
        <v>-2339.41119231212</v>
      </c>
    </row>
    <row r="25" spans="1:44" ht="18" customHeight="1">
      <c r="A25" s="120" t="s">
        <v>207</v>
      </c>
      <c r="B25" s="120"/>
      <c r="C25" s="120"/>
      <c r="D25" s="131">
        <v>0</v>
      </c>
      <c r="E25" s="131"/>
      <c r="F25" s="131">
        <f t="shared" si="7"/>
        <v>0</v>
      </c>
      <c r="G25" s="131"/>
      <c r="H25" s="144"/>
      <c r="I25" s="142"/>
      <c r="J25" s="120" t="s">
        <v>207</v>
      </c>
      <c r="K25" s="120"/>
      <c r="L25" s="120"/>
      <c r="M25" s="126"/>
      <c r="N25" s="131"/>
      <c r="O25" s="131">
        <f t="shared" si="8"/>
        <v>0</v>
      </c>
      <c r="P25" s="142"/>
      <c r="Q25" s="131"/>
      <c r="R25" s="120"/>
      <c r="S25" s="154">
        <f t="shared" ref="S25:S35" si="11">O25-F25</f>
        <v>0</v>
      </c>
      <c r="T25" s="142"/>
      <c r="U25" s="120" t="s">
        <v>207</v>
      </c>
      <c r="V25" s="120"/>
      <c r="W25" s="120"/>
      <c r="X25" s="126">
        <f t="shared" ref="X25:X32" si="12">M25</f>
        <v>0</v>
      </c>
      <c r="Y25" s="131"/>
      <c r="Z25" s="131">
        <f t="shared" ref="Z24:Z28" si="13">Z$11*X25</f>
        <v>0</v>
      </c>
      <c r="AA25" s="142"/>
      <c r="AB25" s="131">
        <f t="shared" ref="AB25:AB38" si="14">X25-M25</f>
        <v>0</v>
      </c>
      <c r="AC25" s="131"/>
      <c r="AD25" s="131">
        <f t="shared" ref="AD25:AD38" si="15">Z25-O25</f>
        <v>0</v>
      </c>
      <c r="AE25" s="142"/>
      <c r="AF25" s="120" t="s">
        <v>207</v>
      </c>
      <c r="AG25" s="120"/>
      <c r="AH25" s="120"/>
      <c r="AI25" s="131"/>
      <c r="AJ25" s="131"/>
      <c r="AK25" s="131">
        <f t="shared" si="9"/>
        <v>0</v>
      </c>
      <c r="AL25" s="142"/>
      <c r="AM25" s="131"/>
      <c r="AN25" s="120"/>
      <c r="AO25" s="154"/>
      <c r="AP25" s="142"/>
      <c r="AR25" s="65">
        <f t="shared" si="10"/>
        <v>0</v>
      </c>
    </row>
    <row r="26" spans="1:44">
      <c r="A26" s="120" t="s">
        <v>206</v>
      </c>
      <c r="B26" s="120"/>
      <c r="C26" s="120"/>
      <c r="D26" s="131">
        <f>'12 ME 12.31.21'!D58</f>
        <v>97277</v>
      </c>
      <c r="E26" s="131"/>
      <c r="F26" s="131">
        <f t="shared" si="7"/>
        <v>63745.6181</v>
      </c>
      <c r="G26" s="131"/>
      <c r="H26" s="144"/>
      <c r="I26" s="142"/>
      <c r="J26" s="120" t="s">
        <v>206</v>
      </c>
      <c r="K26" s="120"/>
      <c r="L26" s="120"/>
      <c r="M26" s="126">
        <f>'Monthly Authorized '!B14/1000</f>
        <v>80286.954270419796</v>
      </c>
      <c r="N26" s="131"/>
      <c r="O26" s="131">
        <f t="shared" si="8"/>
        <v>52612.041133406092</v>
      </c>
      <c r="P26" s="142"/>
      <c r="Q26" s="154">
        <f t="shared" ref="Q26:Q28" si="16">M26-D26</f>
        <v>-16990.045729580204</v>
      </c>
      <c r="R26" s="120"/>
      <c r="S26" s="154">
        <f t="shared" si="11"/>
        <v>-11133.576966593908</v>
      </c>
      <c r="T26" s="142"/>
      <c r="U26" s="120" t="s">
        <v>206</v>
      </c>
      <c r="V26" s="120"/>
      <c r="W26" s="120"/>
      <c r="X26" s="126">
        <f t="shared" si="12"/>
        <v>80286.954270419796</v>
      </c>
      <c r="Y26" s="131"/>
      <c r="Z26" s="131">
        <f>Z$11*X26</f>
        <v>52754.796454182237</v>
      </c>
      <c r="AA26" s="142"/>
      <c r="AB26" s="131">
        <f t="shared" si="14"/>
        <v>0</v>
      </c>
      <c r="AC26" s="131"/>
      <c r="AD26" s="131">
        <f t="shared" si="15"/>
        <v>142.7553207761448</v>
      </c>
      <c r="AE26" s="142"/>
      <c r="AF26" s="120" t="s">
        <v>206</v>
      </c>
      <c r="AG26" s="120"/>
      <c r="AH26" s="120"/>
      <c r="AI26" s="131"/>
      <c r="AJ26" s="131"/>
      <c r="AK26" s="131">
        <f t="shared" si="9"/>
        <v>0</v>
      </c>
      <c r="AL26" s="142"/>
      <c r="AM26" s="154"/>
      <c r="AN26" s="120"/>
      <c r="AO26" s="154"/>
      <c r="AP26" s="142"/>
      <c r="AQ26" s="65">
        <f>S26+AD26+AO26</f>
        <v>-10990.821645817763</v>
      </c>
      <c r="AR26" s="65">
        <f t="shared" si="10"/>
        <v>-10990.821645817763</v>
      </c>
    </row>
    <row r="27" spans="1:44" ht="13.9" hidden="1" customHeight="1">
      <c r="A27" s="120" t="s">
        <v>205</v>
      </c>
      <c r="B27" s="120"/>
      <c r="C27" s="151" t="s">
        <v>193</v>
      </c>
      <c r="D27" s="152"/>
      <c r="E27" s="152"/>
      <c r="F27" s="152">
        <f t="shared" si="7"/>
        <v>0</v>
      </c>
      <c r="G27" s="152"/>
      <c r="H27" s="153"/>
      <c r="I27" s="151"/>
      <c r="J27" s="151" t="s">
        <v>205</v>
      </c>
      <c r="K27" s="151"/>
      <c r="L27" s="120"/>
      <c r="M27" s="126"/>
      <c r="N27" s="152"/>
      <c r="O27" s="152">
        <f t="shared" si="8"/>
        <v>0</v>
      </c>
      <c r="P27" s="151"/>
      <c r="Q27" s="150"/>
      <c r="R27" s="151"/>
      <c r="S27" s="150"/>
      <c r="T27" s="151"/>
      <c r="U27" s="151" t="s">
        <v>205</v>
      </c>
      <c r="V27" s="151"/>
      <c r="W27" s="151"/>
      <c r="X27" s="126">
        <f t="shared" si="12"/>
        <v>0</v>
      </c>
      <c r="Y27" s="152"/>
      <c r="Z27" s="152">
        <f t="shared" si="13"/>
        <v>0</v>
      </c>
      <c r="AA27" s="151"/>
      <c r="AB27" s="152">
        <f t="shared" si="14"/>
        <v>0</v>
      </c>
      <c r="AC27" s="152"/>
      <c r="AD27" s="152">
        <f t="shared" si="15"/>
        <v>0</v>
      </c>
      <c r="AE27" s="151"/>
      <c r="AF27" s="151" t="s">
        <v>205</v>
      </c>
      <c r="AG27" s="151"/>
      <c r="AH27" s="151"/>
      <c r="AI27" s="152">
        <v>0</v>
      </c>
      <c r="AJ27" s="152"/>
      <c r="AK27" s="152">
        <f t="shared" si="9"/>
        <v>0</v>
      </c>
      <c r="AL27" s="151"/>
      <c r="AM27" s="150">
        <f>AI27-D27</f>
        <v>0</v>
      </c>
      <c r="AN27" s="151"/>
      <c r="AO27" s="150">
        <f>AK27-F27</f>
        <v>0</v>
      </c>
      <c r="AP27" s="142"/>
      <c r="AQ27" s="65">
        <f>S27+AD27+AO27</f>
        <v>0</v>
      </c>
      <c r="AR27" s="65">
        <f t="shared" si="10"/>
        <v>0</v>
      </c>
    </row>
    <row r="28" spans="1:44">
      <c r="A28" s="120" t="s">
        <v>204</v>
      </c>
      <c r="B28" s="120"/>
      <c r="C28" s="120"/>
      <c r="D28" s="131">
        <f>'12 ME 12.31.21'!D26</f>
        <v>144155</v>
      </c>
      <c r="E28" s="131"/>
      <c r="F28" s="131">
        <f t="shared" si="7"/>
        <v>94464.771500000003</v>
      </c>
      <c r="G28" s="131"/>
      <c r="H28" s="144"/>
      <c r="I28" s="142"/>
      <c r="J28" s="120" t="s">
        <v>204</v>
      </c>
      <c r="K28" s="120"/>
      <c r="L28" s="120"/>
      <c r="M28" s="126">
        <f>'Monthly Authorized '!B10/1000</f>
        <v>107479.26065754484</v>
      </c>
      <c r="N28" s="131"/>
      <c r="O28" s="131">
        <f t="shared" si="8"/>
        <v>70431.159508889134</v>
      </c>
      <c r="P28" s="142"/>
      <c r="Q28" s="154">
        <f t="shared" si="16"/>
        <v>-36675.739342455156</v>
      </c>
      <c r="R28" s="120"/>
      <c r="S28" s="154">
        <f t="shared" si="11"/>
        <v>-24033.611991110869</v>
      </c>
      <c r="T28" s="142"/>
      <c r="U28" s="120" t="s">
        <v>204</v>
      </c>
      <c r="V28" s="120"/>
      <c r="W28" s="120"/>
      <c r="X28" s="126">
        <f t="shared" si="12"/>
        <v>107479.26065754484</v>
      </c>
      <c r="Y28" s="131"/>
      <c r="Z28" s="131">
        <f>Z$11*X28</f>
        <v>70622.264483182618</v>
      </c>
      <c r="AA28" s="142"/>
      <c r="AB28" s="131">
        <f t="shared" si="14"/>
        <v>0</v>
      </c>
      <c r="AC28" s="131"/>
      <c r="AD28" s="131">
        <f t="shared" si="15"/>
        <v>191.1049742934847</v>
      </c>
      <c r="AE28" s="142"/>
      <c r="AF28" s="120" t="s">
        <v>204</v>
      </c>
      <c r="AG28" s="120"/>
      <c r="AH28" s="120"/>
      <c r="AI28" s="131"/>
      <c r="AJ28" s="131"/>
      <c r="AK28" s="131">
        <f t="shared" si="9"/>
        <v>0</v>
      </c>
      <c r="AL28" s="142"/>
      <c r="AM28" s="154"/>
      <c r="AN28" s="120"/>
      <c r="AO28" s="154"/>
      <c r="AP28" s="142"/>
      <c r="AQ28" s="65">
        <f>S28+AD28+AO28</f>
        <v>-23842.507016817384</v>
      </c>
      <c r="AR28" s="65">
        <f t="shared" si="10"/>
        <v>-23842.507016817384</v>
      </c>
    </row>
    <row r="29" spans="1:44" ht="15" customHeight="1">
      <c r="A29" s="120" t="s">
        <v>203</v>
      </c>
      <c r="B29" s="120"/>
      <c r="C29" s="120"/>
      <c r="D29" s="131">
        <v>0</v>
      </c>
      <c r="E29" s="131"/>
      <c r="F29" s="131">
        <v>0</v>
      </c>
      <c r="G29" s="131"/>
      <c r="H29" s="120"/>
      <c r="I29" s="142"/>
      <c r="J29" s="120" t="s">
        <v>203</v>
      </c>
      <c r="K29" s="120"/>
      <c r="L29" s="120"/>
      <c r="M29" s="126">
        <v>0</v>
      </c>
      <c r="N29" s="131"/>
      <c r="O29" s="131">
        <v>0</v>
      </c>
      <c r="P29" s="142"/>
      <c r="Q29" s="131"/>
      <c r="R29" s="120"/>
      <c r="S29" s="154">
        <f t="shared" si="11"/>
        <v>0</v>
      </c>
      <c r="T29" s="142"/>
      <c r="U29" s="120" t="s">
        <v>203</v>
      </c>
      <c r="V29" s="120"/>
      <c r="W29" s="120"/>
      <c r="X29" s="126">
        <f t="shared" si="12"/>
        <v>0</v>
      </c>
      <c r="Y29" s="131"/>
      <c r="Z29" s="131">
        <v>0</v>
      </c>
      <c r="AA29" s="142"/>
      <c r="AB29" s="131">
        <f t="shared" si="14"/>
        <v>0</v>
      </c>
      <c r="AC29" s="131"/>
      <c r="AD29" s="131">
        <f t="shared" si="15"/>
        <v>0</v>
      </c>
      <c r="AE29" s="142"/>
      <c r="AF29" s="120" t="s">
        <v>203</v>
      </c>
      <c r="AG29" s="120"/>
      <c r="AH29" s="120"/>
      <c r="AI29" s="131"/>
      <c r="AJ29" s="131"/>
      <c r="AK29" s="131">
        <v>0</v>
      </c>
      <c r="AL29" s="142"/>
      <c r="AM29" s="131"/>
      <c r="AN29" s="120"/>
      <c r="AO29" s="154"/>
      <c r="AP29" s="142"/>
      <c r="AR29" s="65">
        <f t="shared" si="10"/>
        <v>0</v>
      </c>
    </row>
    <row r="30" spans="1:44" ht="13.15" customHeight="1">
      <c r="A30" s="120" t="s">
        <v>202</v>
      </c>
      <c r="B30" s="120"/>
      <c r="C30" s="120"/>
      <c r="D30" s="131">
        <v>0</v>
      </c>
      <c r="E30" s="131"/>
      <c r="F30" s="131">
        <f t="shared" si="7"/>
        <v>0</v>
      </c>
      <c r="G30" s="131"/>
      <c r="H30" s="144"/>
      <c r="I30" s="142"/>
      <c r="J30" s="120" t="s">
        <v>202</v>
      </c>
      <c r="K30" s="120"/>
      <c r="L30" s="120"/>
      <c r="M30" s="126"/>
      <c r="N30" s="131"/>
      <c r="O30" s="131">
        <f t="shared" ref="O30:O32" si="17">O$11*M30</f>
        <v>0</v>
      </c>
      <c r="P30" s="142"/>
      <c r="Q30" s="131"/>
      <c r="R30" s="120"/>
      <c r="S30" s="154">
        <f t="shared" si="11"/>
        <v>0</v>
      </c>
      <c r="T30" s="142"/>
      <c r="U30" s="120" t="s">
        <v>202</v>
      </c>
      <c r="V30" s="120"/>
      <c r="W30" s="120"/>
      <c r="X30" s="126">
        <f t="shared" si="12"/>
        <v>0</v>
      </c>
      <c r="Y30" s="131"/>
      <c r="Z30" s="131">
        <f t="shared" ref="Z30:Z32" si="18">Z$11*X30</f>
        <v>0</v>
      </c>
      <c r="AA30" s="142"/>
      <c r="AB30" s="131">
        <f t="shared" si="14"/>
        <v>0</v>
      </c>
      <c r="AC30" s="131"/>
      <c r="AD30" s="131">
        <f t="shared" si="15"/>
        <v>0</v>
      </c>
      <c r="AE30" s="142"/>
      <c r="AF30" s="120" t="s">
        <v>202</v>
      </c>
      <c r="AG30" s="120"/>
      <c r="AH30" s="120"/>
      <c r="AI30" s="131"/>
      <c r="AJ30" s="131"/>
      <c r="AK30" s="131">
        <f t="shared" ref="AK30:AK31" si="19">AK$11*AI30</f>
        <v>0</v>
      </c>
      <c r="AL30" s="142"/>
      <c r="AM30" s="131"/>
      <c r="AN30" s="120"/>
      <c r="AO30" s="154"/>
      <c r="AP30" s="142"/>
      <c r="AR30" s="65">
        <f t="shared" si="10"/>
        <v>0</v>
      </c>
    </row>
    <row r="31" spans="1:44" ht="14.45" hidden="1" customHeight="1">
      <c r="A31" s="120" t="s">
        <v>201</v>
      </c>
      <c r="B31" s="120"/>
      <c r="C31" s="151" t="s">
        <v>193</v>
      </c>
      <c r="D31" s="152"/>
      <c r="E31" s="152"/>
      <c r="F31" s="152">
        <f t="shared" si="7"/>
        <v>0</v>
      </c>
      <c r="G31" s="152"/>
      <c r="H31" s="153"/>
      <c r="I31" s="151"/>
      <c r="J31" s="151" t="s">
        <v>201</v>
      </c>
      <c r="K31" s="151"/>
      <c r="L31" s="120"/>
      <c r="M31" s="126"/>
      <c r="N31" s="152"/>
      <c r="O31" s="152">
        <f t="shared" si="17"/>
        <v>0</v>
      </c>
      <c r="P31" s="151"/>
      <c r="Q31" s="150"/>
      <c r="R31" s="151"/>
      <c r="S31" s="150"/>
      <c r="T31" s="151"/>
      <c r="U31" s="151" t="s">
        <v>201</v>
      </c>
      <c r="V31" s="151"/>
      <c r="W31" s="151"/>
      <c r="X31" s="126">
        <f t="shared" si="12"/>
        <v>0</v>
      </c>
      <c r="Y31" s="152"/>
      <c r="Z31" s="152">
        <f t="shared" si="18"/>
        <v>0</v>
      </c>
      <c r="AA31" s="151"/>
      <c r="AB31" s="152">
        <f t="shared" si="14"/>
        <v>0</v>
      </c>
      <c r="AC31" s="152"/>
      <c r="AD31" s="152">
        <f t="shared" si="15"/>
        <v>0</v>
      </c>
      <c r="AE31" s="151"/>
      <c r="AF31" s="151" t="s">
        <v>201</v>
      </c>
      <c r="AG31" s="151"/>
      <c r="AH31" s="151"/>
      <c r="AI31" s="152">
        <v>0</v>
      </c>
      <c r="AJ31" s="152"/>
      <c r="AK31" s="152">
        <f t="shared" si="19"/>
        <v>0</v>
      </c>
      <c r="AL31" s="151"/>
      <c r="AM31" s="150">
        <f>AI31-D31</f>
        <v>0</v>
      </c>
      <c r="AN31" s="151"/>
      <c r="AO31" s="150">
        <f>AK31-F31</f>
        <v>0</v>
      </c>
      <c r="AP31" s="142"/>
      <c r="AQ31" s="65">
        <f t="shared" ref="AQ31:AQ38" si="20">S31+AD31+AO31</f>
        <v>0</v>
      </c>
      <c r="AR31" s="65">
        <f t="shared" si="10"/>
        <v>0</v>
      </c>
    </row>
    <row r="32" spans="1:44">
      <c r="A32" s="120" t="s">
        <v>200</v>
      </c>
      <c r="B32" s="120"/>
      <c r="C32" s="120"/>
      <c r="D32" s="131">
        <f>'12 ME 12.31.21'!D42</f>
        <v>60132.642</v>
      </c>
      <c r="E32" s="131"/>
      <c r="F32" s="131">
        <f t="shared" si="7"/>
        <v>39404.920302599996</v>
      </c>
      <c r="G32" s="131"/>
      <c r="H32" s="144"/>
      <c r="I32" s="142"/>
      <c r="J32" s="120" t="s">
        <v>200</v>
      </c>
      <c r="K32" s="120"/>
      <c r="L32" s="120"/>
      <c r="M32" s="126">
        <f>'Monthly Authorized '!B16/1000</f>
        <v>466.15682008333329</v>
      </c>
      <c r="N32" s="131"/>
      <c r="O32" s="131">
        <f t="shared" si="17"/>
        <v>305.4725642006083</v>
      </c>
      <c r="P32" s="142"/>
      <c r="Q32" s="154">
        <f t="shared" ref="Q32:Q35" si="21">M32-D32</f>
        <v>-59666.485179916664</v>
      </c>
      <c r="R32" s="120"/>
      <c r="S32" s="154">
        <f t="shared" si="11"/>
        <v>-39099.447738399387</v>
      </c>
      <c r="T32" s="142"/>
      <c r="U32" s="120" t="s">
        <v>200</v>
      </c>
      <c r="V32" s="120"/>
      <c r="W32" s="120"/>
      <c r="X32" s="126">
        <f t="shared" si="12"/>
        <v>466.15682008333329</v>
      </c>
      <c r="Y32" s="131"/>
      <c r="Z32" s="131">
        <f>Z$11*X32</f>
        <v>306.30142073138222</v>
      </c>
      <c r="AA32" s="142"/>
      <c r="AB32" s="131">
        <f t="shared" si="14"/>
        <v>0</v>
      </c>
      <c r="AC32" s="131"/>
      <c r="AD32" s="131">
        <f>Z32-O32</f>
        <v>0.82885653077391908</v>
      </c>
      <c r="AE32" s="142"/>
      <c r="AF32" s="120" t="s">
        <v>200</v>
      </c>
      <c r="AG32" s="120"/>
      <c r="AH32" s="120"/>
      <c r="AI32" s="131"/>
      <c r="AJ32" s="131"/>
      <c r="AK32" s="131">
        <f>AK$11*AI32</f>
        <v>0</v>
      </c>
      <c r="AL32" s="142"/>
      <c r="AM32" s="154"/>
      <c r="AN32" s="120"/>
      <c r="AO32" s="154"/>
      <c r="AP32" s="142"/>
      <c r="AQ32" s="65">
        <f t="shared" si="20"/>
        <v>-39098.618881868613</v>
      </c>
      <c r="AR32" s="65">
        <f t="shared" si="10"/>
        <v>-39098.618881868613</v>
      </c>
    </row>
    <row r="33" spans="1:45">
      <c r="A33" s="120" t="s">
        <v>197</v>
      </c>
      <c r="B33" s="120"/>
      <c r="C33" s="120"/>
      <c r="D33" s="131">
        <v>0</v>
      </c>
      <c r="E33" s="131"/>
      <c r="F33" s="131">
        <f>D33</f>
        <v>0</v>
      </c>
      <c r="G33" s="131"/>
      <c r="H33" s="136"/>
      <c r="I33" s="142"/>
      <c r="J33" s="120" t="s">
        <v>197</v>
      </c>
      <c r="K33" s="120"/>
      <c r="L33" s="124" t="s">
        <v>199</v>
      </c>
      <c r="M33" s="131">
        <f>ROUND('Monthly Authorized '!B30/1000,0)+ROUND((M56+K56)/1000,0)</f>
        <v>1648</v>
      </c>
      <c r="N33" s="131"/>
      <c r="O33" s="131">
        <f>M33</f>
        <v>1648</v>
      </c>
      <c r="P33" s="142"/>
      <c r="Q33" s="154">
        <f t="shared" si="21"/>
        <v>1648</v>
      </c>
      <c r="R33" s="120"/>
      <c r="S33" s="154">
        <f t="shared" si="11"/>
        <v>1648</v>
      </c>
      <c r="T33" s="142"/>
      <c r="U33" s="120" t="s">
        <v>197</v>
      </c>
      <c r="V33" s="120"/>
      <c r="W33" s="124" t="s">
        <v>198</v>
      </c>
      <c r="X33" s="145">
        <f>ROUND('Monthly Authorized '!B30/1000,0)+ROUND((M56)/1000,0)</f>
        <v>-462</v>
      </c>
      <c r="Y33" s="131"/>
      <c r="Z33" s="131">
        <f>Z$11*X33</f>
        <v>-303.57006543978287</v>
      </c>
      <c r="AA33" s="142"/>
      <c r="AB33" s="131">
        <f t="shared" si="14"/>
        <v>-2110</v>
      </c>
      <c r="AC33" s="131"/>
      <c r="AD33" s="131">
        <f>Z33-O33</f>
        <v>-1951.5700654397829</v>
      </c>
      <c r="AE33" s="142"/>
      <c r="AF33" s="120" t="s">
        <v>197</v>
      </c>
      <c r="AG33" s="120"/>
      <c r="AH33" s="124"/>
      <c r="AI33" s="131"/>
      <c r="AJ33" s="131"/>
      <c r="AK33" s="131">
        <f>AI33</f>
        <v>0</v>
      </c>
      <c r="AL33" s="142"/>
      <c r="AM33" s="154"/>
      <c r="AN33" s="120"/>
      <c r="AO33" s="154"/>
      <c r="AP33" s="142"/>
      <c r="AQ33" s="65">
        <f>S33+AD33+AO33</f>
        <v>-303.57006543978287</v>
      </c>
      <c r="AR33" s="65">
        <f>Z33+AK33-F33</f>
        <v>-303.57006543978287</v>
      </c>
    </row>
    <row r="34" spans="1:45" ht="15" customHeight="1">
      <c r="A34" s="120" t="s">
        <v>167</v>
      </c>
      <c r="B34" s="120"/>
      <c r="C34" s="120"/>
      <c r="D34" s="131">
        <v>0</v>
      </c>
      <c r="E34" s="131"/>
      <c r="F34" s="131">
        <v>0</v>
      </c>
      <c r="G34" s="131"/>
      <c r="H34" s="136"/>
      <c r="I34" s="142"/>
      <c r="J34" s="120"/>
      <c r="K34" s="120"/>
      <c r="L34" s="124"/>
      <c r="M34" s="131"/>
      <c r="N34" s="131"/>
      <c r="O34" s="131">
        <f>'Monthly Authorized '!B30/1000</f>
        <v>-1490.25</v>
      </c>
      <c r="P34" s="142"/>
      <c r="Q34" s="154">
        <f t="shared" si="21"/>
        <v>0</v>
      </c>
      <c r="R34" s="120"/>
      <c r="S34" s="154">
        <f>O34-F34</f>
        <v>-1490.25</v>
      </c>
      <c r="T34" s="142"/>
      <c r="U34" s="120"/>
      <c r="V34" s="120"/>
      <c r="W34" s="124"/>
      <c r="X34" s="145"/>
      <c r="Y34" s="131"/>
      <c r="Z34" s="131"/>
      <c r="AA34" s="142"/>
      <c r="AB34" s="131"/>
      <c r="AC34" s="131"/>
      <c r="AD34" s="131">
        <f>Z34-O34</f>
        <v>1490.25</v>
      </c>
      <c r="AE34" s="142"/>
      <c r="AF34" s="120"/>
      <c r="AG34" s="120"/>
      <c r="AH34" s="124"/>
      <c r="AI34" s="131"/>
      <c r="AJ34" s="131"/>
      <c r="AK34" s="131"/>
      <c r="AL34" s="142"/>
      <c r="AM34" s="154"/>
      <c r="AN34" s="120"/>
      <c r="AO34" s="154"/>
      <c r="AP34" s="142"/>
      <c r="AQ34" s="65"/>
      <c r="AR34" s="65"/>
    </row>
    <row r="35" spans="1:45">
      <c r="A35" s="120" t="s">
        <v>196</v>
      </c>
      <c r="B35" s="120"/>
      <c r="C35" s="120"/>
      <c r="D35" s="131">
        <f>'12 ME 12.31.21'!D67</f>
        <v>18301</v>
      </c>
      <c r="E35" s="131"/>
      <c r="F35" s="131">
        <f>F$11*D35</f>
        <v>11992.6453</v>
      </c>
      <c r="G35" s="131"/>
      <c r="H35" s="144"/>
      <c r="I35" s="142"/>
      <c r="J35" s="120" t="s">
        <v>196</v>
      </c>
      <c r="K35" s="120"/>
      <c r="L35" s="120"/>
      <c r="M35" s="126">
        <f>'Monthly Authorized '!B18/1000</f>
        <v>17454.575842500002</v>
      </c>
      <c r="N35" s="131"/>
      <c r="O35" s="131">
        <f>O$11*M35</f>
        <v>11437.983549590252</v>
      </c>
      <c r="P35" s="142"/>
      <c r="Q35" s="155">
        <f t="shared" si="21"/>
        <v>-846.42415749999782</v>
      </c>
      <c r="R35" s="120"/>
      <c r="S35" s="154">
        <f t="shared" si="11"/>
        <v>-554.66175040974849</v>
      </c>
      <c r="T35" s="142"/>
      <c r="U35" s="120" t="s">
        <v>196</v>
      </c>
      <c r="V35" s="120"/>
      <c r="W35" s="120"/>
      <c r="X35" s="126">
        <f>M35</f>
        <v>17454.575842500002</v>
      </c>
      <c r="Y35" s="131"/>
      <c r="Z35" s="131">
        <f>Z$11*X35</f>
        <v>11469.018897686969</v>
      </c>
      <c r="AA35" s="142"/>
      <c r="AB35" s="131">
        <f t="shared" si="14"/>
        <v>0</v>
      </c>
      <c r="AC35" s="131"/>
      <c r="AD35" s="131">
        <f>Z35-O35</f>
        <v>31.035348096716916</v>
      </c>
      <c r="AE35" s="142"/>
      <c r="AF35" s="120" t="s">
        <v>196</v>
      </c>
      <c r="AG35" s="120"/>
      <c r="AH35" s="120"/>
      <c r="AI35" s="131"/>
      <c r="AJ35" s="131"/>
      <c r="AK35" s="131">
        <f>AK$11*AI35</f>
        <v>0</v>
      </c>
      <c r="AL35" s="142"/>
      <c r="AM35" s="155"/>
      <c r="AN35" s="120"/>
      <c r="AO35" s="154"/>
      <c r="AP35" s="142"/>
      <c r="AQ35" s="65">
        <f>S35+AD35+AO35</f>
        <v>-523.62640231303158</v>
      </c>
      <c r="AR35" s="65">
        <f>Z35+AK35-F35</f>
        <v>-523.62640231303158</v>
      </c>
    </row>
    <row r="36" spans="1:45" ht="18.600000000000001" hidden="1" customHeight="1">
      <c r="A36" s="120" t="s">
        <v>195</v>
      </c>
      <c r="B36" s="120"/>
      <c r="C36" s="151" t="s">
        <v>193</v>
      </c>
      <c r="D36" s="152"/>
      <c r="E36" s="152"/>
      <c r="F36" s="152">
        <f>F$11*D36</f>
        <v>0</v>
      </c>
      <c r="G36" s="152"/>
      <c r="H36" s="153"/>
      <c r="I36" s="151"/>
      <c r="J36" s="151"/>
      <c r="K36" s="151"/>
      <c r="L36" s="120"/>
      <c r="M36" s="131"/>
      <c r="N36" s="152"/>
      <c r="O36" s="152">
        <f>O$11*M36</f>
        <v>0</v>
      </c>
      <c r="P36" s="151"/>
      <c r="Q36" s="150"/>
      <c r="R36" s="151"/>
      <c r="S36" s="150"/>
      <c r="T36" s="151"/>
      <c r="U36" s="151" t="s">
        <v>195</v>
      </c>
      <c r="V36" s="151"/>
      <c r="W36" s="151"/>
      <c r="X36" s="152">
        <v>0</v>
      </c>
      <c r="Y36" s="152"/>
      <c r="Z36" s="152">
        <f>Z$11*X36</f>
        <v>0</v>
      </c>
      <c r="AA36" s="151"/>
      <c r="AB36" s="152">
        <f t="shared" si="14"/>
        <v>0</v>
      </c>
      <c r="AC36" s="152"/>
      <c r="AD36" s="152">
        <f t="shared" si="15"/>
        <v>0</v>
      </c>
      <c r="AE36" s="151"/>
      <c r="AF36" s="151"/>
      <c r="AG36" s="151"/>
      <c r="AH36" s="151"/>
      <c r="AI36" s="152">
        <v>0</v>
      </c>
      <c r="AJ36" s="152"/>
      <c r="AK36" s="152">
        <f t="shared" ref="AK36:AK38" si="22">AK$11*AI36</f>
        <v>0</v>
      </c>
      <c r="AL36" s="151"/>
      <c r="AM36" s="150">
        <f t="shared" ref="AM36:AM38" si="23">AI36-D36</f>
        <v>0</v>
      </c>
      <c r="AN36" s="151"/>
      <c r="AO36" s="150">
        <f t="shared" ref="AO36:AO38" si="24">AK36-F36</f>
        <v>0</v>
      </c>
      <c r="AP36" s="142"/>
      <c r="AQ36" s="65">
        <f t="shared" si="20"/>
        <v>0</v>
      </c>
      <c r="AR36" s="65">
        <f t="shared" si="10"/>
        <v>0</v>
      </c>
    </row>
    <row r="37" spans="1:45" ht="18.600000000000001" hidden="1" customHeight="1">
      <c r="A37" s="120" t="s">
        <v>194</v>
      </c>
      <c r="B37" s="120"/>
      <c r="C37" s="151" t="s">
        <v>193</v>
      </c>
      <c r="D37" s="152"/>
      <c r="E37" s="152"/>
      <c r="F37" s="152">
        <f t="shared" ref="F37:F38" si="25">F$11*D37</f>
        <v>0</v>
      </c>
      <c r="G37" s="152"/>
      <c r="H37" s="153"/>
      <c r="I37" s="151"/>
      <c r="J37" s="151"/>
      <c r="K37" s="151"/>
      <c r="L37" s="120"/>
      <c r="M37" s="131"/>
      <c r="N37" s="152"/>
      <c r="O37" s="152">
        <f>O$11*M37</f>
        <v>0</v>
      </c>
      <c r="P37" s="151"/>
      <c r="Q37" s="150"/>
      <c r="R37" s="151"/>
      <c r="S37" s="150"/>
      <c r="T37" s="151"/>
      <c r="U37" s="151" t="s">
        <v>194</v>
      </c>
      <c r="V37" s="151"/>
      <c r="W37" s="151"/>
      <c r="X37" s="152">
        <v>0</v>
      </c>
      <c r="Y37" s="152"/>
      <c r="Z37" s="152">
        <f>Z$11*X37</f>
        <v>0</v>
      </c>
      <c r="AA37" s="151"/>
      <c r="AB37" s="152">
        <f t="shared" si="14"/>
        <v>0</v>
      </c>
      <c r="AC37" s="152"/>
      <c r="AD37" s="152">
        <f t="shared" si="15"/>
        <v>0</v>
      </c>
      <c r="AE37" s="151"/>
      <c r="AF37" s="151"/>
      <c r="AG37" s="151"/>
      <c r="AH37" s="151"/>
      <c r="AI37" s="152">
        <v>0</v>
      </c>
      <c r="AJ37" s="152"/>
      <c r="AK37" s="152">
        <f t="shared" si="22"/>
        <v>0</v>
      </c>
      <c r="AL37" s="151"/>
      <c r="AM37" s="150">
        <f t="shared" si="23"/>
        <v>0</v>
      </c>
      <c r="AN37" s="151"/>
      <c r="AO37" s="150">
        <f t="shared" si="24"/>
        <v>0</v>
      </c>
      <c r="AP37" s="142"/>
      <c r="AQ37" s="65">
        <f t="shared" si="20"/>
        <v>0</v>
      </c>
      <c r="AR37" s="65">
        <f t="shared" si="10"/>
        <v>0</v>
      </c>
    </row>
    <row r="38" spans="1:45" ht="14.45" hidden="1" customHeight="1">
      <c r="A38" s="120" t="s">
        <v>192</v>
      </c>
      <c r="B38" s="120"/>
      <c r="C38" s="151" t="s">
        <v>193</v>
      </c>
      <c r="D38" s="152"/>
      <c r="E38" s="152"/>
      <c r="F38" s="152">
        <f t="shared" si="25"/>
        <v>0</v>
      </c>
      <c r="G38" s="152"/>
      <c r="H38" s="153"/>
      <c r="I38" s="151"/>
      <c r="J38" s="151"/>
      <c r="K38" s="151"/>
      <c r="L38" s="120"/>
      <c r="M38" s="131"/>
      <c r="N38" s="152"/>
      <c r="O38" s="152">
        <f>O$11*M38</f>
        <v>0</v>
      </c>
      <c r="P38" s="151"/>
      <c r="Q38" s="150"/>
      <c r="R38" s="151"/>
      <c r="S38" s="150"/>
      <c r="T38" s="151"/>
      <c r="U38" s="151" t="s">
        <v>192</v>
      </c>
      <c r="V38" s="151"/>
      <c r="W38" s="151"/>
      <c r="X38" s="152">
        <v>0</v>
      </c>
      <c r="Y38" s="152"/>
      <c r="Z38" s="152">
        <f>Z$11*X38</f>
        <v>0</v>
      </c>
      <c r="AA38" s="151"/>
      <c r="AB38" s="152">
        <f t="shared" si="14"/>
        <v>0</v>
      </c>
      <c r="AC38" s="152"/>
      <c r="AD38" s="152">
        <f t="shared" si="15"/>
        <v>0</v>
      </c>
      <c r="AE38" s="151"/>
      <c r="AF38" s="151"/>
      <c r="AG38" s="151"/>
      <c r="AH38" s="151"/>
      <c r="AI38" s="152">
        <v>0</v>
      </c>
      <c r="AJ38" s="152"/>
      <c r="AK38" s="152">
        <f t="shared" si="22"/>
        <v>0</v>
      </c>
      <c r="AL38" s="151"/>
      <c r="AM38" s="150">
        <f t="shared" si="23"/>
        <v>0</v>
      </c>
      <c r="AN38" s="151"/>
      <c r="AO38" s="150">
        <f t="shared" si="24"/>
        <v>0</v>
      </c>
      <c r="AP38" s="142"/>
      <c r="AQ38" s="65">
        <f t="shared" si="20"/>
        <v>0</v>
      </c>
      <c r="AR38" s="65">
        <f t="shared" si="10"/>
        <v>0</v>
      </c>
    </row>
    <row r="39" spans="1:45">
      <c r="A39" s="120" t="s">
        <v>191</v>
      </c>
      <c r="B39" s="120"/>
      <c r="C39" s="120"/>
      <c r="D39" s="149">
        <f>SUM(D24:D38)</f>
        <v>353131.64199999999</v>
      </c>
      <c r="E39" s="131"/>
      <c r="F39" s="149">
        <f>SUM(F24:F38)</f>
        <v>231407.1650026</v>
      </c>
      <c r="G39" s="131"/>
      <c r="H39" s="144"/>
      <c r="I39" s="142"/>
      <c r="J39" s="120" t="s">
        <v>191</v>
      </c>
      <c r="K39" s="120"/>
      <c r="L39" s="120"/>
      <c r="M39" s="149">
        <f>SUM(M24:M35)</f>
        <v>236950.60466703653</v>
      </c>
      <c r="N39" s="131"/>
      <c r="O39" s="149">
        <f>SUM(O24:O38)</f>
        <v>154351.54683830903</v>
      </c>
      <c r="P39" s="142"/>
      <c r="Q39" s="149">
        <f>SUM(Q24:Q38)</f>
        <v>-116181.03733296346</v>
      </c>
      <c r="R39" s="120"/>
      <c r="S39" s="149">
        <f>SUM(S24:S38)</f>
        <v>-77055.618164290965</v>
      </c>
      <c r="T39" s="142"/>
      <c r="U39" s="120" t="s">
        <v>191</v>
      </c>
      <c r="V39" s="120"/>
      <c r="W39" s="120"/>
      <c r="X39" s="149">
        <f>SUM(X24:X38)</f>
        <v>234840.60466703653</v>
      </c>
      <c r="Y39" s="131"/>
      <c r="Z39" s="149">
        <f>SUM(Z24:Z38)</f>
        <v>154308.60979803131</v>
      </c>
      <c r="AA39" s="142"/>
      <c r="AB39" s="149">
        <f>SUM(AB24:AB38)</f>
        <v>-2110</v>
      </c>
      <c r="AC39" s="120"/>
      <c r="AD39" s="149">
        <f>SUM(AD24:AD38)</f>
        <v>-42.937040277733558</v>
      </c>
      <c r="AE39" s="142"/>
      <c r="AF39" s="120" t="s">
        <v>191</v>
      </c>
      <c r="AG39" s="120"/>
      <c r="AH39" s="120"/>
      <c r="AI39" s="149">
        <f>SUM(AI24:AI38)</f>
        <v>0</v>
      </c>
      <c r="AJ39" s="131"/>
      <c r="AK39" s="149">
        <f>SUM(AK24:AK38)</f>
        <v>0</v>
      </c>
      <c r="AL39" s="142"/>
      <c r="AM39" s="149">
        <f>SUM(AM24:AM38)</f>
        <v>0</v>
      </c>
      <c r="AN39" s="120"/>
      <c r="AO39" s="149">
        <f>SUM(AO24:AO38)</f>
        <v>0</v>
      </c>
      <c r="AP39" s="142"/>
      <c r="AQ39" s="65">
        <f>S39+AD39+AO39</f>
        <v>-77098.555204568693</v>
      </c>
      <c r="AR39" s="65">
        <f>Z39+AK39-F39</f>
        <v>-77098.555204568693</v>
      </c>
      <c r="AS39" s="65"/>
    </row>
    <row r="40" spans="1:45">
      <c r="A40" s="120"/>
      <c r="B40" s="120"/>
      <c r="C40" s="120"/>
      <c r="D40" s="252">
        <f>'12 ME 12.31.21'!D72-D39</f>
        <v>0</v>
      </c>
      <c r="E40" s="120"/>
      <c r="F40" s="120"/>
      <c r="G40" s="120"/>
      <c r="H40" s="144"/>
      <c r="I40" s="142"/>
      <c r="J40" s="120"/>
      <c r="K40" s="120"/>
      <c r="L40" s="120"/>
      <c r="M40" s="252">
        <f>('Monthly Authorized '!B10+'Monthly Authorized '!B12+'Monthly Authorized '!B14+'Monthly Authorized '!B16+'Monthly Authorized '!B18)/1000-M39+M33</f>
        <v>-2.9103830456733704E-11</v>
      </c>
      <c r="N40" s="120"/>
      <c r="O40" s="120"/>
      <c r="P40" s="142"/>
      <c r="Q40" s="120"/>
      <c r="R40" s="120"/>
      <c r="S40" s="120"/>
      <c r="T40" s="142"/>
      <c r="U40" s="120"/>
      <c r="V40" s="120"/>
      <c r="W40" s="120"/>
      <c r="X40" s="120"/>
      <c r="Y40" s="120"/>
      <c r="Z40" s="120"/>
      <c r="AA40" s="142"/>
      <c r="AB40" s="120"/>
      <c r="AC40" s="120"/>
      <c r="AD40" s="120"/>
      <c r="AE40" s="142"/>
      <c r="AF40" s="120"/>
      <c r="AG40" s="120"/>
      <c r="AH40" s="120"/>
      <c r="AI40" s="120"/>
      <c r="AJ40" s="120"/>
      <c r="AK40" s="120"/>
      <c r="AL40" s="142"/>
      <c r="AM40" s="120"/>
      <c r="AN40" s="120"/>
      <c r="AO40" s="120"/>
      <c r="AP40" s="142"/>
    </row>
    <row r="41" spans="1:45" ht="17.45" customHeight="1">
      <c r="A41" s="120" t="s">
        <v>190</v>
      </c>
      <c r="B41" s="120"/>
      <c r="C41" s="120"/>
      <c r="D41" s="131">
        <f>D21-D39</f>
        <v>-167868.55</v>
      </c>
      <c r="E41" s="131"/>
      <c r="F41" s="131">
        <f>F21-F39</f>
        <v>-110006.0175095</v>
      </c>
      <c r="G41" s="131"/>
      <c r="H41" s="144"/>
      <c r="I41" s="142"/>
      <c r="J41" s="120" t="s">
        <v>190</v>
      </c>
      <c r="K41" s="120"/>
      <c r="L41" s="120"/>
      <c r="M41" s="131">
        <f>M21-M39</f>
        <v>-149915.75119778048</v>
      </c>
      <c r="N41" s="131"/>
      <c r="O41" s="131">
        <f>O21-O39</f>
        <v>-97317.607359905553</v>
      </c>
      <c r="P41" s="142"/>
      <c r="Q41" s="131">
        <f>Q21-Q39</f>
        <v>17952.798802219506</v>
      </c>
      <c r="R41" s="120"/>
      <c r="S41" s="144">
        <f>S21-S39</f>
        <v>12688.410149594441</v>
      </c>
      <c r="T41" s="142"/>
      <c r="U41" s="120" t="s">
        <v>190</v>
      </c>
      <c r="V41" s="120"/>
      <c r="W41" s="120"/>
      <c r="X41" s="131">
        <f>X21-X39</f>
        <v>-147805.75119778048</v>
      </c>
      <c r="Y41" s="131"/>
      <c r="Z41" s="131">
        <f>Z21-Z39</f>
        <v>-97119.916804083317</v>
      </c>
      <c r="AA41" s="142"/>
      <c r="AB41" s="131">
        <f>AB21-AB39</f>
        <v>2110</v>
      </c>
      <c r="AC41" s="144"/>
      <c r="AD41" s="131">
        <f>AD21-AD39</f>
        <v>197.69055582224354</v>
      </c>
      <c r="AE41" s="142"/>
      <c r="AF41" s="120" t="s">
        <v>190</v>
      </c>
      <c r="AG41" s="120"/>
      <c r="AH41" s="120"/>
      <c r="AI41" s="131">
        <f>AI21-AI39</f>
        <v>0</v>
      </c>
      <c r="AJ41" s="131"/>
      <c r="AK41" s="131">
        <f>AK21-AK39</f>
        <v>0</v>
      </c>
      <c r="AL41" s="142"/>
      <c r="AM41" s="131">
        <f>AM21-AM39</f>
        <v>0</v>
      </c>
      <c r="AN41" s="120"/>
      <c r="AO41" s="144">
        <f>AO21-AO39</f>
        <v>0</v>
      </c>
      <c r="AP41" s="142"/>
      <c r="AQ41" s="65">
        <f>S41+AD41+AO41</f>
        <v>12886.100705416686</v>
      </c>
      <c r="AR41" s="65">
        <f>Z41+AK41-F41</f>
        <v>12886.100705416684</v>
      </c>
    </row>
    <row r="42" spans="1:45">
      <c r="A42" s="120"/>
      <c r="B42" s="120"/>
      <c r="C42" s="120"/>
      <c r="D42" s="120"/>
      <c r="E42" s="131"/>
      <c r="F42" s="131"/>
      <c r="G42" s="131"/>
      <c r="H42" s="120"/>
      <c r="I42" s="142"/>
      <c r="J42" s="120"/>
      <c r="K42" s="120"/>
      <c r="L42" s="120"/>
      <c r="M42" s="252"/>
      <c r="N42" s="131"/>
      <c r="O42" s="131"/>
      <c r="P42" s="142"/>
      <c r="Q42" s="120"/>
      <c r="R42" s="120"/>
      <c r="S42" s="144"/>
      <c r="T42" s="142"/>
      <c r="U42" s="120"/>
      <c r="V42" s="120"/>
      <c r="W42" s="120"/>
      <c r="X42" s="131"/>
      <c r="Y42" s="131"/>
      <c r="Z42" s="131"/>
      <c r="AA42" s="142"/>
      <c r="AB42" s="120"/>
      <c r="AC42" s="120"/>
      <c r="AD42" s="144"/>
      <c r="AE42" s="142"/>
      <c r="AF42" s="120"/>
      <c r="AG42" s="120"/>
      <c r="AH42" s="120"/>
      <c r="AI42" s="120"/>
      <c r="AJ42" s="131"/>
      <c r="AK42" s="131"/>
      <c r="AL42" s="142"/>
      <c r="AM42" s="120"/>
      <c r="AN42" s="120"/>
      <c r="AO42" s="144"/>
      <c r="AP42" s="142"/>
    </row>
    <row r="43" spans="1:45">
      <c r="A43" s="120" t="s">
        <v>189</v>
      </c>
      <c r="B43" s="120"/>
      <c r="C43" s="148">
        <v>0.21</v>
      </c>
      <c r="D43" s="120"/>
      <c r="E43" s="144"/>
      <c r="F43" s="147">
        <f>C43*F41</f>
        <v>-23101.263676995</v>
      </c>
      <c r="G43" s="144"/>
      <c r="H43" s="120"/>
      <c r="I43" s="142"/>
      <c r="J43" s="120" t="s">
        <v>188</v>
      </c>
      <c r="K43" s="120"/>
      <c r="L43" s="148">
        <v>0.21</v>
      </c>
      <c r="M43" s="120"/>
      <c r="N43" s="144"/>
      <c r="O43" s="147">
        <f>L43*O41</f>
        <v>-20436.697545580166</v>
      </c>
      <c r="P43" s="142"/>
      <c r="Q43" s="120"/>
      <c r="R43" s="120"/>
      <c r="S43" s="146">
        <f>L43*S41</f>
        <v>2664.5661314148324</v>
      </c>
      <c r="T43" s="142"/>
      <c r="U43" s="120" t="s">
        <v>188</v>
      </c>
      <c r="V43" s="120"/>
      <c r="W43" s="148">
        <v>0.21</v>
      </c>
      <c r="X43" s="120"/>
      <c r="Y43" s="144"/>
      <c r="Z43" s="147">
        <f>W43*Z41</f>
        <v>-20395.182528857495</v>
      </c>
      <c r="AA43" s="142"/>
      <c r="AB43" s="120"/>
      <c r="AC43" s="120"/>
      <c r="AD43" s="146">
        <f>W43*AD41</f>
        <v>41.515016722671142</v>
      </c>
      <c r="AE43" s="142"/>
      <c r="AF43" s="120" t="s">
        <v>188</v>
      </c>
      <c r="AG43" s="120"/>
      <c r="AH43" s="148">
        <v>0.35</v>
      </c>
      <c r="AI43" s="120"/>
      <c r="AJ43" s="144"/>
      <c r="AK43" s="147">
        <f>AH43*AK41</f>
        <v>0</v>
      </c>
      <c r="AL43" s="142"/>
      <c r="AM43" s="120"/>
      <c r="AN43" s="120"/>
      <c r="AO43" s="146">
        <f>AH43*AO41</f>
        <v>0</v>
      </c>
      <c r="AP43" s="142"/>
    </row>
    <row r="44" spans="1:45">
      <c r="A44" s="120"/>
      <c r="B44" s="120"/>
      <c r="C44" s="120"/>
      <c r="D44" s="120"/>
      <c r="E44" s="144"/>
      <c r="F44" s="144"/>
      <c r="G44" s="144"/>
      <c r="H44" s="120"/>
      <c r="I44" s="142"/>
      <c r="J44" s="120"/>
      <c r="K44" s="120"/>
      <c r="L44" s="120"/>
      <c r="M44" s="120"/>
      <c r="N44" s="144"/>
      <c r="O44" s="144"/>
      <c r="P44" s="142"/>
      <c r="Q44" s="120"/>
      <c r="R44" s="120"/>
      <c r="S44" s="144"/>
      <c r="T44" s="142"/>
      <c r="U44" s="120"/>
      <c r="V44" s="120"/>
      <c r="W44" s="120"/>
      <c r="X44" s="145"/>
      <c r="Y44" s="144"/>
      <c r="Z44" s="144"/>
      <c r="AA44" s="142"/>
      <c r="AB44" s="120"/>
      <c r="AC44" s="120"/>
      <c r="AD44" s="144"/>
      <c r="AE44" s="142"/>
      <c r="AF44" s="120"/>
      <c r="AG44" s="120"/>
      <c r="AH44" s="120"/>
      <c r="AI44" s="120"/>
      <c r="AJ44" s="144"/>
      <c r="AK44" s="144"/>
      <c r="AL44" s="142"/>
      <c r="AM44" s="120"/>
      <c r="AN44" s="120"/>
      <c r="AO44" s="144"/>
      <c r="AP44" s="142"/>
    </row>
    <row r="45" spans="1:45">
      <c r="A45" s="138" t="s">
        <v>187</v>
      </c>
      <c r="B45" s="120"/>
      <c r="C45" s="120"/>
      <c r="D45" s="120"/>
      <c r="E45" s="131"/>
      <c r="F45" s="144">
        <f>F41-F43</f>
        <v>-86904.753832504997</v>
      </c>
      <c r="G45" s="131"/>
      <c r="H45" s="120"/>
      <c r="I45" s="142"/>
      <c r="J45" s="138" t="s">
        <v>187</v>
      </c>
      <c r="K45" s="120"/>
      <c r="L45" s="120"/>
      <c r="M45" s="120"/>
      <c r="N45" s="131"/>
      <c r="O45" s="144">
        <f>O41-O43</f>
        <v>-76880.909814325394</v>
      </c>
      <c r="P45" s="142"/>
      <c r="Q45" s="120"/>
      <c r="R45" s="120"/>
      <c r="S45" s="143">
        <f>S41-S43</f>
        <v>10023.844018179609</v>
      </c>
      <c r="T45" s="142"/>
      <c r="U45" s="138" t="s">
        <v>187</v>
      </c>
      <c r="V45" s="120"/>
      <c r="W45" s="120"/>
      <c r="X45" s="120"/>
      <c r="Y45" s="131"/>
      <c r="Z45" s="144">
        <f>Z41-Z43</f>
        <v>-76724.734275225826</v>
      </c>
      <c r="AA45" s="142"/>
      <c r="AB45" s="120"/>
      <c r="AC45" s="120"/>
      <c r="AD45" s="143">
        <f>AD41-AD43</f>
        <v>156.1755390995724</v>
      </c>
      <c r="AE45" s="142"/>
      <c r="AF45" s="138" t="s">
        <v>187</v>
      </c>
      <c r="AG45" s="120"/>
      <c r="AH45" s="120"/>
      <c r="AI45" s="120"/>
      <c r="AJ45" s="131"/>
      <c r="AK45" s="144">
        <f>AK41-AK43</f>
        <v>0</v>
      </c>
      <c r="AL45" s="142"/>
      <c r="AM45" s="120"/>
      <c r="AN45" s="120"/>
      <c r="AO45" s="143">
        <f>AO41-AO43</f>
        <v>0</v>
      </c>
      <c r="AP45" s="142"/>
      <c r="AQ45" s="65">
        <f>S45+AD45+AO45</f>
        <v>10180.019557279182</v>
      </c>
      <c r="AR45" s="65">
        <f>Z45+AK45-F45</f>
        <v>10180.019557279171</v>
      </c>
      <c r="AS45" s="65"/>
    </row>
    <row r="46" spans="1:45" ht="6.6" customHeight="1">
      <c r="A46" s="120"/>
      <c r="B46" s="120"/>
      <c r="C46" s="120"/>
      <c r="D46" s="120"/>
      <c r="E46" s="131"/>
      <c r="F46" s="131"/>
      <c r="G46" s="131"/>
      <c r="H46" s="120"/>
      <c r="I46" s="120"/>
      <c r="J46" s="120"/>
      <c r="K46" s="120"/>
      <c r="L46" s="120"/>
      <c r="M46" s="120"/>
      <c r="N46" s="131"/>
      <c r="O46" s="131"/>
      <c r="P46" s="120"/>
      <c r="Q46" s="120"/>
      <c r="R46" s="120"/>
      <c r="S46" s="131"/>
      <c r="U46" s="120"/>
      <c r="V46" s="120"/>
      <c r="W46" s="120"/>
      <c r="X46" s="120"/>
      <c r="Y46" s="131"/>
      <c r="Z46" s="131"/>
      <c r="AA46" s="120"/>
      <c r="AB46" s="120"/>
      <c r="AC46" s="120"/>
      <c r="AD46" s="131"/>
      <c r="AE46" s="131"/>
      <c r="AF46" s="120"/>
      <c r="AG46" s="120"/>
      <c r="AH46" s="120"/>
      <c r="AI46" s="120"/>
      <c r="AJ46" s="131"/>
      <c r="AK46" s="131"/>
      <c r="AL46" s="120"/>
      <c r="AM46" s="120"/>
      <c r="AN46" s="120"/>
      <c r="AO46" s="131"/>
    </row>
    <row r="47" spans="1:45" ht="15" hidden="1" customHeight="1">
      <c r="A47" s="138" t="s">
        <v>186</v>
      </c>
      <c r="B47" s="120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40">
        <f>S45/-0.620392</f>
        <v>-16157.274784619414</v>
      </c>
      <c r="U47" s="138" t="s">
        <v>186</v>
      </c>
      <c r="V47" s="120"/>
      <c r="W47" s="120"/>
      <c r="X47" s="120"/>
      <c r="Y47" s="120"/>
      <c r="Z47" s="120"/>
      <c r="AA47" s="120"/>
      <c r="AB47" s="120"/>
      <c r="AC47" s="120"/>
      <c r="AD47" s="140">
        <f>AD45/-0.620362</f>
        <v>-251.74904184906944</v>
      </c>
      <c r="AE47" s="140"/>
      <c r="AF47" s="120"/>
      <c r="AG47" s="120"/>
      <c r="AH47" s="120"/>
      <c r="AI47" s="120"/>
      <c r="AJ47" s="120"/>
      <c r="AK47" s="120"/>
      <c r="AL47" s="120"/>
      <c r="AM47" s="120"/>
      <c r="AN47" s="120"/>
      <c r="AO47" s="140">
        <f>AO45/-0.61941</f>
        <v>0</v>
      </c>
    </row>
    <row r="48" spans="1:45">
      <c r="A48" s="138" t="s">
        <v>185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 t="s">
        <v>184</v>
      </c>
      <c r="L48" s="120"/>
      <c r="M48" s="120"/>
      <c r="N48" s="120"/>
      <c r="O48" s="141">
        <f>-O41/K52*1000</f>
        <v>16.618715310268342</v>
      </c>
      <c r="P48" s="120"/>
      <c r="Q48" s="120"/>
      <c r="R48" s="120"/>
      <c r="S48" s="140"/>
      <c r="U48" s="138" t="s">
        <v>183</v>
      </c>
      <c r="V48" s="120"/>
      <c r="W48" s="120"/>
      <c r="X48" s="120"/>
      <c r="Y48" s="120"/>
      <c r="Z48" s="141">
        <f>-Z41/M52*1000</f>
        <v>16.947638766702497</v>
      </c>
      <c r="AA48" s="120"/>
      <c r="AB48" s="120"/>
      <c r="AC48" s="120"/>
      <c r="AD48" s="140"/>
      <c r="AE48" s="140"/>
      <c r="AF48" s="120"/>
      <c r="AG48" s="120"/>
      <c r="AH48" s="120"/>
      <c r="AI48" s="120"/>
      <c r="AJ48" s="120"/>
      <c r="AK48" s="120"/>
      <c r="AL48" s="120"/>
      <c r="AM48" s="120"/>
      <c r="AN48" s="120"/>
      <c r="AO48" s="140"/>
      <c r="AQ48" s="139"/>
    </row>
    <row r="49" spans="1:39" ht="9.6" customHeight="1">
      <c r="A49" s="138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37"/>
    </row>
    <row r="50" spans="1:39">
      <c r="A50" s="124" t="s">
        <v>320</v>
      </c>
      <c r="B50" s="120"/>
      <c r="C50" s="120"/>
      <c r="D50" s="131"/>
      <c r="E50" s="131"/>
      <c r="F50" s="131"/>
      <c r="G50" s="131"/>
      <c r="H50" s="136"/>
      <c r="I50" s="120"/>
      <c r="J50" s="120"/>
      <c r="K50" s="120"/>
      <c r="L50" s="120"/>
      <c r="M50" s="131"/>
      <c r="N50" s="131"/>
      <c r="O50" s="131"/>
      <c r="P50" s="120"/>
      <c r="Q50" s="131"/>
      <c r="R50" s="120"/>
      <c r="S50" s="131"/>
      <c r="U50" s="135"/>
    </row>
    <row r="51" spans="1:39">
      <c r="A51" s="293" t="s">
        <v>182</v>
      </c>
      <c r="B51" s="294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  <c r="O51" s="294"/>
      <c r="P51" s="294"/>
      <c r="Q51" s="294"/>
      <c r="R51" s="294"/>
      <c r="S51" s="294"/>
      <c r="U51" t="s">
        <v>181</v>
      </c>
      <c r="AD51" s="125">
        <f>-K56/1000</f>
        <v>-2109.7192539149996</v>
      </c>
      <c r="AE51" s="134"/>
      <c r="AF51" s="134"/>
      <c r="AG51" s="134"/>
      <c r="AH51" s="134"/>
      <c r="AI51" s="134"/>
      <c r="AJ51" s="134"/>
      <c r="AK51" s="134"/>
      <c r="AL51" s="134"/>
      <c r="AM51" s="134"/>
    </row>
    <row r="52" spans="1:39">
      <c r="A52" s="120"/>
      <c r="B52" s="120"/>
      <c r="C52" s="120"/>
      <c r="D52" s="120"/>
      <c r="E52" s="131"/>
      <c r="F52" s="120"/>
      <c r="G52" s="120"/>
      <c r="H52" s="121" t="s">
        <v>302</v>
      </c>
      <c r="I52" s="120"/>
      <c r="K52" s="130">
        <f>K53+K54</f>
        <v>5855904.3549999995</v>
      </c>
      <c r="L52" s="127" t="s">
        <v>176</v>
      </c>
      <c r="M52" s="133">
        <f>'WA RRC'!N11</f>
        <v>5730586.9059999995</v>
      </c>
      <c r="N52" s="131"/>
      <c r="O52" s="132" t="s">
        <v>321</v>
      </c>
      <c r="P52" s="120"/>
      <c r="Q52" s="120"/>
      <c r="R52" s="120"/>
      <c r="S52" s="131"/>
      <c r="U52" t="s">
        <v>180</v>
      </c>
      <c r="AD52" s="125">
        <f>-AD41-AD51</f>
        <v>1912.028698092756</v>
      </c>
    </row>
    <row r="53" spans="1:39">
      <c r="A53" s="120"/>
      <c r="B53" s="120"/>
      <c r="C53" s="120"/>
      <c r="D53" s="120"/>
      <c r="E53" s="120"/>
      <c r="F53" s="120"/>
      <c r="G53" s="120"/>
      <c r="H53" s="121" t="s">
        <v>247</v>
      </c>
      <c r="I53" s="120"/>
      <c r="K53" s="130">
        <f>M52</f>
        <v>5730586.9059999995</v>
      </c>
      <c r="L53" s="127" t="s">
        <v>176</v>
      </c>
      <c r="M53" s="130">
        <f>'WA RRC'!N12</f>
        <v>5669521</v>
      </c>
      <c r="N53" s="120"/>
      <c r="O53" s="120" t="s">
        <v>179</v>
      </c>
      <c r="P53" s="120"/>
      <c r="Q53" s="120"/>
      <c r="R53" s="120"/>
      <c r="S53" s="120"/>
      <c r="U53" t="s">
        <v>178</v>
      </c>
      <c r="AD53" s="129">
        <f>AD51+AD52</f>
        <v>-197.6905558222436</v>
      </c>
    </row>
    <row r="54" spans="1:39">
      <c r="A54" s="120"/>
      <c r="B54" s="120"/>
      <c r="C54" s="120"/>
      <c r="D54" s="120"/>
      <c r="E54" s="120"/>
      <c r="F54" s="120"/>
      <c r="G54" s="120"/>
      <c r="H54" s="121" t="s">
        <v>177</v>
      </c>
      <c r="I54" s="120"/>
      <c r="K54" s="128">
        <f>125317449/1000</f>
        <v>125317.44899999999</v>
      </c>
      <c r="L54" s="127" t="s">
        <v>176</v>
      </c>
      <c r="M54" s="126">
        <f>M52-M53</f>
        <v>61065.905999999493</v>
      </c>
      <c r="N54" s="120"/>
      <c r="O54" s="120" t="s">
        <v>175</v>
      </c>
      <c r="P54" s="120"/>
      <c r="Q54" s="120"/>
      <c r="R54" s="120"/>
      <c r="S54" s="120"/>
      <c r="AD54" s="125"/>
    </row>
    <row r="55" spans="1:39">
      <c r="A55" s="120"/>
      <c r="B55" s="120"/>
      <c r="C55" s="120"/>
      <c r="D55" s="120"/>
      <c r="E55" s="120"/>
      <c r="F55" s="120"/>
      <c r="G55" s="120"/>
      <c r="H55" s="121" t="s">
        <v>173</v>
      </c>
      <c r="I55" s="120"/>
      <c r="K55" s="122">
        <f>((18.11/12*9)+(13.01/12*3))</f>
        <v>16.835000000000001</v>
      </c>
      <c r="L55" s="123" t="s">
        <v>174</v>
      </c>
      <c r="M55" s="122">
        <v>16.84</v>
      </c>
      <c r="N55" s="120"/>
      <c r="O55" s="120" t="s">
        <v>173</v>
      </c>
      <c r="P55" s="124"/>
      <c r="Q55" s="120"/>
      <c r="R55" s="120"/>
      <c r="S55" s="120"/>
      <c r="U55" s="120"/>
      <c r="V55" s="121"/>
      <c r="W55" s="120"/>
      <c r="X55" s="122"/>
      <c r="Y55" s="123"/>
      <c r="Z55" s="122"/>
      <c r="AB55" s="120"/>
    </row>
    <row r="56" spans="1:39">
      <c r="A56" s="120"/>
      <c r="B56" s="120"/>
      <c r="C56" s="120"/>
      <c r="D56" s="120"/>
      <c r="E56" s="120"/>
      <c r="F56" s="120"/>
      <c r="G56" s="120"/>
      <c r="H56" s="121" t="s">
        <v>172</v>
      </c>
      <c r="I56" s="120"/>
      <c r="K56" s="35">
        <f>K54*K55</f>
        <v>2109719.2539149998</v>
      </c>
      <c r="L56" s="120"/>
      <c r="M56" s="35">
        <f>M54*M55</f>
        <v>1028349.8570399914</v>
      </c>
      <c r="N56" s="120"/>
      <c r="O56" s="120" t="s">
        <v>171</v>
      </c>
      <c r="P56" s="120"/>
      <c r="Q56" s="120"/>
      <c r="R56" s="120"/>
      <c r="S56" s="120"/>
      <c r="U56" s="120"/>
      <c r="V56" s="121"/>
      <c r="W56" s="120"/>
      <c r="X56" s="35"/>
      <c r="Y56" s="120"/>
      <c r="Z56" s="35"/>
      <c r="AB56" s="120"/>
    </row>
    <row r="58" spans="1:39">
      <c r="G58" s="119" t="s">
        <v>170</v>
      </c>
      <c r="H58" s="119"/>
      <c r="I58" s="119"/>
      <c r="J58" s="119"/>
      <c r="K58" s="118">
        <f>K56/K54</f>
        <v>16.835000000000001</v>
      </c>
    </row>
  </sheetData>
  <mergeCells count="17">
    <mergeCell ref="K1:O1"/>
    <mergeCell ref="U1:Z1"/>
    <mergeCell ref="AG1:AK1"/>
    <mergeCell ref="K2:O2"/>
    <mergeCell ref="U2:Z2"/>
    <mergeCell ref="AG2:AK3"/>
    <mergeCell ref="K3:O5"/>
    <mergeCell ref="U3:Z5"/>
    <mergeCell ref="AG5:AK5"/>
    <mergeCell ref="A51:S51"/>
    <mergeCell ref="A6:H6"/>
    <mergeCell ref="J6:O6"/>
    <mergeCell ref="U6:Z6"/>
    <mergeCell ref="AF6:AK6"/>
    <mergeCell ref="K7:O7"/>
    <mergeCell ref="U7:Z7"/>
    <mergeCell ref="AG7:AK7"/>
  </mergeCells>
  <printOptions horizontalCentered="1"/>
  <pageMargins left="0.7" right="0.7" top="0.65" bottom="0.5" header="0.3" footer="0.3"/>
  <pageSetup scale="75" orientation="landscape" r:id="rId1"/>
  <headerFooter scaleWithDoc="0">
    <oddFooter>&amp;C&amp;F / &amp;A&amp;RPage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96376-6693-4D49-9F48-99F43F1ADB94}">
  <dimension ref="A1:P154"/>
  <sheetViews>
    <sheetView zoomScaleNormal="100" zoomScaleSheetLayoutView="100" workbookViewId="0">
      <selection activeCell="F22" sqref="F22"/>
    </sheetView>
  </sheetViews>
  <sheetFormatPr defaultRowHeight="15"/>
  <cols>
    <col min="1" max="1" width="37.28515625" customWidth="1"/>
    <col min="2" max="2" width="13.85546875" customWidth="1"/>
    <col min="3" max="3" width="12.7109375" customWidth="1"/>
    <col min="4" max="4" width="11.85546875" customWidth="1"/>
    <col min="5" max="5" width="11.7109375" customWidth="1"/>
    <col min="6" max="6" width="12.5703125" customWidth="1"/>
    <col min="7" max="7" width="12.140625" customWidth="1"/>
    <col min="8" max="8" width="12.28515625" customWidth="1"/>
    <col min="9" max="10" width="11.85546875" customWidth="1"/>
    <col min="11" max="11" width="14.28515625" customWidth="1"/>
    <col min="12" max="12" width="12.42578125" customWidth="1"/>
    <col min="13" max="13" width="13" customWidth="1"/>
    <col min="14" max="14" width="12.7109375" customWidth="1"/>
    <col min="15" max="15" width="15.42578125" bestFit="1" customWidth="1"/>
    <col min="18" max="18" width="12.140625" bestFit="1" customWidth="1"/>
  </cols>
  <sheetData>
    <row r="1" spans="1:14" ht="18">
      <c r="A1" s="78" t="s">
        <v>115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18">
      <c r="A2" s="78" t="s">
        <v>151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ht="18">
      <c r="A3" s="80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4" ht="18">
      <c r="A4" s="81" t="s">
        <v>301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5.75">
      <c r="A5" s="82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>
      <c r="A6" s="83" t="s">
        <v>119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>
      <c r="A7" s="83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>
      <c r="A8" s="79"/>
      <c r="B8" s="84" t="s">
        <v>7</v>
      </c>
      <c r="C8" s="85" t="s">
        <v>120</v>
      </c>
      <c r="D8" s="85" t="s">
        <v>121</v>
      </c>
      <c r="E8" s="85" t="s">
        <v>122</v>
      </c>
      <c r="F8" s="85" t="s">
        <v>123</v>
      </c>
      <c r="G8" s="85" t="s">
        <v>124</v>
      </c>
      <c r="H8" s="85" t="s">
        <v>125</v>
      </c>
      <c r="I8" s="85" t="s">
        <v>126</v>
      </c>
      <c r="J8" s="85" t="s">
        <v>127</v>
      </c>
      <c r="K8" s="85" t="s">
        <v>128</v>
      </c>
      <c r="L8" s="85" t="s">
        <v>129</v>
      </c>
      <c r="M8" s="85" t="s">
        <v>130</v>
      </c>
      <c r="N8" s="85" t="s">
        <v>131</v>
      </c>
    </row>
    <row r="9" spans="1:14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</row>
    <row r="10" spans="1:14">
      <c r="A10" s="79" t="s">
        <v>132</v>
      </c>
      <c r="B10" s="108">
        <f>SUM(C10:N10)</f>
        <v>107479260.65754485</v>
      </c>
      <c r="C10" s="108">
        <f t="shared" ref="C10:K10" si="0">C56</f>
        <v>11810646</v>
      </c>
      <c r="D10" s="108">
        <f t="shared" si="0"/>
        <v>10948943</v>
      </c>
      <c r="E10" s="108">
        <f t="shared" si="0"/>
        <v>10208756</v>
      </c>
      <c r="F10" s="108">
        <f t="shared" si="0"/>
        <v>9754466</v>
      </c>
      <c r="G10" s="108">
        <f t="shared" si="0"/>
        <v>7204007</v>
      </c>
      <c r="H10" s="108">
        <f t="shared" si="0"/>
        <v>6832768</v>
      </c>
      <c r="I10" s="108">
        <f t="shared" si="0"/>
        <v>7367141</v>
      </c>
      <c r="J10" s="108">
        <f t="shared" si="0"/>
        <v>8064916</v>
      </c>
      <c r="K10" s="108">
        <f t="shared" si="0"/>
        <v>7448796</v>
      </c>
      <c r="L10" s="106">
        <f>C109</f>
        <v>8843271.80570703</v>
      </c>
      <c r="M10" s="106">
        <f t="shared" ref="M10:N10" si="1">D109</f>
        <v>9402762.2841071673</v>
      </c>
      <c r="N10" s="106">
        <f t="shared" si="1"/>
        <v>9592787.5677306503</v>
      </c>
    </row>
    <row r="11" spans="1:14">
      <c r="A11" s="79"/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86"/>
      <c r="M11" s="86"/>
      <c r="N11" s="86"/>
    </row>
    <row r="12" spans="1:14">
      <c r="A12" s="79" t="s">
        <v>133</v>
      </c>
      <c r="B12" s="108">
        <f>SUM(C12:N12)</f>
        <v>29615657.076488558</v>
      </c>
      <c r="C12" s="108">
        <f t="shared" ref="C12:K12" si="2">C58</f>
        <v>2892906</v>
      </c>
      <c r="D12" s="108">
        <f t="shared" si="2"/>
        <v>2671552</v>
      </c>
      <c r="E12" s="108">
        <f t="shared" si="2"/>
        <v>2768328</v>
      </c>
      <c r="F12" s="108">
        <f t="shared" si="2"/>
        <v>2491505</v>
      </c>
      <c r="G12" s="108">
        <f t="shared" si="2"/>
        <v>1551263</v>
      </c>
      <c r="H12" s="108">
        <f t="shared" si="2"/>
        <v>1358751</v>
      </c>
      <c r="I12" s="108">
        <f t="shared" si="2"/>
        <v>2219592</v>
      </c>
      <c r="J12" s="108">
        <f t="shared" si="2"/>
        <v>2478125</v>
      </c>
      <c r="K12" s="108">
        <f t="shared" si="2"/>
        <v>2578207</v>
      </c>
      <c r="L12" s="106">
        <f>C111</f>
        <v>3193370.2328346614</v>
      </c>
      <c r="M12" s="106">
        <f t="shared" ref="M12:N12" si="3">D111</f>
        <v>2640328.8294248036</v>
      </c>
      <c r="N12" s="106">
        <f t="shared" si="3"/>
        <v>2771729.0142290951</v>
      </c>
    </row>
    <row r="13" spans="1:14">
      <c r="A13" s="79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86"/>
      <c r="M13" s="86"/>
      <c r="N13" s="86"/>
    </row>
    <row r="14" spans="1:14">
      <c r="A14" s="79" t="s">
        <v>134</v>
      </c>
      <c r="B14" s="108">
        <f>SUM(C14:N14)</f>
        <v>80286954.270419791</v>
      </c>
      <c r="C14" s="108">
        <f t="shared" ref="C14:K14" si="4">C60</f>
        <v>8800467</v>
      </c>
      <c r="D14" s="108">
        <f t="shared" si="4"/>
        <v>7046200</v>
      </c>
      <c r="E14" s="108">
        <f t="shared" si="4"/>
        <v>6405717</v>
      </c>
      <c r="F14" s="108">
        <f t="shared" si="4"/>
        <v>4139185</v>
      </c>
      <c r="G14" s="108">
        <f t="shared" si="4"/>
        <v>1426182</v>
      </c>
      <c r="H14" s="108">
        <f t="shared" si="4"/>
        <v>1698327</v>
      </c>
      <c r="I14" s="108">
        <f t="shared" si="4"/>
        <v>5653252</v>
      </c>
      <c r="J14" s="108">
        <f t="shared" si="4"/>
        <v>7341418</v>
      </c>
      <c r="K14" s="108">
        <f t="shared" si="4"/>
        <v>6493558</v>
      </c>
      <c r="L14" s="106">
        <f>C113</f>
        <v>9531785.4900678284</v>
      </c>
      <c r="M14" s="106">
        <f t="shared" ref="M14:N14" si="5">D113</f>
        <v>9667646.324582424</v>
      </c>
      <c r="N14" s="106">
        <f t="shared" si="5"/>
        <v>12083216.455769544</v>
      </c>
    </row>
    <row r="15" spans="1:14">
      <c r="A15" s="79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86"/>
      <c r="M15" s="86"/>
      <c r="N15" s="86"/>
    </row>
    <row r="16" spans="1:14">
      <c r="A16" s="79" t="s">
        <v>154</v>
      </c>
      <c r="B16" s="108">
        <f>SUM(C16:N16)</f>
        <v>466156.8200833333</v>
      </c>
      <c r="C16" s="108">
        <f t="shared" ref="C16:K16" si="6">C70</f>
        <v>34250</v>
      </c>
      <c r="D16" s="108">
        <f t="shared" si="6"/>
        <v>34250</v>
      </c>
      <c r="E16" s="108">
        <f t="shared" si="6"/>
        <v>34250</v>
      </c>
      <c r="F16" s="108">
        <f t="shared" si="6"/>
        <v>34250</v>
      </c>
      <c r="G16" s="108">
        <f t="shared" si="6"/>
        <v>34250</v>
      </c>
      <c r="H16" s="108">
        <f t="shared" si="6"/>
        <v>34250</v>
      </c>
      <c r="I16" s="108">
        <f t="shared" si="6"/>
        <v>34250</v>
      </c>
      <c r="J16" s="108">
        <f t="shared" si="6"/>
        <v>34250</v>
      </c>
      <c r="K16" s="108">
        <f t="shared" si="6"/>
        <v>34250</v>
      </c>
      <c r="L16" s="113">
        <f>C115</f>
        <v>52635.606694444417</v>
      </c>
      <c r="M16" s="113">
        <f t="shared" ref="M16:N16" si="7">D115</f>
        <v>52635.606694444417</v>
      </c>
      <c r="N16" s="113">
        <f t="shared" si="7"/>
        <v>52635.606694444417</v>
      </c>
    </row>
    <row r="17" spans="1:16">
      <c r="A17" s="79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86"/>
      <c r="M17" s="86"/>
      <c r="N17" s="86"/>
    </row>
    <row r="18" spans="1:16">
      <c r="A18" s="79" t="s">
        <v>155</v>
      </c>
      <c r="B18" s="108">
        <f>SUM(C18:N18)</f>
        <v>17454575.842500001</v>
      </c>
      <c r="C18" s="108">
        <f t="shared" ref="C18:K18" si="8">C66</f>
        <v>1386858</v>
      </c>
      <c r="D18" s="108">
        <f t="shared" si="8"/>
        <v>1618473</v>
      </c>
      <c r="E18" s="108">
        <f t="shared" si="8"/>
        <v>1456728</v>
      </c>
      <c r="F18" s="108">
        <f t="shared" si="8"/>
        <v>1423781</v>
      </c>
      <c r="G18" s="108">
        <f t="shared" si="8"/>
        <v>1394142</v>
      </c>
      <c r="H18" s="108">
        <f t="shared" si="8"/>
        <v>1391308</v>
      </c>
      <c r="I18" s="108">
        <f t="shared" si="8"/>
        <v>1452951</v>
      </c>
      <c r="J18" s="108">
        <f t="shared" si="8"/>
        <v>1443202</v>
      </c>
      <c r="K18" s="108">
        <f t="shared" si="8"/>
        <v>1567441</v>
      </c>
      <c r="L18" s="113">
        <f>C117</f>
        <v>1439897.280833333</v>
      </c>
      <c r="M18" s="113">
        <f t="shared" ref="M18:N18" si="9">D117</f>
        <v>1439897.280833333</v>
      </c>
      <c r="N18" s="113">
        <f t="shared" si="9"/>
        <v>1439897.280833333</v>
      </c>
    </row>
    <row r="19" spans="1:16">
      <c r="A19" s="79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86"/>
      <c r="M19" s="86"/>
      <c r="N19" s="86"/>
    </row>
    <row r="20" spans="1:16">
      <c r="A20" s="79" t="s">
        <v>156</v>
      </c>
      <c r="B20" s="108">
        <f>SUM(C20:N20)</f>
        <v>-656855.90733465611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13">
        <f>C119</f>
        <v>-420269.95203508291</v>
      </c>
      <c r="M20" s="113">
        <f t="shared" ref="M20:N20" si="10">D119</f>
        <v>-363660.47155344806</v>
      </c>
      <c r="N20" s="113">
        <f t="shared" si="10"/>
        <v>127074.51625387491</v>
      </c>
    </row>
    <row r="21" spans="1:16">
      <c r="A21" s="79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86"/>
      <c r="M21" s="86"/>
      <c r="N21" s="86"/>
    </row>
    <row r="22" spans="1:16">
      <c r="A22" s="87" t="s">
        <v>135</v>
      </c>
      <c r="B22" s="109">
        <f>SUM(C22:N22)</f>
        <v>-69140595.561921388</v>
      </c>
      <c r="C22" s="109">
        <f t="shared" ref="C22:K22" si="11">-C62</f>
        <v>-5410854</v>
      </c>
      <c r="D22" s="109">
        <f t="shared" si="11"/>
        <v>-3688134</v>
      </c>
      <c r="E22" s="109">
        <f t="shared" si="11"/>
        <v>-4363041</v>
      </c>
      <c r="F22" s="109">
        <f t="shared" si="11"/>
        <v>-6216672</v>
      </c>
      <c r="G22" s="109">
        <f t="shared" si="11"/>
        <v>-3992970</v>
      </c>
      <c r="H22" s="109">
        <f t="shared" si="11"/>
        <v>-3782256</v>
      </c>
      <c r="I22" s="109">
        <f t="shared" si="11"/>
        <v>-5325599</v>
      </c>
      <c r="J22" s="109">
        <f t="shared" si="11"/>
        <v>-3215251</v>
      </c>
      <c r="K22" s="109">
        <f t="shared" si="11"/>
        <v>-4016772</v>
      </c>
      <c r="L22" s="107">
        <f>C121</f>
        <v>-8663704.2896630857</v>
      </c>
      <c r="M22" s="107">
        <f t="shared" ref="M22:N22" si="12">D121</f>
        <v>-8697131.9248559568</v>
      </c>
      <c r="N22" s="107">
        <f t="shared" si="12"/>
        <v>-11768210.347402344</v>
      </c>
    </row>
    <row r="23" spans="1:16">
      <c r="A23" s="79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86"/>
      <c r="M23" s="86"/>
      <c r="N23" s="86"/>
    </row>
    <row r="24" spans="1:16">
      <c r="A24" s="89" t="s">
        <v>136</v>
      </c>
      <c r="B24" s="110">
        <f>SUM(C24:N24)</f>
        <v>165505153.19778052</v>
      </c>
      <c r="C24" s="110">
        <f>SUM(C10:C22)</f>
        <v>19514273</v>
      </c>
      <c r="D24" s="110">
        <f t="shared" ref="D24:N24" si="13">SUM(D10:D22)</f>
        <v>18631284</v>
      </c>
      <c r="E24" s="110">
        <f t="shared" si="13"/>
        <v>16510738</v>
      </c>
      <c r="F24" s="110">
        <f t="shared" si="13"/>
        <v>11626515</v>
      </c>
      <c r="G24" s="110">
        <f t="shared" si="13"/>
        <v>7616874</v>
      </c>
      <c r="H24" s="110">
        <f t="shared" si="13"/>
        <v>7533148</v>
      </c>
      <c r="I24" s="110">
        <f t="shared" si="13"/>
        <v>11401587</v>
      </c>
      <c r="J24" s="110">
        <f t="shared" si="13"/>
        <v>16146660</v>
      </c>
      <c r="K24" s="110">
        <f t="shared" si="13"/>
        <v>14105480</v>
      </c>
      <c r="L24" s="90">
        <f t="shared" si="13"/>
        <v>13976986.17443913</v>
      </c>
      <c r="M24" s="90">
        <f t="shared" si="13"/>
        <v>14142477.929232771</v>
      </c>
      <c r="N24" s="90">
        <f t="shared" si="13"/>
        <v>14299130.094108598</v>
      </c>
    </row>
    <row r="25" spans="1:16">
      <c r="A25" s="79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86"/>
      <c r="M25" s="86"/>
      <c r="N25" s="86"/>
    </row>
    <row r="26" spans="1:16">
      <c r="A26" s="79" t="s">
        <v>157</v>
      </c>
      <c r="B26" s="108">
        <f>SUM(C26:N26)</f>
        <v>-17237402</v>
      </c>
      <c r="C26" s="108">
        <f t="shared" ref="C26:K26" si="14">-C68</f>
        <v>-1062694</v>
      </c>
      <c r="D26" s="108">
        <f t="shared" si="14"/>
        <v>-1178481</v>
      </c>
      <c r="E26" s="108">
        <f t="shared" si="14"/>
        <v>-1177115</v>
      </c>
      <c r="F26" s="108">
        <f t="shared" si="14"/>
        <v>-1141305</v>
      </c>
      <c r="G26" s="108">
        <f t="shared" si="14"/>
        <v>-1253488</v>
      </c>
      <c r="H26" s="108">
        <f t="shared" si="14"/>
        <v>-1398529</v>
      </c>
      <c r="I26" s="108">
        <f t="shared" si="14"/>
        <v>-1450378</v>
      </c>
      <c r="J26" s="108">
        <f t="shared" si="14"/>
        <v>-1346819</v>
      </c>
      <c r="K26" s="108">
        <f t="shared" si="14"/>
        <v>-1372213</v>
      </c>
      <c r="L26" s="113">
        <f>C125</f>
        <v>-1643339</v>
      </c>
      <c r="M26" s="113">
        <f t="shared" ref="M26:N26" si="15">D125</f>
        <v>-1954560</v>
      </c>
      <c r="N26" s="113">
        <f t="shared" si="15"/>
        <v>-2258481</v>
      </c>
    </row>
    <row r="27" spans="1:16">
      <c r="A27" s="89"/>
      <c r="B27" s="86"/>
      <c r="C27" s="111"/>
      <c r="D27" s="111"/>
      <c r="E27" s="111"/>
      <c r="F27" s="111"/>
      <c r="G27" s="111"/>
      <c r="H27" s="111"/>
      <c r="I27" s="111"/>
      <c r="J27" s="111"/>
      <c r="K27" s="111"/>
      <c r="L27" s="79"/>
      <c r="M27" s="79"/>
      <c r="N27" s="79"/>
    </row>
    <row r="28" spans="1:16" ht="15.75" thickBot="1">
      <c r="A28" s="89" t="s">
        <v>158</v>
      </c>
      <c r="B28" s="91">
        <f>SUM(C28:N28)</f>
        <v>148267751.19778052</v>
      </c>
      <c r="C28" s="112">
        <f>C24+C26</f>
        <v>18451579</v>
      </c>
      <c r="D28" s="112">
        <f t="shared" ref="D28:N28" si="16">D24+D26</f>
        <v>17452803</v>
      </c>
      <c r="E28" s="112">
        <f t="shared" si="16"/>
        <v>15333623</v>
      </c>
      <c r="F28" s="112">
        <f t="shared" si="16"/>
        <v>10485210</v>
      </c>
      <c r="G28" s="112">
        <f t="shared" si="16"/>
        <v>6363386</v>
      </c>
      <c r="H28" s="112">
        <f t="shared" si="16"/>
        <v>6134619</v>
      </c>
      <c r="I28" s="112">
        <f t="shared" si="16"/>
        <v>9951209</v>
      </c>
      <c r="J28" s="112">
        <f t="shared" si="16"/>
        <v>14799841</v>
      </c>
      <c r="K28" s="112">
        <f t="shared" si="16"/>
        <v>12733267</v>
      </c>
      <c r="L28" s="91">
        <f t="shared" si="16"/>
        <v>12333647.17443913</v>
      </c>
      <c r="M28" s="91">
        <f t="shared" si="16"/>
        <v>12187917.929232771</v>
      </c>
      <c r="N28" s="91">
        <f t="shared" si="16"/>
        <v>12040649.094108598</v>
      </c>
      <c r="O28" s="116">
        <v>148267751</v>
      </c>
      <c r="P28" s="116" t="s">
        <v>168</v>
      </c>
    </row>
    <row r="29" spans="1:16" ht="15.75" thickTop="1">
      <c r="A29" s="79">
        <f>B29/B28</f>
        <v>0.65707806372247379</v>
      </c>
      <c r="B29" s="115">
        <f>SUM(C29:N29)</f>
        <v>97423486.869523123</v>
      </c>
      <c r="C29" s="115">
        <f>C28*0.6573</f>
        <v>12128222.876700001</v>
      </c>
      <c r="D29" s="115">
        <f t="shared" ref="D29:K29" si="17">D28*0.6573</f>
        <v>11471727.411900001</v>
      </c>
      <c r="E29" s="115">
        <f t="shared" si="17"/>
        <v>10078790.3979</v>
      </c>
      <c r="F29" s="115">
        <f t="shared" si="17"/>
        <v>6891928.5329999998</v>
      </c>
      <c r="G29" s="115">
        <f t="shared" si="17"/>
        <v>4182653.6178000001</v>
      </c>
      <c r="H29" s="115">
        <f t="shared" si="17"/>
        <v>4032285.0687000002</v>
      </c>
      <c r="I29" s="115">
        <f t="shared" si="17"/>
        <v>6540929.6756999996</v>
      </c>
      <c r="J29" s="115">
        <f t="shared" si="17"/>
        <v>9727935.4892999995</v>
      </c>
      <c r="K29" s="115">
        <f t="shared" si="17"/>
        <v>8369576.3991</v>
      </c>
      <c r="L29" s="115">
        <f>L28*0.6564</f>
        <v>8095806.0053018453</v>
      </c>
      <c r="M29" s="115">
        <f t="shared" ref="M29:N29" si="18">M28*0.6564</f>
        <v>8000149.3287483901</v>
      </c>
      <c r="N29" s="115">
        <f t="shared" si="18"/>
        <v>7903482.0653728833</v>
      </c>
    </row>
    <row r="30" spans="1:16">
      <c r="A30" s="79" t="s">
        <v>167</v>
      </c>
      <c r="B30" s="86">
        <f>SUM(C30:N30)</f>
        <v>-1490250</v>
      </c>
      <c r="C30" s="108">
        <f t="shared" ref="C30:K30" si="19">C76</f>
        <v>-165583.33333333334</v>
      </c>
      <c r="D30" s="108">
        <f t="shared" si="19"/>
        <v>-165583.33333333334</v>
      </c>
      <c r="E30" s="108">
        <f t="shared" si="19"/>
        <v>-165583.33333333334</v>
      </c>
      <c r="F30" s="108">
        <f t="shared" si="19"/>
        <v>-165583.33333333334</v>
      </c>
      <c r="G30" s="108">
        <f t="shared" si="19"/>
        <v>-165583.33333333334</v>
      </c>
      <c r="H30" s="108">
        <f t="shared" si="19"/>
        <v>-165583.33333333334</v>
      </c>
      <c r="I30" s="108">
        <f t="shared" si="19"/>
        <v>-165583.33333333334</v>
      </c>
      <c r="J30" s="108">
        <f t="shared" si="19"/>
        <v>-165583.33333333334</v>
      </c>
      <c r="K30" s="108">
        <f t="shared" si="19"/>
        <v>-165583.33333333334</v>
      </c>
      <c r="L30" s="86">
        <v>0</v>
      </c>
      <c r="M30" s="86">
        <v>0</v>
      </c>
      <c r="N30" s="86">
        <v>0</v>
      </c>
      <c r="O30" s="116">
        <f>(251914*9)*0.6573</f>
        <v>1490247.6498</v>
      </c>
      <c r="P30" s="116" t="s">
        <v>169</v>
      </c>
    </row>
    <row r="31" spans="1:16">
      <c r="A31" s="83"/>
      <c r="B31" s="79"/>
      <c r="C31" s="108"/>
      <c r="D31" s="111"/>
      <c r="E31" s="111"/>
      <c r="F31" s="111"/>
      <c r="G31" s="111"/>
      <c r="H31" s="111"/>
      <c r="I31" s="111"/>
      <c r="J31" s="111"/>
      <c r="K31" s="111"/>
      <c r="L31" s="79"/>
      <c r="M31" s="79"/>
      <c r="N31" s="79"/>
    </row>
    <row r="32" spans="1:16" ht="15.75" thickBot="1">
      <c r="A32" s="89" t="s">
        <v>159</v>
      </c>
      <c r="B32" s="112">
        <f>(B28*0.6573)+B30</f>
        <v>95966142.862301141</v>
      </c>
      <c r="C32" s="112">
        <f>(C28*0.6573)+C30</f>
        <v>11962639.543366667</v>
      </c>
      <c r="D32" s="112">
        <f t="shared" ref="D32:K32" si="20">(D28*0.6573)+D30</f>
        <v>11306144.078566667</v>
      </c>
      <c r="E32" s="112">
        <f t="shared" si="20"/>
        <v>9913207.0645666663</v>
      </c>
      <c r="F32" s="112">
        <f t="shared" si="20"/>
        <v>6726345.1996666668</v>
      </c>
      <c r="G32" s="112">
        <f t="shared" si="20"/>
        <v>4017070.2844666666</v>
      </c>
      <c r="H32" s="112">
        <f t="shared" si="20"/>
        <v>3866701.7353666667</v>
      </c>
      <c r="I32" s="112">
        <f t="shared" si="20"/>
        <v>6375346.3423666665</v>
      </c>
      <c r="J32" s="112">
        <f t="shared" si="20"/>
        <v>9562352.1559666656</v>
      </c>
      <c r="K32" s="112">
        <f t="shared" si="20"/>
        <v>8203993.065766667</v>
      </c>
      <c r="L32" s="91">
        <f>(L28*0.6564)</f>
        <v>8095806.0053018453</v>
      </c>
      <c r="M32" s="91">
        <f t="shared" ref="M32:N32" si="21">(M28*0.6564)</f>
        <v>8000149.3287483901</v>
      </c>
      <c r="N32" s="91">
        <f t="shared" si="21"/>
        <v>7903482.0653728833</v>
      </c>
    </row>
    <row r="33" spans="1:14" ht="15.75" thickTop="1">
      <c r="A33" s="79"/>
      <c r="B33" s="79"/>
      <c r="C33" s="114">
        <f t="shared" ref="C33:K33" si="22">C78</f>
        <v>11962639.543366667</v>
      </c>
      <c r="D33" s="114">
        <f t="shared" si="22"/>
        <v>11306144.078566667</v>
      </c>
      <c r="E33" s="114">
        <f t="shared" si="22"/>
        <v>9913207.0645666663</v>
      </c>
      <c r="F33" s="114">
        <f t="shared" si="22"/>
        <v>6726345.1996666668</v>
      </c>
      <c r="G33" s="114">
        <f t="shared" si="22"/>
        <v>4017070.2844666666</v>
      </c>
      <c r="H33" s="114">
        <f t="shared" si="22"/>
        <v>3866701.7353666667</v>
      </c>
      <c r="I33" s="114">
        <f t="shared" si="22"/>
        <v>6375346.3423666665</v>
      </c>
      <c r="J33" s="114">
        <f t="shared" si="22"/>
        <v>9562352.1559666656</v>
      </c>
      <c r="K33" s="114">
        <f t="shared" si="22"/>
        <v>8203993.065766667</v>
      </c>
      <c r="L33" s="115">
        <f>C130</f>
        <v>8095806.0053018453</v>
      </c>
      <c r="M33" s="115">
        <f t="shared" ref="M33:N33" si="23">D130</f>
        <v>8000149.3287483901</v>
      </c>
      <c r="N33" s="115">
        <f t="shared" si="23"/>
        <v>7903482.0653728833</v>
      </c>
    </row>
    <row r="34" spans="1:14">
      <c r="A34" s="83" t="s">
        <v>144</v>
      </c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</row>
    <row r="35" spans="1:14">
      <c r="A35" s="79"/>
      <c r="B35" s="86"/>
      <c r="C35" s="92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</row>
    <row r="36" spans="1:14">
      <c r="A36" s="117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</row>
    <row r="39" spans="1:14">
      <c r="A39" s="53" t="s">
        <v>105</v>
      </c>
      <c r="C39" s="54" t="s">
        <v>106</v>
      </c>
      <c r="D39" s="55" t="s">
        <v>107</v>
      </c>
      <c r="E39" s="55"/>
      <c r="F39" s="55"/>
      <c r="G39" s="55"/>
      <c r="H39" s="55"/>
      <c r="I39" s="55"/>
      <c r="J39" s="55"/>
      <c r="K39" s="56"/>
    </row>
    <row r="40" spans="1:14">
      <c r="A40" s="53" t="s">
        <v>108</v>
      </c>
      <c r="C40" s="57"/>
      <c r="D40" s="58" t="s">
        <v>109</v>
      </c>
      <c r="E40" s="58"/>
      <c r="F40" s="58"/>
      <c r="G40" s="58"/>
      <c r="H40" s="58"/>
      <c r="I40" s="58"/>
      <c r="J40" s="58"/>
      <c r="K40" s="59"/>
    </row>
    <row r="41" spans="1:14">
      <c r="A41" s="53" t="s">
        <v>110</v>
      </c>
    </row>
    <row r="42" spans="1:14">
      <c r="A42" s="53" t="s">
        <v>111</v>
      </c>
    </row>
    <row r="43" spans="1:14">
      <c r="A43" s="53"/>
    </row>
    <row r="44" spans="1:14" ht="18.75">
      <c r="A44" s="301" t="s">
        <v>112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</row>
    <row r="46" spans="1:14">
      <c r="A46" s="60" t="s">
        <v>113</v>
      </c>
      <c r="B46" s="53" t="s">
        <v>114</v>
      </c>
    </row>
    <row r="47" spans="1:14" ht="15.75">
      <c r="A47" s="61" t="s">
        <v>115</v>
      </c>
    </row>
    <row r="48" spans="1:14" ht="15.75">
      <c r="A48" s="61" t="s">
        <v>116</v>
      </c>
    </row>
    <row r="49" spans="1:14" ht="15.75">
      <c r="A49" s="61" t="s">
        <v>117</v>
      </c>
    </row>
    <row r="50" spans="1:14" ht="15.75">
      <c r="A50" s="61" t="s">
        <v>118</v>
      </c>
    </row>
    <row r="51" spans="1:14" ht="15.75">
      <c r="A51" s="61"/>
    </row>
    <row r="52" spans="1:14">
      <c r="A52" s="62" t="s">
        <v>119</v>
      </c>
    </row>
    <row r="53" spans="1:14">
      <c r="A53" s="62"/>
    </row>
    <row r="54" spans="1:14">
      <c r="B54" s="63" t="s">
        <v>7</v>
      </c>
      <c r="C54" s="64" t="s">
        <v>120</v>
      </c>
      <c r="D54" s="64" t="s">
        <v>121</v>
      </c>
      <c r="E54" s="64" t="s">
        <v>122</v>
      </c>
      <c r="F54" s="64" t="s">
        <v>123</v>
      </c>
      <c r="G54" s="64" t="s">
        <v>124</v>
      </c>
      <c r="H54" s="64" t="s">
        <v>125</v>
      </c>
      <c r="I54" s="64" t="s">
        <v>126</v>
      </c>
      <c r="J54" s="64" t="s">
        <v>127</v>
      </c>
      <c r="K54" s="64" t="s">
        <v>128</v>
      </c>
      <c r="L54" s="64" t="s">
        <v>129</v>
      </c>
      <c r="M54" s="64" t="s">
        <v>130</v>
      </c>
      <c r="N54" s="64" t="s">
        <v>131</v>
      </c>
    </row>
    <row r="56" spans="1:14">
      <c r="A56" t="s">
        <v>132</v>
      </c>
      <c r="B56" s="65">
        <f>SUM(C56:N56)</f>
        <v>111395052</v>
      </c>
      <c r="C56" s="65">
        <v>11810646</v>
      </c>
      <c r="D56" s="65">
        <v>10948943</v>
      </c>
      <c r="E56" s="65">
        <v>10208756</v>
      </c>
      <c r="F56" s="65">
        <v>9754466</v>
      </c>
      <c r="G56" s="65">
        <v>7204007</v>
      </c>
      <c r="H56" s="65">
        <v>6832768</v>
      </c>
      <c r="I56" s="65">
        <v>7367141</v>
      </c>
      <c r="J56" s="65">
        <v>8064916</v>
      </c>
      <c r="K56" s="65">
        <v>7448796</v>
      </c>
      <c r="L56" s="65">
        <v>7999787</v>
      </c>
      <c r="M56" s="65">
        <v>11642227</v>
      </c>
      <c r="N56" s="65">
        <v>12112599</v>
      </c>
    </row>
    <row r="57" spans="1:14"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</row>
    <row r="58" spans="1:14">
      <c r="A58" t="s">
        <v>133</v>
      </c>
      <c r="B58" s="65">
        <f>SUM(C58:N58)</f>
        <v>28873933</v>
      </c>
      <c r="C58" s="65">
        <v>2892906</v>
      </c>
      <c r="D58" s="65">
        <v>2671552</v>
      </c>
      <c r="E58" s="65">
        <v>2768328</v>
      </c>
      <c r="F58" s="65">
        <v>2491505</v>
      </c>
      <c r="G58" s="65">
        <v>1551263</v>
      </c>
      <c r="H58" s="65">
        <v>1358751</v>
      </c>
      <c r="I58" s="65">
        <v>2219592</v>
      </c>
      <c r="J58" s="65">
        <v>2478125</v>
      </c>
      <c r="K58" s="65">
        <v>2578207</v>
      </c>
      <c r="L58" s="65">
        <v>2592987</v>
      </c>
      <c r="M58" s="65">
        <v>2566833</v>
      </c>
      <c r="N58" s="65">
        <v>2703884</v>
      </c>
    </row>
    <row r="59" spans="1:14"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</row>
    <row r="60" spans="1:14">
      <c r="A60" t="s">
        <v>134</v>
      </c>
      <c r="B60" s="65">
        <f>SUM(C60:N60)</f>
        <v>70067291</v>
      </c>
      <c r="C60" s="65">
        <v>8800467</v>
      </c>
      <c r="D60" s="65">
        <v>7046200</v>
      </c>
      <c r="E60" s="65">
        <v>6405717</v>
      </c>
      <c r="F60" s="65">
        <v>4139185</v>
      </c>
      <c r="G60" s="65">
        <v>1426182</v>
      </c>
      <c r="H60" s="65">
        <v>1698327</v>
      </c>
      <c r="I60" s="65">
        <v>5653252</v>
      </c>
      <c r="J60" s="65">
        <v>7341418</v>
      </c>
      <c r="K60" s="65">
        <v>6493558</v>
      </c>
      <c r="L60" s="65">
        <v>6103470</v>
      </c>
      <c r="M60" s="65">
        <v>6561954</v>
      </c>
      <c r="N60" s="65">
        <v>8397561</v>
      </c>
    </row>
    <row r="61" spans="1:14"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</row>
    <row r="62" spans="1:14">
      <c r="A62" s="66" t="s">
        <v>135</v>
      </c>
      <c r="B62" s="67">
        <f>SUM(C62:N62)</f>
        <v>54103856</v>
      </c>
      <c r="C62" s="67">
        <v>5410854</v>
      </c>
      <c r="D62" s="67">
        <v>3688134</v>
      </c>
      <c r="E62" s="67">
        <v>4363041</v>
      </c>
      <c r="F62" s="67">
        <v>6216672</v>
      </c>
      <c r="G62" s="67">
        <v>3992970</v>
      </c>
      <c r="H62" s="67">
        <v>3782256</v>
      </c>
      <c r="I62" s="67">
        <v>5325599</v>
      </c>
      <c r="J62" s="67">
        <v>3215251</v>
      </c>
      <c r="K62" s="67">
        <v>4016772</v>
      </c>
      <c r="L62" s="67">
        <v>3304259</v>
      </c>
      <c r="M62" s="67">
        <v>4468025</v>
      </c>
      <c r="N62" s="67">
        <v>6320023</v>
      </c>
    </row>
    <row r="63" spans="1:14"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</row>
    <row r="64" spans="1:14">
      <c r="A64" s="68" t="s">
        <v>136</v>
      </c>
      <c r="B64" s="65">
        <f>SUM(C64:N64)</f>
        <v>156232420</v>
      </c>
      <c r="C64" s="65">
        <f>SUM(C56:C60)-C62</f>
        <v>18093165</v>
      </c>
      <c r="D64" s="65">
        <f t="shared" ref="D64:N64" si="24">SUM(D56:D60)-D62</f>
        <v>16978561</v>
      </c>
      <c r="E64" s="65">
        <f t="shared" si="24"/>
        <v>15019760</v>
      </c>
      <c r="F64" s="65">
        <f t="shared" si="24"/>
        <v>10168484</v>
      </c>
      <c r="G64" s="65">
        <f t="shared" si="24"/>
        <v>6188482</v>
      </c>
      <c r="H64" s="65">
        <f t="shared" si="24"/>
        <v>6107590</v>
      </c>
      <c r="I64" s="65">
        <f t="shared" si="24"/>
        <v>9914386</v>
      </c>
      <c r="J64" s="65">
        <f t="shared" si="24"/>
        <v>14669208</v>
      </c>
      <c r="K64" s="65">
        <f t="shared" si="24"/>
        <v>12503789</v>
      </c>
      <c r="L64" s="65">
        <f t="shared" si="24"/>
        <v>13391985</v>
      </c>
      <c r="M64" s="65">
        <f t="shared" si="24"/>
        <v>16302989</v>
      </c>
      <c r="N64" s="65">
        <f t="shared" si="24"/>
        <v>16894021</v>
      </c>
    </row>
    <row r="65" spans="1:14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</row>
    <row r="66" spans="1:14">
      <c r="A66" s="68" t="s">
        <v>137</v>
      </c>
      <c r="B66" s="65">
        <f>SUM(C66:N66)</f>
        <v>17404327</v>
      </c>
      <c r="C66" s="65">
        <v>1386858</v>
      </c>
      <c r="D66" s="65">
        <v>1618473</v>
      </c>
      <c r="E66" s="65">
        <v>1456728</v>
      </c>
      <c r="F66" s="65">
        <v>1423781</v>
      </c>
      <c r="G66" s="65">
        <v>1394142</v>
      </c>
      <c r="H66" s="65">
        <v>1391308</v>
      </c>
      <c r="I66" s="65">
        <v>1452951</v>
      </c>
      <c r="J66" s="65">
        <v>1443202</v>
      </c>
      <c r="K66" s="65">
        <v>1567441</v>
      </c>
      <c r="L66" s="65">
        <v>1406861</v>
      </c>
      <c r="M66" s="65">
        <v>1416448</v>
      </c>
      <c r="N66" s="65">
        <v>1446134</v>
      </c>
    </row>
    <row r="67" spans="1:14">
      <c r="A67" s="68"/>
    </row>
    <row r="68" spans="1:14">
      <c r="A68" s="68" t="s">
        <v>138</v>
      </c>
      <c r="B68" s="69">
        <f>SUM(C68:N68)</f>
        <v>15149484</v>
      </c>
      <c r="C68" s="69">
        <v>1062694</v>
      </c>
      <c r="D68" s="69">
        <v>1178481</v>
      </c>
      <c r="E68" s="69">
        <v>1177115</v>
      </c>
      <c r="F68" s="69">
        <v>1141305</v>
      </c>
      <c r="G68" s="69">
        <v>1253488</v>
      </c>
      <c r="H68" s="69">
        <v>1398529</v>
      </c>
      <c r="I68" s="69">
        <v>1450378</v>
      </c>
      <c r="J68" s="69">
        <v>1346819</v>
      </c>
      <c r="K68" s="69">
        <v>1372213</v>
      </c>
      <c r="L68" s="69">
        <v>1319316</v>
      </c>
      <c r="M68" s="69">
        <v>1257650</v>
      </c>
      <c r="N68" s="69">
        <v>1191496</v>
      </c>
    </row>
    <row r="69" spans="1:14">
      <c r="A69" s="68"/>
      <c r="B69" s="69"/>
    </row>
    <row r="70" spans="1:14">
      <c r="A70" s="68" t="s">
        <v>139</v>
      </c>
      <c r="B70" s="69">
        <f>SUM(C70:N70)</f>
        <v>411000</v>
      </c>
      <c r="C70" s="65">
        <v>34250</v>
      </c>
      <c r="D70" s="65">
        <v>34250</v>
      </c>
      <c r="E70" s="65">
        <v>34250</v>
      </c>
      <c r="F70" s="65">
        <v>34250</v>
      </c>
      <c r="G70" s="65">
        <v>34250</v>
      </c>
      <c r="H70" s="65">
        <v>34250</v>
      </c>
      <c r="I70" s="65">
        <v>34250</v>
      </c>
      <c r="J70" s="65">
        <v>34250</v>
      </c>
      <c r="K70" s="65">
        <v>34250</v>
      </c>
      <c r="L70" s="65">
        <v>34250</v>
      </c>
      <c r="M70" s="65">
        <v>34250</v>
      </c>
      <c r="N70" s="65">
        <v>34250</v>
      </c>
    </row>
    <row r="71" spans="1:14">
      <c r="A71" s="68"/>
      <c r="B71" s="70"/>
      <c r="C71" s="70"/>
      <c r="D71" s="70"/>
      <c r="E71" s="70"/>
      <c r="F71" s="70"/>
      <c r="G71" s="70"/>
      <c r="H71" s="70"/>
      <c r="I71" s="70"/>
      <c r="J71" s="70"/>
      <c r="K71" s="70"/>
      <c r="L71" s="70"/>
      <c r="M71" s="70"/>
      <c r="N71" s="70"/>
    </row>
    <row r="72" spans="1:14">
      <c r="A72" s="68" t="s">
        <v>140</v>
      </c>
      <c r="B72" s="69">
        <f>SUM(C72:N72)</f>
        <v>158898263</v>
      </c>
      <c r="C72" s="65">
        <f t="shared" ref="C72:N72" si="25">C64+C66-C68+C70</f>
        <v>18451579</v>
      </c>
      <c r="D72" s="65">
        <f t="shared" si="25"/>
        <v>17452803</v>
      </c>
      <c r="E72" s="65">
        <f t="shared" si="25"/>
        <v>15333623</v>
      </c>
      <c r="F72" s="65">
        <f t="shared" si="25"/>
        <v>10485210</v>
      </c>
      <c r="G72" s="65">
        <f t="shared" si="25"/>
        <v>6363386</v>
      </c>
      <c r="H72" s="65">
        <f t="shared" si="25"/>
        <v>6134619</v>
      </c>
      <c r="I72" s="65">
        <f t="shared" si="25"/>
        <v>9951209</v>
      </c>
      <c r="J72" s="65">
        <f t="shared" si="25"/>
        <v>14799841</v>
      </c>
      <c r="K72" s="65">
        <f t="shared" si="25"/>
        <v>12733267</v>
      </c>
      <c r="L72" s="65">
        <f t="shared" si="25"/>
        <v>13513780</v>
      </c>
      <c r="M72" s="65">
        <f t="shared" si="25"/>
        <v>16496037</v>
      </c>
      <c r="N72" s="65">
        <f t="shared" si="25"/>
        <v>17182909</v>
      </c>
    </row>
    <row r="73" spans="1:14">
      <c r="A73" s="68"/>
      <c r="B73" s="69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</row>
    <row r="74" spans="1:14">
      <c r="A74" s="68" t="s">
        <v>141</v>
      </c>
      <c r="B74" s="69">
        <f>SUM(C74:N74)</f>
        <v>104443828.26989999</v>
      </c>
      <c r="C74" s="65">
        <f>C72*$E$94</f>
        <v>12128222.876700001</v>
      </c>
      <c r="D74" s="65">
        <f t="shared" ref="D74:N74" si="26">D72*$E$94</f>
        <v>11471727.411900001</v>
      </c>
      <c r="E74" s="65">
        <f t="shared" si="26"/>
        <v>10078790.3979</v>
      </c>
      <c r="F74" s="65">
        <f t="shared" si="26"/>
        <v>6891928.5329999998</v>
      </c>
      <c r="G74" s="65">
        <f t="shared" si="26"/>
        <v>4182653.6178000001</v>
      </c>
      <c r="H74" s="65">
        <f t="shared" si="26"/>
        <v>4032285.0687000002</v>
      </c>
      <c r="I74" s="65">
        <f t="shared" si="26"/>
        <v>6540929.6756999996</v>
      </c>
      <c r="J74" s="65">
        <f t="shared" si="26"/>
        <v>9727935.4892999995</v>
      </c>
      <c r="K74" s="65">
        <f t="shared" si="26"/>
        <v>8369576.3991</v>
      </c>
      <c r="L74" s="65">
        <f t="shared" si="26"/>
        <v>8882607.5940000005</v>
      </c>
      <c r="M74" s="65">
        <f t="shared" si="26"/>
        <v>10842845.120099999</v>
      </c>
      <c r="N74" s="65">
        <f t="shared" si="26"/>
        <v>11294326.0857</v>
      </c>
    </row>
    <row r="75" spans="1:14">
      <c r="A75" s="68"/>
      <c r="B75" s="69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</row>
    <row r="76" spans="1:14">
      <c r="A76" s="71" t="s">
        <v>142</v>
      </c>
      <c r="B76" s="72">
        <f>SUM(C76:N76)</f>
        <v>-1986999.9999999998</v>
      </c>
      <c r="C76" s="67">
        <f>-(1987000/12)</f>
        <v>-165583.33333333334</v>
      </c>
      <c r="D76" s="67">
        <f t="shared" ref="D76:N76" si="27">-(1987000/12)</f>
        <v>-165583.33333333334</v>
      </c>
      <c r="E76" s="67">
        <f t="shared" si="27"/>
        <v>-165583.33333333334</v>
      </c>
      <c r="F76" s="67">
        <f t="shared" si="27"/>
        <v>-165583.33333333334</v>
      </c>
      <c r="G76" s="67">
        <f t="shared" si="27"/>
        <v>-165583.33333333334</v>
      </c>
      <c r="H76" s="67">
        <f t="shared" si="27"/>
        <v>-165583.33333333334</v>
      </c>
      <c r="I76" s="67">
        <f t="shared" si="27"/>
        <v>-165583.33333333334</v>
      </c>
      <c r="J76" s="67">
        <f t="shared" si="27"/>
        <v>-165583.33333333334</v>
      </c>
      <c r="K76" s="67">
        <f t="shared" si="27"/>
        <v>-165583.33333333334</v>
      </c>
      <c r="L76" s="67">
        <f t="shared" si="27"/>
        <v>-165583.33333333334</v>
      </c>
      <c r="M76" s="67">
        <f t="shared" si="27"/>
        <v>-165583.33333333334</v>
      </c>
      <c r="N76" s="67">
        <f t="shared" si="27"/>
        <v>-165583.33333333334</v>
      </c>
    </row>
    <row r="78" spans="1:14">
      <c r="A78" s="68" t="s">
        <v>143</v>
      </c>
      <c r="B78" s="69">
        <f>B74+B76</f>
        <v>102456828.26989999</v>
      </c>
      <c r="C78" s="69">
        <f>C74+C76</f>
        <v>11962639.543366667</v>
      </c>
      <c r="D78" s="69">
        <f t="shared" ref="D78:N78" si="28">D74+D76</f>
        <v>11306144.078566667</v>
      </c>
      <c r="E78" s="69">
        <f t="shared" si="28"/>
        <v>9913207.0645666663</v>
      </c>
      <c r="F78" s="69">
        <f t="shared" si="28"/>
        <v>6726345.1996666668</v>
      </c>
      <c r="G78" s="69">
        <f t="shared" si="28"/>
        <v>4017070.2844666666</v>
      </c>
      <c r="H78" s="69">
        <f t="shared" si="28"/>
        <v>3866701.7353666667</v>
      </c>
      <c r="I78" s="69">
        <f t="shared" si="28"/>
        <v>6375346.3423666665</v>
      </c>
      <c r="J78" s="69">
        <f t="shared" si="28"/>
        <v>9562352.1559666656</v>
      </c>
      <c r="K78" s="69">
        <f t="shared" si="28"/>
        <v>8203993.065766667</v>
      </c>
      <c r="L78" s="69">
        <f t="shared" si="28"/>
        <v>8717024.2606666666</v>
      </c>
      <c r="M78" s="69">
        <f t="shared" si="28"/>
        <v>10677261.786766665</v>
      </c>
      <c r="N78" s="69">
        <f t="shared" si="28"/>
        <v>11128742.752366666</v>
      </c>
    </row>
    <row r="80" spans="1:14" hidden="1"/>
    <row r="81" spans="1:14" hidden="1"/>
    <row r="83" spans="1:14">
      <c r="A83" s="62" t="s">
        <v>144</v>
      </c>
    </row>
    <row r="85" spans="1:14">
      <c r="B85" s="63" t="s">
        <v>7</v>
      </c>
      <c r="C85" s="64" t="str">
        <f>C54</f>
        <v>January</v>
      </c>
      <c r="D85" s="64" t="str">
        <f t="shared" ref="D85:N85" si="29">D54</f>
        <v>February</v>
      </c>
      <c r="E85" s="64" t="str">
        <f t="shared" si="29"/>
        <v>March</v>
      </c>
      <c r="F85" s="64" t="str">
        <f t="shared" si="29"/>
        <v>April</v>
      </c>
      <c r="G85" s="64" t="str">
        <f t="shared" si="29"/>
        <v>May</v>
      </c>
      <c r="H85" s="64" t="str">
        <f t="shared" si="29"/>
        <v>June</v>
      </c>
      <c r="I85" s="64" t="str">
        <f t="shared" si="29"/>
        <v>July</v>
      </c>
      <c r="J85" s="64" t="str">
        <f t="shared" si="29"/>
        <v>August</v>
      </c>
      <c r="K85" s="64" t="str">
        <f t="shared" si="29"/>
        <v>September</v>
      </c>
      <c r="L85" s="64" t="str">
        <f t="shared" si="29"/>
        <v>October</v>
      </c>
      <c r="M85" s="64" t="str">
        <f t="shared" si="29"/>
        <v>November</v>
      </c>
      <c r="N85" s="64" t="str">
        <f t="shared" si="29"/>
        <v>December</v>
      </c>
    </row>
    <row r="87" spans="1:14">
      <c r="A87" s="68" t="s">
        <v>145</v>
      </c>
      <c r="B87" s="73">
        <f>SUM(C87:N87)</f>
        <v>5658613</v>
      </c>
      <c r="C87" s="73">
        <v>556117</v>
      </c>
      <c r="D87" s="73">
        <v>486363</v>
      </c>
      <c r="E87" s="73">
        <v>477535</v>
      </c>
      <c r="F87" s="73">
        <v>431246</v>
      </c>
      <c r="G87" s="73">
        <v>432473</v>
      </c>
      <c r="H87" s="73">
        <v>424693</v>
      </c>
      <c r="I87" s="73">
        <v>490670</v>
      </c>
      <c r="J87" s="73">
        <v>464617</v>
      </c>
      <c r="K87" s="73">
        <v>435934</v>
      </c>
      <c r="L87" s="73">
        <v>436959</v>
      </c>
      <c r="M87" s="73">
        <v>468856</v>
      </c>
      <c r="N87" s="73">
        <v>553150</v>
      </c>
    </row>
    <row r="89" spans="1:14">
      <c r="A89" s="68" t="s">
        <v>146</v>
      </c>
      <c r="B89" s="74">
        <f>B78/B87</f>
        <v>18.106350137374651</v>
      </c>
      <c r="C89" s="75" t="s">
        <v>147</v>
      </c>
    </row>
    <row r="91" spans="1:14" hidden="1"/>
    <row r="92" spans="1:14" hidden="1"/>
    <row r="94" spans="1:14">
      <c r="A94" t="s">
        <v>148</v>
      </c>
      <c r="E94" s="76">
        <v>0.6573</v>
      </c>
    </row>
    <row r="95" spans="1:14">
      <c r="A95" t="s">
        <v>149</v>
      </c>
    </row>
    <row r="96" spans="1:14">
      <c r="A96" t="s">
        <v>150</v>
      </c>
    </row>
    <row r="98" spans="1:15">
      <c r="A98" s="105"/>
      <c r="B98" s="105"/>
      <c r="C98" s="105"/>
      <c r="D98" s="105"/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</row>
    <row r="99" spans="1:15">
      <c r="A99" s="105"/>
      <c r="B99" s="105"/>
      <c r="C99" s="105"/>
      <c r="D99" s="105"/>
      <c r="E99" s="105"/>
      <c r="F99" s="105"/>
      <c r="G99" s="105"/>
      <c r="H99" s="105"/>
      <c r="I99" s="105"/>
      <c r="J99" s="105"/>
      <c r="K99" s="105"/>
      <c r="L99" s="105"/>
      <c r="M99" s="105"/>
      <c r="N99" s="105"/>
      <c r="O99" s="105"/>
    </row>
    <row r="100" spans="1:15" ht="18">
      <c r="A100" s="78" t="s">
        <v>115</v>
      </c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</row>
    <row r="101" spans="1:15" ht="18">
      <c r="A101" s="78" t="s">
        <v>151</v>
      </c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</row>
    <row r="102" spans="1:15" ht="18">
      <c r="A102" s="80" t="s">
        <v>152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</row>
    <row r="103" spans="1:15" ht="18">
      <c r="A103" s="81" t="s">
        <v>153</v>
      </c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</row>
    <row r="104" spans="1:15" ht="15.75">
      <c r="A104" s="82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</row>
    <row r="105" spans="1:15">
      <c r="A105" s="83" t="s">
        <v>119</v>
      </c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</row>
    <row r="106" spans="1:15">
      <c r="A106" s="83"/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</row>
    <row r="107" spans="1:15">
      <c r="A107" s="79"/>
      <c r="B107" s="84" t="s">
        <v>7</v>
      </c>
      <c r="C107" s="85" t="s">
        <v>129</v>
      </c>
      <c r="D107" s="85" t="s">
        <v>130</v>
      </c>
      <c r="E107" s="85" t="s">
        <v>131</v>
      </c>
      <c r="F107" s="85" t="s">
        <v>120</v>
      </c>
      <c r="G107" s="85" t="s">
        <v>121</v>
      </c>
      <c r="H107" s="85" t="s">
        <v>122</v>
      </c>
      <c r="I107" s="85" t="s">
        <v>123</v>
      </c>
      <c r="J107" s="85" t="s">
        <v>124</v>
      </c>
      <c r="K107" s="85" t="s">
        <v>125</v>
      </c>
      <c r="L107" s="85" t="s">
        <v>125</v>
      </c>
      <c r="M107" s="85" t="s">
        <v>127</v>
      </c>
      <c r="N107" s="85" t="s">
        <v>128</v>
      </c>
    </row>
    <row r="108" spans="1:15">
      <c r="A108" s="79"/>
      <c r="B108" s="79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</row>
    <row r="109" spans="1:15">
      <c r="A109" s="79" t="s">
        <v>132</v>
      </c>
      <c r="B109" s="86">
        <v>106013016.84719665</v>
      </c>
      <c r="C109" s="86">
        <v>8843271.80570703</v>
      </c>
      <c r="D109" s="86">
        <v>9402762.2841071673</v>
      </c>
      <c r="E109" s="86">
        <v>9592787.5677306503</v>
      </c>
      <c r="F109" s="86">
        <v>9697041.6792795416</v>
      </c>
      <c r="G109" s="86">
        <v>9727221.7802513652</v>
      </c>
      <c r="H109" s="86">
        <v>9316726.2371626105</v>
      </c>
      <c r="I109" s="86">
        <v>8655718.2242047396</v>
      </c>
      <c r="J109" s="86">
        <v>8101449.5883934628</v>
      </c>
      <c r="K109" s="86">
        <v>7979961.7207419481</v>
      </c>
      <c r="L109" s="86">
        <v>8430288.5436151605</v>
      </c>
      <c r="M109" s="86">
        <v>8522714.959565213</v>
      </c>
      <c r="N109" s="86">
        <v>7743072.4564377619</v>
      </c>
    </row>
    <row r="110" spans="1:15">
      <c r="A110" s="79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</row>
    <row r="111" spans="1:15">
      <c r="A111" s="79" t="s">
        <v>133</v>
      </c>
      <c r="B111" s="86">
        <v>33191344.196056552</v>
      </c>
      <c r="C111" s="86">
        <v>3193370.2328346614</v>
      </c>
      <c r="D111" s="86">
        <v>2640328.8294248036</v>
      </c>
      <c r="E111" s="86">
        <v>2771729.0142290951</v>
      </c>
      <c r="F111" s="86">
        <v>3390501.4040930374</v>
      </c>
      <c r="G111" s="86">
        <v>2926995.1688066837</v>
      </c>
      <c r="H111" s="86">
        <v>2561827.7183259497</v>
      </c>
      <c r="I111" s="86">
        <v>2285402.6521288967</v>
      </c>
      <c r="J111" s="86">
        <v>1756150.0616551149</v>
      </c>
      <c r="K111" s="86">
        <v>1936413.8194755891</v>
      </c>
      <c r="L111" s="86">
        <v>3237585.1744455919</v>
      </c>
      <c r="M111" s="86">
        <v>3378273.513179298</v>
      </c>
      <c r="N111" s="86">
        <v>3112766.6074578296</v>
      </c>
    </row>
    <row r="112" spans="1:15">
      <c r="A112" s="79"/>
      <c r="B112" s="86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</row>
    <row r="113" spans="1:14">
      <c r="A113" s="79" t="s">
        <v>134</v>
      </c>
      <c r="B113" s="86">
        <v>97406668.795889288</v>
      </c>
      <c r="C113" s="86">
        <v>9531785.4900678284</v>
      </c>
      <c r="D113" s="86">
        <v>9667646.324582424</v>
      </c>
      <c r="E113" s="86">
        <v>12083216.455769544</v>
      </c>
      <c r="F113" s="86">
        <v>11943274.101879165</v>
      </c>
      <c r="G113" s="86">
        <v>8892938.9461867586</v>
      </c>
      <c r="H113" s="86">
        <v>7016060.8235627124</v>
      </c>
      <c r="I113" s="86">
        <v>5399258.4991015131</v>
      </c>
      <c r="J113" s="86">
        <v>3372909.1784669301</v>
      </c>
      <c r="K113" s="86">
        <v>4272020.8201466138</v>
      </c>
      <c r="L113" s="86">
        <v>8240675.0886422703</v>
      </c>
      <c r="M113" s="86">
        <v>8751270.1456724312</v>
      </c>
      <c r="N113" s="86">
        <v>8235612.9218110982</v>
      </c>
    </row>
    <row r="114" spans="1:14">
      <c r="A114" s="79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</row>
    <row r="115" spans="1:14">
      <c r="A115" s="79" t="s">
        <v>154</v>
      </c>
      <c r="B115" s="86">
        <v>631627.28033333307</v>
      </c>
      <c r="C115" s="86">
        <v>52635.606694444417</v>
      </c>
      <c r="D115" s="86">
        <v>52635.606694444417</v>
      </c>
      <c r="E115" s="86">
        <v>52635.606694444417</v>
      </c>
      <c r="F115" s="86">
        <v>52635.606694444417</v>
      </c>
      <c r="G115" s="86">
        <v>52635.606694444417</v>
      </c>
      <c r="H115" s="86">
        <v>52635.606694444417</v>
      </c>
      <c r="I115" s="86">
        <v>52635.606694444417</v>
      </c>
      <c r="J115" s="86">
        <v>52635.606694444417</v>
      </c>
      <c r="K115" s="86">
        <v>52635.606694444417</v>
      </c>
      <c r="L115" s="86">
        <v>52635.606694444417</v>
      </c>
      <c r="M115" s="86">
        <v>52635.606694444417</v>
      </c>
      <c r="N115" s="86">
        <v>52635.606694444417</v>
      </c>
    </row>
    <row r="116" spans="1:14">
      <c r="A116" s="79"/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</row>
    <row r="117" spans="1:14">
      <c r="A117" s="79" t="s">
        <v>155</v>
      </c>
      <c r="B117" s="86">
        <v>17278767.370000001</v>
      </c>
      <c r="C117" s="86">
        <v>1439897.280833333</v>
      </c>
      <c r="D117" s="86">
        <v>1439897.280833333</v>
      </c>
      <c r="E117" s="86">
        <v>1439897.280833333</v>
      </c>
      <c r="F117" s="86">
        <v>1439897.280833333</v>
      </c>
      <c r="G117" s="86">
        <v>1439897.280833333</v>
      </c>
      <c r="H117" s="86">
        <v>1439897.280833333</v>
      </c>
      <c r="I117" s="86">
        <v>1439897.280833333</v>
      </c>
      <c r="J117" s="86">
        <v>1439897.280833333</v>
      </c>
      <c r="K117" s="86">
        <v>1439897.280833333</v>
      </c>
      <c r="L117" s="86">
        <v>1439897.280833333</v>
      </c>
      <c r="M117" s="86">
        <v>1439897.280833333</v>
      </c>
      <c r="N117" s="86">
        <v>1439897.280833333</v>
      </c>
    </row>
    <row r="118" spans="1:14">
      <c r="A118" s="79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</row>
    <row r="119" spans="1:14">
      <c r="A119" s="79" t="s">
        <v>156</v>
      </c>
      <c r="B119" s="86">
        <v>-5297542.375791871</v>
      </c>
      <c r="C119" s="86">
        <v>-420269.95203508291</v>
      </c>
      <c r="D119" s="86">
        <v>-363660.47155344806</v>
      </c>
      <c r="E119" s="86">
        <v>127074.51625387491</v>
      </c>
      <c r="F119" s="86">
        <v>-187742.88456239103</v>
      </c>
      <c r="G119" s="86">
        <v>-408011.18053606641</v>
      </c>
      <c r="H119" s="86">
        <v>-649388.2412193222</v>
      </c>
      <c r="I119" s="86">
        <v>-519823.76737381821</v>
      </c>
      <c r="J119" s="86">
        <v>-734744.74193389714</v>
      </c>
      <c r="K119" s="86">
        <v>-643117.70050337433</v>
      </c>
      <c r="L119" s="86">
        <v>-509939.04820822104</v>
      </c>
      <c r="M119" s="86">
        <v>-509640.51359785197</v>
      </c>
      <c r="N119" s="86">
        <v>-478278.39052227332</v>
      </c>
    </row>
    <row r="120" spans="1:14">
      <c r="A120" s="79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</row>
    <row r="121" spans="1:14">
      <c r="A121" s="87" t="s">
        <v>135</v>
      </c>
      <c r="B121" s="88">
        <v>-112525327.34570798</v>
      </c>
      <c r="C121" s="88">
        <v>-8663704.2896630857</v>
      </c>
      <c r="D121" s="88">
        <v>-8697131.9248559568</v>
      </c>
      <c r="E121" s="88">
        <v>-11768210.347402344</v>
      </c>
      <c r="F121" s="88">
        <v>-6647885.1215722645</v>
      </c>
      <c r="G121" s="88">
        <v>-2273918.6375024333</v>
      </c>
      <c r="H121" s="88">
        <v>-5958092.5975069748</v>
      </c>
      <c r="I121" s="88">
        <v>-8844782.7167734876</v>
      </c>
      <c r="J121" s="88">
        <v>-8347877.2349581467</v>
      </c>
      <c r="K121" s="88">
        <v>-11960905.697844958</v>
      </c>
      <c r="L121" s="88">
        <v>-19865107.322238419</v>
      </c>
      <c r="M121" s="88">
        <v>-6919471.3664278733</v>
      </c>
      <c r="N121" s="88">
        <v>-12578240.088962056</v>
      </c>
    </row>
    <row r="122" spans="1:14">
      <c r="A122" s="79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</row>
    <row r="123" spans="1:14">
      <c r="A123" s="89" t="s">
        <v>136</v>
      </c>
      <c r="B123" s="90">
        <v>136698554.76797596</v>
      </c>
      <c r="C123" s="90">
        <v>13976986.17443913</v>
      </c>
      <c r="D123" s="90">
        <v>14142477.929232771</v>
      </c>
      <c r="E123" s="90">
        <v>14299130.094108598</v>
      </c>
      <c r="F123" s="90">
        <v>19687722.066644866</v>
      </c>
      <c r="G123" s="90">
        <v>20357758.964734089</v>
      </c>
      <c r="H123" s="90">
        <v>13779666.827852756</v>
      </c>
      <c r="I123" s="90">
        <v>8468305.7788156196</v>
      </c>
      <c r="J123" s="90">
        <v>5640419.7391512422</v>
      </c>
      <c r="K123" s="90">
        <v>3076905.8495435975</v>
      </c>
      <c r="L123" s="90">
        <v>1026035.3237841614</v>
      </c>
      <c r="M123" s="90">
        <v>14715679.625918996</v>
      </c>
      <c r="N123" s="90">
        <v>7527466.3937501349</v>
      </c>
    </row>
    <row r="124" spans="1:14">
      <c r="A124" s="79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</row>
    <row r="125" spans="1:14">
      <c r="A125" s="79" t="s">
        <v>157</v>
      </c>
      <c r="B125" s="86">
        <v>-25465695</v>
      </c>
      <c r="C125" s="86">
        <v>-1643339</v>
      </c>
      <c r="D125" s="86">
        <v>-1954560</v>
      </c>
      <c r="E125" s="86">
        <v>-2258481</v>
      </c>
      <c r="F125" s="86">
        <v>-1682730</v>
      </c>
      <c r="G125" s="86">
        <v>-1861088</v>
      </c>
      <c r="H125" s="86">
        <v>-1893205</v>
      </c>
      <c r="I125" s="86">
        <v>-1768623</v>
      </c>
      <c r="J125" s="86">
        <v>-2440323</v>
      </c>
      <c r="K125" s="86">
        <v>-2631984</v>
      </c>
      <c r="L125" s="86">
        <v>-2630239</v>
      </c>
      <c r="M125" s="86">
        <v>-2508879</v>
      </c>
      <c r="N125" s="86">
        <v>-2192244</v>
      </c>
    </row>
    <row r="126" spans="1:14">
      <c r="A126" s="89"/>
      <c r="B126" s="86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</row>
    <row r="127" spans="1:14" ht="15.75" thickBot="1">
      <c r="A127" s="89" t="s">
        <v>158</v>
      </c>
      <c r="B127" s="91">
        <v>111232859.76797596</v>
      </c>
      <c r="C127" s="91">
        <v>12333647.17443913</v>
      </c>
      <c r="D127" s="91">
        <v>12187917.929232771</v>
      </c>
      <c r="E127" s="91">
        <v>12040649.094108598</v>
      </c>
      <c r="F127" s="91">
        <v>18004992.066644866</v>
      </c>
      <c r="G127" s="91">
        <v>18496670.964734089</v>
      </c>
      <c r="H127" s="91">
        <v>11886461.827852756</v>
      </c>
      <c r="I127" s="91">
        <v>6699682.7788156196</v>
      </c>
      <c r="J127" s="91">
        <v>3200096.7391512422</v>
      </c>
      <c r="K127" s="91">
        <v>444921.84954359755</v>
      </c>
      <c r="L127" s="91">
        <v>-1604203.6762158386</v>
      </c>
      <c r="M127" s="91">
        <v>12206800.625918996</v>
      </c>
      <c r="N127" s="91">
        <v>5335222.3937501349</v>
      </c>
    </row>
    <row r="128" spans="1:14" ht="15.75" thickTop="1">
      <c r="A128" s="79"/>
      <c r="B128" s="79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</row>
    <row r="129" spans="1:14">
      <c r="A129" s="83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</row>
    <row r="130" spans="1:14" ht="15.75" thickBot="1">
      <c r="A130" s="89" t="s">
        <v>159</v>
      </c>
      <c r="B130" s="91">
        <v>73013249.151699424</v>
      </c>
      <c r="C130" s="91">
        <v>8095806.0053018453</v>
      </c>
      <c r="D130" s="91">
        <v>8000149.3287483901</v>
      </c>
      <c r="E130" s="91">
        <v>7903482.0653728833</v>
      </c>
      <c r="F130" s="91">
        <v>11818476.792545689</v>
      </c>
      <c r="G130" s="91">
        <v>12141214.821251456</v>
      </c>
      <c r="H130" s="91">
        <v>7802273.5438025491</v>
      </c>
      <c r="I130" s="91">
        <v>4397671.7760145729</v>
      </c>
      <c r="J130" s="91">
        <v>2100543.4995788755</v>
      </c>
      <c r="K130" s="91">
        <v>292046.70204041741</v>
      </c>
      <c r="L130" s="91">
        <v>-1052999.2930680765</v>
      </c>
      <c r="M130" s="91">
        <v>8012543.9308532281</v>
      </c>
      <c r="N130" s="91">
        <v>3502039.9792575883</v>
      </c>
    </row>
    <row r="131" spans="1:14" ht="15.75" thickTop="1">
      <c r="A131" s="79"/>
      <c r="B131" s="79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</row>
    <row r="132" spans="1:14">
      <c r="A132" s="83" t="s">
        <v>144</v>
      </c>
      <c r="B132" s="79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</row>
    <row r="133" spans="1:14">
      <c r="A133" s="79"/>
      <c r="B133" s="86"/>
      <c r="C133" s="92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</row>
    <row r="134" spans="1:14">
      <c r="A134" s="79"/>
      <c r="B134" s="79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</row>
    <row r="135" spans="1:14">
      <c r="A135" s="79"/>
      <c r="B135" s="79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</row>
    <row r="136" spans="1:14">
      <c r="A136" s="89" t="s">
        <v>160</v>
      </c>
      <c r="B136" s="84" t="s">
        <v>7</v>
      </c>
      <c r="C136" s="85" t="s">
        <v>129</v>
      </c>
      <c r="D136" s="85" t="s">
        <v>130</v>
      </c>
      <c r="E136" s="85" t="s">
        <v>131</v>
      </c>
      <c r="F136" s="85" t="s">
        <v>120</v>
      </c>
      <c r="G136" s="85" t="s">
        <v>121</v>
      </c>
      <c r="H136" s="85" t="s">
        <v>122</v>
      </c>
      <c r="I136" s="85" t="s">
        <v>123</v>
      </c>
      <c r="J136" s="85" t="s">
        <v>124</v>
      </c>
      <c r="K136" s="85" t="s">
        <v>125</v>
      </c>
      <c r="L136" s="85" t="s">
        <v>125</v>
      </c>
      <c r="M136" s="85" t="s">
        <v>127</v>
      </c>
      <c r="N136" s="85" t="s">
        <v>128</v>
      </c>
    </row>
    <row r="137" spans="1:14">
      <c r="A137" s="79"/>
      <c r="B137" s="79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</row>
    <row r="138" spans="1:14">
      <c r="A138" s="79" t="s">
        <v>136</v>
      </c>
      <c r="B138" s="93">
        <v>136698554.76797596</v>
      </c>
      <c r="C138" s="86">
        <v>13976986.17443913</v>
      </c>
      <c r="D138" s="86">
        <v>14142477.929232771</v>
      </c>
      <c r="E138" s="86">
        <v>14299130.094108598</v>
      </c>
      <c r="F138" s="86">
        <v>19687722.066644866</v>
      </c>
      <c r="G138" s="86">
        <v>20357758.964734089</v>
      </c>
      <c r="H138" s="86">
        <v>13779666.827852756</v>
      </c>
      <c r="I138" s="86">
        <v>8468305.7788156196</v>
      </c>
      <c r="J138" s="86">
        <v>5640419.7391512422</v>
      </c>
      <c r="K138" s="86">
        <v>3076905.8495435975</v>
      </c>
      <c r="L138" s="86">
        <v>1026035.3237841614</v>
      </c>
      <c r="M138" s="86">
        <v>14715679.625918996</v>
      </c>
      <c r="N138" s="86">
        <v>7527466.3937501349</v>
      </c>
    </row>
    <row r="139" spans="1:14">
      <c r="A139" s="79" t="s">
        <v>161</v>
      </c>
      <c r="B139" s="94">
        <v>-25289187</v>
      </c>
      <c r="C139" s="88">
        <v>-1628630</v>
      </c>
      <c r="D139" s="88">
        <v>-1939851</v>
      </c>
      <c r="E139" s="88">
        <v>-2243772</v>
      </c>
      <c r="F139" s="88">
        <v>-1668021</v>
      </c>
      <c r="G139" s="88">
        <v>-1846379</v>
      </c>
      <c r="H139" s="88">
        <v>-1878496</v>
      </c>
      <c r="I139" s="88">
        <v>-1753914</v>
      </c>
      <c r="J139" s="88">
        <v>-2425614</v>
      </c>
      <c r="K139" s="88">
        <v>-2617275</v>
      </c>
      <c r="L139" s="88">
        <v>-2615530</v>
      </c>
      <c r="M139" s="88">
        <v>-2494170</v>
      </c>
      <c r="N139" s="88">
        <v>-2177535</v>
      </c>
    </row>
    <row r="140" spans="1:14">
      <c r="A140" s="79" t="s">
        <v>162</v>
      </c>
      <c r="B140" s="93">
        <v>111409367.76797596</v>
      </c>
      <c r="C140" s="93">
        <v>12348356.17443913</v>
      </c>
      <c r="D140" s="93">
        <v>12202626.929232771</v>
      </c>
      <c r="E140" s="93">
        <v>12055358.094108598</v>
      </c>
      <c r="F140" s="93">
        <v>18019701.066644866</v>
      </c>
      <c r="G140" s="93">
        <v>18511379.964734089</v>
      </c>
      <c r="H140" s="93">
        <v>11901170.827852756</v>
      </c>
      <c r="I140" s="93">
        <v>6714391.7788156196</v>
      </c>
      <c r="J140" s="93">
        <v>3214805.7391512422</v>
      </c>
      <c r="K140" s="93">
        <v>459630.84954359755</v>
      </c>
      <c r="L140" s="93">
        <v>-1589494.6762158386</v>
      </c>
      <c r="M140" s="93">
        <v>12221509.625918996</v>
      </c>
      <c r="N140" s="93">
        <v>5349931.3937501349</v>
      </c>
    </row>
    <row r="141" spans="1:14">
      <c r="A141" s="95" t="s">
        <v>163</v>
      </c>
      <c r="B141" s="96"/>
      <c r="C141" s="96">
        <v>0.65639999999999998</v>
      </c>
      <c r="D141" s="96">
        <v>0.65639999999999998</v>
      </c>
      <c r="E141" s="96">
        <v>0.65639999999999998</v>
      </c>
      <c r="F141" s="96">
        <v>0.65639999999999998</v>
      </c>
      <c r="G141" s="96">
        <v>0.65639999999999998</v>
      </c>
      <c r="H141" s="96">
        <v>0.65639999999999998</v>
      </c>
      <c r="I141" s="96">
        <v>0.65639999999999998</v>
      </c>
      <c r="J141" s="96">
        <v>0.65639999999999998</v>
      </c>
      <c r="K141" s="96">
        <v>0.65639999999999998</v>
      </c>
      <c r="L141" s="96">
        <v>0.65639999999999998</v>
      </c>
      <c r="M141" s="96">
        <v>0.65639999999999998</v>
      </c>
      <c r="N141" s="96">
        <v>0.65639999999999998</v>
      </c>
    </row>
    <row r="142" spans="1:14">
      <c r="A142" s="79"/>
      <c r="B142" s="93">
        <v>73129109.002899423</v>
      </c>
      <c r="C142" s="93">
        <v>8105460.9929018449</v>
      </c>
      <c r="D142" s="93">
        <v>8009804.3163483907</v>
      </c>
      <c r="E142" s="93">
        <v>7913137.0529728839</v>
      </c>
      <c r="F142" s="93">
        <v>11828131.78014569</v>
      </c>
      <c r="G142" s="93">
        <v>12150869.808851456</v>
      </c>
      <c r="H142" s="93">
        <v>7811928.5314025488</v>
      </c>
      <c r="I142" s="93">
        <v>4407326.7636145726</v>
      </c>
      <c r="J142" s="93">
        <v>2110198.4871788751</v>
      </c>
      <c r="K142" s="93">
        <v>301701.6896404174</v>
      </c>
      <c r="L142" s="93">
        <v>-1043344.3054680765</v>
      </c>
      <c r="M142" s="93">
        <v>8022198.9184532287</v>
      </c>
      <c r="N142" s="93">
        <v>3511694.9668575884</v>
      </c>
    </row>
    <row r="143" spans="1:14">
      <c r="A143" s="79" t="s">
        <v>164</v>
      </c>
      <c r="B143" s="97">
        <v>-113508</v>
      </c>
      <c r="C143" s="94">
        <v>-9459</v>
      </c>
      <c r="D143" s="94">
        <v>-9459</v>
      </c>
      <c r="E143" s="94">
        <v>-9459</v>
      </c>
      <c r="F143" s="94">
        <v>-9459</v>
      </c>
      <c r="G143" s="94">
        <v>-9459</v>
      </c>
      <c r="H143" s="94">
        <v>-9459</v>
      </c>
      <c r="I143" s="94">
        <v>-9459</v>
      </c>
      <c r="J143" s="94">
        <v>-9459</v>
      </c>
      <c r="K143" s="94">
        <v>-9459</v>
      </c>
      <c r="L143" s="94">
        <v>-9459</v>
      </c>
      <c r="M143" s="94">
        <v>-9459</v>
      </c>
      <c r="N143" s="94">
        <v>-9459</v>
      </c>
    </row>
    <row r="144" spans="1:14">
      <c r="A144" s="89" t="s">
        <v>165</v>
      </c>
      <c r="B144" s="98">
        <v>73015601.002899423</v>
      </c>
      <c r="C144" s="98">
        <v>8096001.9929018449</v>
      </c>
      <c r="D144" s="98">
        <v>8000345.3163483907</v>
      </c>
      <c r="E144" s="98">
        <v>7903678.0529728839</v>
      </c>
      <c r="F144" s="98">
        <v>11818672.78014569</v>
      </c>
      <c r="G144" s="98">
        <v>12141410.808851456</v>
      </c>
      <c r="H144" s="98">
        <v>7802469.5314025488</v>
      </c>
      <c r="I144" s="98">
        <v>4397867.7636145726</v>
      </c>
      <c r="J144" s="98">
        <v>2100739.4871788751</v>
      </c>
      <c r="K144" s="98">
        <v>292242.6896404174</v>
      </c>
      <c r="L144" s="98">
        <v>-1052803.3054680764</v>
      </c>
      <c r="M144" s="98">
        <v>8012739.9184532287</v>
      </c>
      <c r="N144" s="98">
        <v>3502235.9668575884</v>
      </c>
    </row>
    <row r="145" spans="1:14">
      <c r="A145" s="79"/>
      <c r="B145" s="79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</row>
    <row r="146" spans="1:14">
      <c r="A146" s="89" t="s">
        <v>166</v>
      </c>
      <c r="B146" s="99">
        <v>5615755.9152409695</v>
      </c>
      <c r="C146" s="100">
        <v>453843.26156900002</v>
      </c>
      <c r="D146" s="100">
        <v>464732.87901122001</v>
      </c>
      <c r="E146" s="100">
        <v>551296.72375321004</v>
      </c>
      <c r="F146" s="99">
        <v>545742.14655933995</v>
      </c>
      <c r="G146" s="99">
        <v>461877.50714429002</v>
      </c>
      <c r="H146" s="99">
        <v>485113.33778499998</v>
      </c>
      <c r="I146" s="99">
        <v>413424.46862592001</v>
      </c>
      <c r="J146" s="99">
        <v>435935.02413099998</v>
      </c>
      <c r="K146" s="99">
        <v>419692.18653498997</v>
      </c>
      <c r="L146" s="99">
        <v>493732.87009099999</v>
      </c>
      <c r="M146" s="99">
        <v>470991.23439100001</v>
      </c>
      <c r="N146" s="99">
        <v>419374.27564499999</v>
      </c>
    </row>
    <row r="147" spans="1:14" ht="15.75" thickBot="1">
      <c r="A147" s="79"/>
      <c r="B147" s="79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</row>
    <row r="148" spans="1:14" ht="15.75" thickBot="1">
      <c r="A148" s="89"/>
      <c r="B148" s="101"/>
      <c r="C148" s="102"/>
      <c r="D148" s="103"/>
      <c r="E148" s="79"/>
      <c r="F148" s="79"/>
      <c r="G148" s="79"/>
      <c r="H148" s="79"/>
      <c r="I148" s="79"/>
      <c r="J148" s="79"/>
      <c r="K148" s="79"/>
      <c r="L148" s="79"/>
      <c r="M148" s="79"/>
      <c r="N148" s="79"/>
    </row>
    <row r="149" spans="1:14">
      <c r="A149" s="79"/>
      <c r="B149" s="79"/>
      <c r="C149" s="79"/>
      <c r="D149" s="104"/>
      <c r="E149" s="79"/>
      <c r="F149" s="79"/>
      <c r="G149" s="79"/>
      <c r="H149" s="79"/>
      <c r="I149" s="79"/>
      <c r="J149" s="79"/>
      <c r="K149" s="79"/>
      <c r="L149" s="79"/>
      <c r="M149" s="79"/>
      <c r="N149" s="79"/>
    </row>
    <row r="150" spans="1:14">
      <c r="A150" s="79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</row>
    <row r="151" spans="1:14">
      <c r="A151" s="102"/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</row>
    <row r="152" spans="1:14">
      <c r="A152" s="102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</row>
    <row r="153" spans="1:14">
      <c r="A153" s="102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</row>
    <row r="154" spans="1:14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</row>
  </sheetData>
  <mergeCells count="1">
    <mergeCell ref="A44:N44"/>
  </mergeCells>
  <phoneticPr fontId="19" type="noConversion"/>
  <pageMargins left="0.2" right="0.2" top="0.5" bottom="0.5" header="0.3" footer="0.3"/>
  <pageSetup scale="65" fitToHeight="3" orientation="landscape" r:id="rId1"/>
  <headerFooter scaleWithDoc="0">
    <oddFooter>&amp;C&amp;F / &amp;A&amp;RPage &amp;P</oddFoot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09CC-25E3-4CD2-A60F-77131F8ABA18}">
  <sheetPr codeName="Sheet1">
    <tabColor rgb="FFFFFF00"/>
  </sheetPr>
  <dimension ref="A1:V114"/>
  <sheetViews>
    <sheetView zoomScaleNormal="100" zoomScaleSheetLayoutView="100" workbookViewId="0">
      <selection activeCell="C40" sqref="C40"/>
    </sheetView>
  </sheetViews>
  <sheetFormatPr defaultColWidth="11.42578125" defaultRowHeight="15" outlineLevelRow="1" outlineLevelCol="1"/>
  <cols>
    <col min="1" max="1" width="6.140625" style="47" customWidth="1"/>
    <col min="2" max="2" width="35.28515625" style="3" customWidth="1"/>
    <col min="3" max="3" width="8.42578125" style="3" customWidth="1"/>
    <col min="4" max="4" width="15.28515625" style="3" customWidth="1"/>
    <col min="5" max="5" width="5.5703125" customWidth="1"/>
    <col min="6" max="6" width="14.42578125" style="3" bestFit="1" customWidth="1"/>
    <col min="7" max="15" width="14.28515625" style="3" hidden="1" customWidth="1" outlineLevel="1"/>
    <col min="16" max="17" width="11.5703125" style="3" hidden="1" customWidth="1" outlineLevel="1"/>
    <col min="18" max="18" width="12.42578125" style="3" hidden="1" customWidth="1" outlineLevel="1"/>
    <col min="19" max="19" width="11.42578125" style="3" collapsed="1"/>
    <col min="20" max="20" width="21.28515625" style="3" customWidth="1"/>
    <col min="21" max="21" width="12" style="3" bestFit="1" customWidth="1"/>
    <col min="22" max="16384" width="11.42578125" style="3"/>
  </cols>
  <sheetData>
    <row r="1" spans="1:21">
      <c r="A1" s="1"/>
      <c r="B1" s="1"/>
      <c r="C1" s="2" t="s">
        <v>0</v>
      </c>
    </row>
    <row r="2" spans="1:21">
      <c r="A2" s="1"/>
      <c r="B2" s="1"/>
      <c r="C2" s="2" t="s">
        <v>1</v>
      </c>
    </row>
    <row r="3" spans="1:21">
      <c r="A3" s="4"/>
      <c r="B3" s="1"/>
      <c r="C3" s="2" t="s">
        <v>96</v>
      </c>
    </row>
    <row r="4" spans="1:21">
      <c r="A4" s="4"/>
      <c r="B4" s="1"/>
      <c r="C4" s="5"/>
    </row>
    <row r="5" spans="1:21" ht="12.75" customHeight="1">
      <c r="A5" s="6"/>
      <c r="C5" s="5"/>
      <c r="D5" s="6"/>
    </row>
    <row r="6" spans="1:21">
      <c r="A6" s="6" t="s">
        <v>2</v>
      </c>
      <c r="D6" s="7" t="s">
        <v>322</v>
      </c>
      <c r="F6" s="3" t="s">
        <v>3</v>
      </c>
      <c r="S6" s="303" t="s">
        <v>4</v>
      </c>
      <c r="T6" s="304"/>
      <c r="U6" s="305"/>
    </row>
    <row r="7" spans="1:21">
      <c r="A7" s="8" t="s">
        <v>5</v>
      </c>
      <c r="D7" s="9" t="s">
        <v>6</v>
      </c>
      <c r="F7" s="3" t="s">
        <v>7</v>
      </c>
      <c r="G7" s="10">
        <v>44227</v>
      </c>
      <c r="H7" s="10">
        <v>44255</v>
      </c>
      <c r="I7" s="10">
        <v>44286</v>
      </c>
      <c r="J7" s="10">
        <v>44316</v>
      </c>
      <c r="K7" s="10">
        <v>44347</v>
      </c>
      <c r="L7" s="10">
        <v>44377</v>
      </c>
      <c r="M7" s="10">
        <v>44408</v>
      </c>
      <c r="N7" s="10">
        <v>44439</v>
      </c>
      <c r="O7" s="10">
        <v>44469</v>
      </c>
      <c r="P7" s="10">
        <v>44500</v>
      </c>
      <c r="Q7" s="10">
        <v>44530</v>
      </c>
      <c r="R7" s="10">
        <v>44561</v>
      </c>
      <c r="S7" s="6" t="s">
        <v>7</v>
      </c>
    </row>
    <row r="8" spans="1:21">
      <c r="A8" s="6"/>
      <c r="B8" s="11" t="s">
        <v>8</v>
      </c>
      <c r="D8" s="12"/>
    </row>
    <row r="9" spans="1:21">
      <c r="A9" s="6">
        <f t="shared" ref="A9:A25" si="0">A8+1</f>
        <v>1</v>
      </c>
      <c r="B9" s="3" t="s">
        <v>9</v>
      </c>
      <c r="D9" s="13">
        <f>ROUND(F9/1000,0)</f>
        <v>37374</v>
      </c>
      <c r="F9" s="14">
        <f t="shared" ref="F9:F15" si="1">SUM(G9:R9)</f>
        <v>37374228</v>
      </c>
      <c r="G9" s="15">
        <v>1760598</v>
      </c>
      <c r="H9" s="15">
        <v>1547991</v>
      </c>
      <c r="I9" s="15">
        <v>3311009</v>
      </c>
      <c r="J9" s="15">
        <v>2206989</v>
      </c>
      <c r="K9" s="15">
        <v>1289392</v>
      </c>
      <c r="L9" s="15">
        <v>7105735</v>
      </c>
      <c r="M9" s="15">
        <v>6388325</v>
      </c>
      <c r="N9" s="15">
        <v>6416028</v>
      </c>
      <c r="O9" s="15">
        <v>1418488</v>
      </c>
      <c r="P9" s="15">
        <v>2193421</v>
      </c>
      <c r="Q9" s="15">
        <v>2218158</v>
      </c>
      <c r="R9" s="15">
        <v>1518094</v>
      </c>
    </row>
    <row r="10" spans="1:21">
      <c r="A10" s="6">
        <f t="shared" si="0"/>
        <v>2</v>
      </c>
      <c r="B10" s="3" t="s">
        <v>10</v>
      </c>
      <c r="D10" s="13">
        <f t="shared" ref="D10:D25" si="2">ROUND(F10/1000,0)</f>
        <v>14300</v>
      </c>
      <c r="F10" s="14">
        <f t="shared" si="1"/>
        <v>14300004</v>
      </c>
      <c r="G10" s="15">
        <v>1191667</v>
      </c>
      <c r="H10" s="15">
        <v>1191667</v>
      </c>
      <c r="I10" s="15">
        <v>1191667</v>
      </c>
      <c r="J10" s="15">
        <v>1191667</v>
      </c>
      <c r="K10" s="15">
        <v>1191667</v>
      </c>
      <c r="L10" s="15">
        <v>1191667</v>
      </c>
      <c r="M10" s="15">
        <v>1191667</v>
      </c>
      <c r="N10" s="15">
        <v>1191667</v>
      </c>
      <c r="O10" s="15">
        <v>1191667</v>
      </c>
      <c r="P10" s="15">
        <v>1191667</v>
      </c>
      <c r="Q10" s="15">
        <v>1191667</v>
      </c>
      <c r="R10" s="15">
        <v>1191667</v>
      </c>
    </row>
    <row r="11" spans="1:21">
      <c r="A11" s="6">
        <f t="shared" si="0"/>
        <v>3</v>
      </c>
      <c r="B11" s="3" t="s">
        <v>11</v>
      </c>
      <c r="D11" s="13">
        <f t="shared" si="2"/>
        <v>2688</v>
      </c>
      <c r="F11" s="14">
        <f t="shared" si="1"/>
        <v>2687508</v>
      </c>
      <c r="G11" s="15">
        <v>192122</v>
      </c>
      <c r="H11" s="15">
        <v>210943</v>
      </c>
      <c r="I11" s="15">
        <v>116948</v>
      </c>
      <c r="J11" s="15">
        <v>138458</v>
      </c>
      <c r="K11" s="15">
        <v>155367</v>
      </c>
      <c r="L11" s="15">
        <v>245358</v>
      </c>
      <c r="M11" s="15">
        <v>456636</v>
      </c>
      <c r="N11" s="15">
        <v>327792</v>
      </c>
      <c r="O11" s="15">
        <v>206412</v>
      </c>
      <c r="P11" s="15">
        <v>187476</v>
      </c>
      <c r="Q11" s="15">
        <v>172462</v>
      </c>
      <c r="R11" s="15">
        <v>277534</v>
      </c>
    </row>
    <row r="12" spans="1:21">
      <c r="A12" s="6">
        <f t="shared" si="0"/>
        <v>4</v>
      </c>
      <c r="B12" s="3" t="s">
        <v>12</v>
      </c>
      <c r="D12" s="13">
        <f t="shared" si="2"/>
        <v>2180</v>
      </c>
      <c r="F12" s="14">
        <f t="shared" si="1"/>
        <v>2179608</v>
      </c>
      <c r="G12" s="15">
        <v>181634</v>
      </c>
      <c r="H12" s="15">
        <v>181634</v>
      </c>
      <c r="I12" s="15">
        <v>181634</v>
      </c>
      <c r="J12" s="15">
        <v>181634</v>
      </c>
      <c r="K12" s="15">
        <v>181634</v>
      </c>
      <c r="L12" s="15">
        <v>181634</v>
      </c>
      <c r="M12" s="15">
        <v>181634</v>
      </c>
      <c r="N12" s="15">
        <v>181634</v>
      </c>
      <c r="O12" s="15">
        <v>181634</v>
      </c>
      <c r="P12" s="15">
        <v>181634</v>
      </c>
      <c r="Q12" s="15">
        <v>181634</v>
      </c>
      <c r="R12" s="15">
        <v>181634</v>
      </c>
    </row>
    <row r="13" spans="1:21">
      <c r="A13" s="6">
        <f t="shared" si="0"/>
        <v>5</v>
      </c>
      <c r="B13" s="3" t="s">
        <v>13</v>
      </c>
      <c r="D13" s="13">
        <f t="shared" si="2"/>
        <v>11276</v>
      </c>
      <c r="F13" s="14">
        <f t="shared" si="1"/>
        <v>11276179</v>
      </c>
      <c r="G13" s="15">
        <v>939387</v>
      </c>
      <c r="H13" s="15">
        <v>939387</v>
      </c>
      <c r="I13" s="15">
        <v>939387</v>
      </c>
      <c r="J13" s="15">
        <v>942922</v>
      </c>
      <c r="K13" s="15">
        <v>939387</v>
      </c>
      <c r="L13" s="15">
        <v>939387</v>
      </c>
      <c r="M13" s="15">
        <v>939387</v>
      </c>
      <c r="N13" s="15">
        <v>939387</v>
      </c>
      <c r="O13" s="15">
        <v>939387</v>
      </c>
      <c r="P13" s="15">
        <v>939387</v>
      </c>
      <c r="Q13" s="15">
        <v>939387</v>
      </c>
      <c r="R13" s="15">
        <v>939387</v>
      </c>
    </row>
    <row r="14" spans="1:21">
      <c r="A14" s="6">
        <f t="shared" si="0"/>
        <v>6</v>
      </c>
      <c r="B14" s="3" t="s">
        <v>14</v>
      </c>
      <c r="D14" s="13">
        <f t="shared" si="2"/>
        <v>0</v>
      </c>
      <c r="F14" s="14">
        <f t="shared" si="1"/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</row>
    <row r="15" spans="1:21">
      <c r="A15" s="6">
        <f t="shared" si="0"/>
        <v>7</v>
      </c>
      <c r="B15" s="3" t="s">
        <v>15</v>
      </c>
      <c r="D15" s="13">
        <f t="shared" si="2"/>
        <v>12</v>
      </c>
      <c r="F15" s="14">
        <f t="shared" si="1"/>
        <v>11970</v>
      </c>
      <c r="G15" s="15">
        <v>1259</v>
      </c>
      <c r="H15" s="15">
        <v>1104</v>
      </c>
      <c r="I15" s="15">
        <v>1364</v>
      </c>
      <c r="J15" s="15">
        <v>1083</v>
      </c>
      <c r="K15" s="15">
        <v>1112</v>
      </c>
      <c r="L15" s="15">
        <v>806</v>
      </c>
      <c r="M15" s="15">
        <v>751</v>
      </c>
      <c r="N15" s="15">
        <v>869</v>
      </c>
      <c r="O15" s="15">
        <v>781</v>
      </c>
      <c r="P15" s="15">
        <v>797</v>
      </c>
      <c r="Q15" s="15">
        <v>873</v>
      </c>
      <c r="R15" s="15">
        <v>1171</v>
      </c>
    </row>
    <row r="16" spans="1:21">
      <c r="A16" s="6">
        <f t="shared" si="0"/>
        <v>8</v>
      </c>
      <c r="B16" s="3" t="s">
        <v>16</v>
      </c>
      <c r="D16" s="13">
        <f t="shared" si="2"/>
        <v>1146</v>
      </c>
      <c r="F16" s="14">
        <f>SUM(G16:R16)</f>
        <v>1146301</v>
      </c>
      <c r="G16" s="16">
        <v>156567</v>
      </c>
      <c r="H16" s="16">
        <v>140787</v>
      </c>
      <c r="I16" s="16">
        <v>123152</v>
      </c>
      <c r="J16" s="16">
        <v>140445</v>
      </c>
      <c r="K16" s="16">
        <v>120235</v>
      </c>
      <c r="L16" s="16">
        <v>120819</v>
      </c>
      <c r="M16" s="16">
        <v>60572</v>
      </c>
      <c r="N16" s="16">
        <v>31100</v>
      </c>
      <c r="O16" s="16">
        <v>30365</v>
      </c>
      <c r="P16" s="15">
        <v>33366</v>
      </c>
      <c r="Q16" s="15">
        <v>78022</v>
      </c>
      <c r="R16" s="15">
        <v>110871</v>
      </c>
    </row>
    <row r="17" spans="1:22">
      <c r="A17" s="6">
        <f t="shared" si="0"/>
        <v>9</v>
      </c>
      <c r="B17" s="3" t="s">
        <v>17</v>
      </c>
      <c r="D17" s="13">
        <f t="shared" si="2"/>
        <v>1521</v>
      </c>
      <c r="F17" s="14">
        <f t="shared" ref="F17:F25" si="3">SUM(G17:R17)</f>
        <v>1521377</v>
      </c>
      <c r="G17" s="15">
        <v>136396</v>
      </c>
      <c r="H17" s="15">
        <v>105546</v>
      </c>
      <c r="I17" s="15">
        <v>101790</v>
      </c>
      <c r="J17" s="15">
        <v>47743</v>
      </c>
      <c r="K17" s="15">
        <v>115696</v>
      </c>
      <c r="L17" s="15">
        <v>129807</v>
      </c>
      <c r="M17" s="15">
        <v>169735</v>
      </c>
      <c r="N17" s="15">
        <v>167389</v>
      </c>
      <c r="O17" s="15">
        <v>121137</v>
      </c>
      <c r="P17" s="15">
        <v>160805</v>
      </c>
      <c r="Q17" s="15">
        <v>133979</v>
      </c>
      <c r="R17" s="15">
        <v>131354</v>
      </c>
    </row>
    <row r="18" spans="1:22">
      <c r="A18" s="6">
        <f t="shared" si="0"/>
        <v>10</v>
      </c>
      <c r="B18" s="3" t="s">
        <v>18</v>
      </c>
      <c r="D18" s="13">
        <f t="shared" si="2"/>
        <v>1917</v>
      </c>
      <c r="F18" s="14">
        <f t="shared" si="3"/>
        <v>1916963</v>
      </c>
      <c r="G18" s="15">
        <v>352910</v>
      </c>
      <c r="H18" s="15">
        <v>210446</v>
      </c>
      <c r="I18" s="15">
        <v>214420</v>
      </c>
      <c r="J18" s="15">
        <v>263620</v>
      </c>
      <c r="K18" s="15">
        <v>244032</v>
      </c>
      <c r="L18" s="15">
        <v>128597</v>
      </c>
      <c r="M18" s="15">
        <v>922</v>
      </c>
      <c r="N18" s="15">
        <v>0</v>
      </c>
      <c r="O18" s="15">
        <v>830</v>
      </c>
      <c r="P18" s="15">
        <v>47826</v>
      </c>
      <c r="Q18" s="15">
        <v>170598</v>
      </c>
      <c r="R18" s="15">
        <v>282762</v>
      </c>
    </row>
    <row r="19" spans="1:22">
      <c r="A19" s="6">
        <f t="shared" si="0"/>
        <v>11</v>
      </c>
      <c r="B19" s="3" t="s">
        <v>19</v>
      </c>
      <c r="D19" s="13">
        <f t="shared" si="2"/>
        <v>5636</v>
      </c>
      <c r="F19" s="14">
        <f t="shared" si="3"/>
        <v>5636058</v>
      </c>
      <c r="G19" s="15">
        <v>553990</v>
      </c>
      <c r="H19" s="15">
        <v>561159</v>
      </c>
      <c r="I19" s="15">
        <v>492538</v>
      </c>
      <c r="J19" s="15">
        <v>463820</v>
      </c>
      <c r="K19" s="15">
        <v>341741</v>
      </c>
      <c r="L19" s="15">
        <v>419370</v>
      </c>
      <c r="M19" s="15">
        <v>510666</v>
      </c>
      <c r="N19" s="15">
        <v>493357</v>
      </c>
      <c r="O19" s="15">
        <v>455001</v>
      </c>
      <c r="P19" s="15">
        <v>474358</v>
      </c>
      <c r="Q19" s="15">
        <v>345975</v>
      </c>
      <c r="R19" s="15">
        <v>524083</v>
      </c>
    </row>
    <row r="20" spans="1:22">
      <c r="A20" s="6">
        <f t="shared" si="0"/>
        <v>12</v>
      </c>
      <c r="B20" s="3" t="s">
        <v>20</v>
      </c>
      <c r="D20" s="13">
        <f t="shared" si="2"/>
        <v>16</v>
      </c>
      <c r="F20" s="14">
        <f t="shared" si="3"/>
        <v>16353</v>
      </c>
      <c r="G20" s="15">
        <v>1545</v>
      </c>
      <c r="H20" s="15">
        <v>3341</v>
      </c>
      <c r="I20" s="15">
        <v>0</v>
      </c>
      <c r="J20" s="15">
        <v>1490</v>
      </c>
      <c r="K20" s="15">
        <v>1534</v>
      </c>
      <c r="L20" s="15">
        <v>1288</v>
      </c>
      <c r="M20" s="15">
        <v>1343</v>
      </c>
      <c r="N20" s="15">
        <v>1487</v>
      </c>
      <c r="O20" s="15">
        <v>1487</v>
      </c>
      <c r="P20" s="15">
        <v>1269</v>
      </c>
      <c r="Q20" s="15">
        <v>292</v>
      </c>
      <c r="R20" s="15">
        <v>1277</v>
      </c>
      <c r="T20" s="17"/>
    </row>
    <row r="21" spans="1:22">
      <c r="A21" s="6">
        <f t="shared" si="0"/>
        <v>13</v>
      </c>
      <c r="B21" s="3" t="s">
        <v>21</v>
      </c>
      <c r="D21" s="13">
        <f t="shared" si="2"/>
        <v>28828</v>
      </c>
      <c r="F21" s="14">
        <f t="shared" si="3"/>
        <v>28827646</v>
      </c>
      <c r="G21" s="15">
        <v>2379924</v>
      </c>
      <c r="H21" s="15">
        <v>2422369</v>
      </c>
      <c r="I21" s="15">
        <v>2400610</v>
      </c>
      <c r="J21" s="15">
        <v>2406660</v>
      </c>
      <c r="K21" s="15">
        <v>2389643</v>
      </c>
      <c r="L21" s="15">
        <v>2177828</v>
      </c>
      <c r="M21" s="15">
        <v>2413750</v>
      </c>
      <c r="N21" s="15">
        <v>2448344</v>
      </c>
      <c r="O21" s="15">
        <v>2457036</v>
      </c>
      <c r="P21" s="15">
        <v>2457458</v>
      </c>
      <c r="Q21" s="15">
        <v>2452574</v>
      </c>
      <c r="R21" s="15">
        <v>2421450</v>
      </c>
      <c r="T21" s="18"/>
    </row>
    <row r="22" spans="1:22">
      <c r="A22" s="6">
        <f t="shared" si="0"/>
        <v>14</v>
      </c>
      <c r="B22" s="3" t="s">
        <v>22</v>
      </c>
      <c r="D22" s="13">
        <f t="shared" si="2"/>
        <v>23058</v>
      </c>
      <c r="F22" s="14">
        <f t="shared" si="3"/>
        <v>23057641</v>
      </c>
      <c r="G22" s="15">
        <v>2054962</v>
      </c>
      <c r="H22" s="15">
        <v>2174857</v>
      </c>
      <c r="I22" s="15">
        <v>2096184</v>
      </c>
      <c r="J22" s="15">
        <v>2291429</v>
      </c>
      <c r="K22" s="15">
        <v>1906563</v>
      </c>
      <c r="L22" s="15">
        <v>1407873</v>
      </c>
      <c r="M22" s="15">
        <v>1041030</v>
      </c>
      <c r="N22" s="15">
        <v>1445900</v>
      </c>
      <c r="O22" s="15">
        <v>1640442</v>
      </c>
      <c r="P22" s="15">
        <v>1956541</v>
      </c>
      <c r="Q22" s="15">
        <v>2713874</v>
      </c>
      <c r="R22" s="15">
        <v>2327986</v>
      </c>
      <c r="T22" s="19"/>
    </row>
    <row r="23" spans="1:22">
      <c r="A23" s="6">
        <f t="shared" si="0"/>
        <v>15</v>
      </c>
      <c r="B23" s="3" t="s">
        <v>23</v>
      </c>
      <c r="D23" s="13">
        <f t="shared" si="2"/>
        <v>12747</v>
      </c>
      <c r="F23" s="14">
        <f t="shared" si="3"/>
        <v>12747426</v>
      </c>
      <c r="G23" s="15">
        <v>741745</v>
      </c>
      <c r="H23" s="15">
        <v>1257608</v>
      </c>
      <c r="I23" s="15">
        <v>1069731</v>
      </c>
      <c r="J23" s="15">
        <v>1280006</v>
      </c>
      <c r="K23" s="15">
        <v>1077367</v>
      </c>
      <c r="L23" s="15">
        <v>1028077</v>
      </c>
      <c r="M23" s="15">
        <v>649498</v>
      </c>
      <c r="N23" s="15">
        <v>923141</v>
      </c>
      <c r="O23" s="15">
        <v>929581</v>
      </c>
      <c r="P23" s="15">
        <v>1167308</v>
      </c>
      <c r="Q23" s="15">
        <v>1367015</v>
      </c>
      <c r="R23" s="15">
        <v>1256349</v>
      </c>
    </row>
    <row r="24" spans="1:22">
      <c r="A24" s="6">
        <f>A23+1</f>
        <v>16</v>
      </c>
      <c r="B24" s="3" t="s">
        <v>24</v>
      </c>
      <c r="D24" s="13">
        <f t="shared" si="2"/>
        <v>1514</v>
      </c>
      <c r="F24" s="14">
        <f t="shared" si="3"/>
        <v>1514194</v>
      </c>
      <c r="G24" s="15">
        <v>216599</v>
      </c>
      <c r="H24" s="15">
        <v>267709</v>
      </c>
      <c r="I24" s="15">
        <v>204121</v>
      </c>
      <c r="J24" s="15">
        <v>87285</v>
      </c>
      <c r="K24" s="15">
        <v>74164</v>
      </c>
      <c r="L24" s="15">
        <v>111569</v>
      </c>
      <c r="M24" s="15">
        <v>104069</v>
      </c>
      <c r="N24" s="15">
        <v>100173</v>
      </c>
      <c r="O24" s="15">
        <v>74767</v>
      </c>
      <c r="P24" s="15">
        <v>79850</v>
      </c>
      <c r="Q24" s="15">
        <v>84329</v>
      </c>
      <c r="R24" s="15">
        <v>109559</v>
      </c>
      <c r="T24" s="20"/>
    </row>
    <row r="25" spans="1:22">
      <c r="A25" s="6">
        <f t="shared" si="0"/>
        <v>17</v>
      </c>
      <c r="B25" s="3" t="s">
        <v>25</v>
      </c>
      <c r="D25" s="13">
        <f t="shared" si="2"/>
        <v>-58</v>
      </c>
      <c r="F25" s="14">
        <f t="shared" si="3"/>
        <v>-58028</v>
      </c>
      <c r="G25" s="15">
        <v>-18915</v>
      </c>
      <c r="H25" s="15">
        <v>-20294</v>
      </c>
      <c r="I25" s="15">
        <v>-11041</v>
      </c>
      <c r="J25" s="15">
        <v>-41253</v>
      </c>
      <c r="K25" s="15">
        <v>17780</v>
      </c>
      <c r="L25" s="15">
        <v>-61250</v>
      </c>
      <c r="M25" s="15">
        <v>73411</v>
      </c>
      <c r="N25" s="15">
        <v>35682</v>
      </c>
      <c r="O25" s="15">
        <v>29895</v>
      </c>
      <c r="P25" s="15">
        <v>-7920</v>
      </c>
      <c r="Q25" s="15">
        <v>-12629</v>
      </c>
      <c r="R25" s="15">
        <v>-41494</v>
      </c>
      <c r="T25" s="51" t="s">
        <v>97</v>
      </c>
    </row>
    <row r="26" spans="1:22">
      <c r="A26" s="6">
        <f>A25+1</f>
        <v>18</v>
      </c>
      <c r="B26" s="3" t="s">
        <v>26</v>
      </c>
      <c r="D26" s="21">
        <f>SUM(D9:D25)</f>
        <v>144155</v>
      </c>
      <c r="F26" s="22">
        <f>SUM(F9:F25)</f>
        <v>144155428</v>
      </c>
      <c r="G26" s="22">
        <f t="shared" ref="G26:R26" si="4">SUM(G9:G25)</f>
        <v>10842390</v>
      </c>
      <c r="H26" s="22">
        <f t="shared" si="4"/>
        <v>11196254</v>
      </c>
      <c r="I26" s="22">
        <f t="shared" si="4"/>
        <v>12433514</v>
      </c>
      <c r="J26" s="22">
        <f t="shared" si="4"/>
        <v>11603998</v>
      </c>
      <c r="K26" s="22">
        <f t="shared" si="4"/>
        <v>10047314</v>
      </c>
      <c r="L26" s="22">
        <f t="shared" si="4"/>
        <v>15128565</v>
      </c>
      <c r="M26" s="22">
        <f t="shared" si="4"/>
        <v>14183396</v>
      </c>
      <c r="N26" s="22">
        <f t="shared" si="4"/>
        <v>14703950</v>
      </c>
      <c r="O26" s="22">
        <f t="shared" si="4"/>
        <v>9678910</v>
      </c>
      <c r="P26" s="22">
        <f t="shared" si="4"/>
        <v>11065243</v>
      </c>
      <c r="Q26" s="22">
        <f t="shared" si="4"/>
        <v>12038210</v>
      </c>
      <c r="R26" s="22">
        <f t="shared" si="4"/>
        <v>11233684</v>
      </c>
      <c r="S26" s="23">
        <f>D26</f>
        <v>144155</v>
      </c>
      <c r="T26" s="12" t="s">
        <v>27</v>
      </c>
    </row>
    <row r="27" spans="1:22">
      <c r="A27" s="6"/>
      <c r="F27"/>
      <c r="S27" s="50">
        <f>1753484/1000</f>
        <v>1753.4839999999999</v>
      </c>
      <c r="T27" s="3" t="s">
        <v>28</v>
      </c>
      <c r="U27" s="12">
        <f>SUM(S26:S27)</f>
        <v>145908.484</v>
      </c>
    </row>
    <row r="28" spans="1:22">
      <c r="A28" s="6"/>
      <c r="B28" s="11" t="s">
        <v>29</v>
      </c>
      <c r="D28" s="23"/>
      <c r="S28" s="50">
        <f>10409413/1000</f>
        <v>10409.413</v>
      </c>
      <c r="T28" s="3" t="s">
        <v>30</v>
      </c>
    </row>
    <row r="29" spans="1:22">
      <c r="A29" s="6">
        <f>A26+1</f>
        <v>19</v>
      </c>
      <c r="B29" s="3" t="s">
        <v>31</v>
      </c>
      <c r="D29" s="13">
        <f t="shared" ref="D29:D32" si="5">ROUND(F29/1000,0)</f>
        <v>326</v>
      </c>
      <c r="F29" s="25">
        <f t="shared" ref="F29:F37" si="6">SUM(G29:R29)</f>
        <v>326157</v>
      </c>
      <c r="G29" s="26">
        <v>25242</v>
      </c>
      <c r="H29" s="26">
        <v>20273</v>
      </c>
      <c r="I29" s="26">
        <v>25053</v>
      </c>
      <c r="J29" s="26">
        <v>26076</v>
      </c>
      <c r="K29" s="26">
        <v>30279</v>
      </c>
      <c r="L29" s="26">
        <v>33496</v>
      </c>
      <c r="M29" s="26">
        <v>32277</v>
      </c>
      <c r="N29" s="26">
        <v>27965</v>
      </c>
      <c r="O29" s="26">
        <v>24951</v>
      </c>
      <c r="P29" s="26">
        <v>23816</v>
      </c>
      <c r="Q29" s="26">
        <v>27755</v>
      </c>
      <c r="R29" s="26">
        <v>28974</v>
      </c>
      <c r="S29" s="50">
        <f>82716/1000</f>
        <v>82.715999999999994</v>
      </c>
      <c r="T29" s="3" t="s">
        <v>32</v>
      </c>
    </row>
    <row r="30" spans="1:22">
      <c r="A30" s="6">
        <f>A29+1</f>
        <v>20</v>
      </c>
      <c r="B30" s="3" t="s">
        <v>33</v>
      </c>
      <c r="D30" s="13">
        <f t="shared" si="5"/>
        <v>0</v>
      </c>
      <c r="F30" s="25">
        <f t="shared" si="6"/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12">
        <f>SUM(S26:S29)</f>
        <v>156400.61299999998</v>
      </c>
      <c r="T30" s="12" t="s">
        <v>34</v>
      </c>
      <c r="U30" s="50">
        <f>156401039/1000</f>
        <v>156401.03899999999</v>
      </c>
      <c r="V30" s="28">
        <f>S30-U30</f>
        <v>-0.42600000000675209</v>
      </c>
    </row>
    <row r="31" spans="1:22">
      <c r="A31" s="6">
        <f>A30+1</f>
        <v>21</v>
      </c>
      <c r="B31" s="3" t="s">
        <v>35</v>
      </c>
      <c r="D31" s="13">
        <f t="shared" si="5"/>
        <v>279</v>
      </c>
      <c r="F31" s="25">
        <f t="shared" si="6"/>
        <v>279204</v>
      </c>
      <c r="G31" s="26">
        <v>5456</v>
      </c>
      <c r="H31" s="26">
        <v>20823</v>
      </c>
      <c r="I31" s="26">
        <v>8041</v>
      </c>
      <c r="J31" s="26">
        <v>8813</v>
      </c>
      <c r="K31" s="26">
        <v>-2262</v>
      </c>
      <c r="L31" s="26">
        <v>9894</v>
      </c>
      <c r="M31" s="26">
        <v>106600</v>
      </c>
      <c r="N31" s="26">
        <v>46165</v>
      </c>
      <c r="O31" s="26">
        <v>26584</v>
      </c>
      <c r="P31" s="26">
        <v>5572</v>
      </c>
      <c r="Q31" s="26">
        <v>35963</v>
      </c>
      <c r="R31" s="26">
        <v>7555</v>
      </c>
    </row>
    <row r="32" spans="1:22">
      <c r="A32" s="6">
        <f>A31+1</f>
        <v>22</v>
      </c>
      <c r="B32" s="3" t="s">
        <v>36</v>
      </c>
      <c r="D32" s="13">
        <f t="shared" si="5"/>
        <v>54</v>
      </c>
      <c r="F32" s="25">
        <f>SUM(G32:R32)</f>
        <v>53746</v>
      </c>
      <c r="G32" s="26">
        <v>3638</v>
      </c>
      <c r="H32" s="26">
        <v>3756</v>
      </c>
      <c r="I32" s="26">
        <v>4049</v>
      </c>
      <c r="J32" s="26">
        <v>4202</v>
      </c>
      <c r="K32" s="26">
        <v>5929</v>
      </c>
      <c r="L32" s="26">
        <v>5371</v>
      </c>
      <c r="M32" s="26">
        <v>4741</v>
      </c>
      <c r="N32" s="26">
        <v>5158</v>
      </c>
      <c r="O32" s="26">
        <v>4989</v>
      </c>
      <c r="P32" s="26">
        <v>4128</v>
      </c>
      <c r="Q32" s="26">
        <v>4035</v>
      </c>
      <c r="R32" s="26">
        <v>3750</v>
      </c>
    </row>
    <row r="33" spans="1:22" hidden="1" outlineLevel="1">
      <c r="A33" s="6"/>
      <c r="D33" s="23"/>
      <c r="F33" s="14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22" hidden="1" outlineLevel="1">
      <c r="A34" s="6"/>
      <c r="D34" s="23"/>
      <c r="F34" s="14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22" hidden="1" outlineLevel="1">
      <c r="A35" s="6"/>
      <c r="D35" s="23"/>
      <c r="F35" s="14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22" hidden="1" outlineLevel="1">
      <c r="A36" s="6"/>
      <c r="D36" s="23"/>
      <c r="F36" s="14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22" ht="12.75" hidden="1" outlineLevel="1">
      <c r="A37" s="6"/>
      <c r="D37" s="23"/>
      <c r="E37" s="3"/>
      <c r="F37" s="14">
        <f t="shared" si="6"/>
        <v>37834515</v>
      </c>
      <c r="G37" s="29">
        <v>4115776</v>
      </c>
      <c r="H37" s="29">
        <v>3319418</v>
      </c>
      <c r="I37" s="29">
        <v>5391617</v>
      </c>
      <c r="J37" s="29">
        <v>4419630</v>
      </c>
      <c r="K37" s="29">
        <v>3917436</v>
      </c>
      <c r="L37" s="29">
        <v>2910728</v>
      </c>
      <c r="M37" s="29">
        <v>3649197</v>
      </c>
      <c r="N37" s="29">
        <v>5625775</v>
      </c>
      <c r="O37" s="29">
        <v>4484938</v>
      </c>
      <c r="P37" s="29"/>
      <c r="Q37" s="29"/>
      <c r="R37" s="29"/>
    </row>
    <row r="38" spans="1:22" ht="12.75" collapsed="1">
      <c r="A38" s="6">
        <f>A83+1</f>
        <v>51</v>
      </c>
      <c r="B38" s="3" t="s">
        <v>37</v>
      </c>
      <c r="D38" s="13">
        <f>F38/1000</f>
        <v>85.641999999999996</v>
      </c>
      <c r="E38" s="3"/>
      <c r="F38" s="14">
        <v>85642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</row>
    <row r="39" spans="1:22" ht="12.75">
      <c r="A39" s="6">
        <f>A32+1</f>
        <v>23</v>
      </c>
      <c r="B39" s="3" t="s">
        <v>38</v>
      </c>
      <c r="D39" s="13">
        <f>ROUND(F39/1000,0)</f>
        <v>59042</v>
      </c>
      <c r="E39" s="3"/>
      <c r="F39" s="14">
        <f>SUM(G39:R39)</f>
        <v>59041547</v>
      </c>
      <c r="G39" s="15">
        <v>3029364</v>
      </c>
      <c r="H39" s="15">
        <v>5505018</v>
      </c>
      <c r="I39" s="15">
        <v>3172709</v>
      </c>
      <c r="J39" s="15">
        <v>3950730</v>
      </c>
      <c r="K39" s="15">
        <v>7850695</v>
      </c>
      <c r="L39" s="15">
        <v>6762521</v>
      </c>
      <c r="M39" s="15">
        <v>4221457</v>
      </c>
      <c r="N39" s="15">
        <v>6035346</v>
      </c>
      <c r="O39" s="15">
        <v>4447082</v>
      </c>
      <c r="P39" s="15">
        <v>4722922</v>
      </c>
      <c r="Q39" s="15">
        <v>4653296</v>
      </c>
      <c r="R39" s="15">
        <v>4690407</v>
      </c>
    </row>
    <row r="40" spans="1:22" ht="12.75">
      <c r="A40" s="6">
        <f>A39+1</f>
        <v>24</v>
      </c>
      <c r="B40" s="31" t="s">
        <v>39</v>
      </c>
      <c r="D40" s="13">
        <f>ROUND(F40/1000,0)</f>
        <v>345</v>
      </c>
      <c r="E40" s="3"/>
      <c r="F40" s="14">
        <f>SUM(G40:R40)</f>
        <v>344728</v>
      </c>
      <c r="G40" s="15">
        <v>0</v>
      </c>
      <c r="H40" s="15">
        <v>0</v>
      </c>
      <c r="I40" s="15">
        <v>1189</v>
      </c>
      <c r="J40" s="15">
        <v>0</v>
      </c>
      <c r="K40" s="15">
        <v>0</v>
      </c>
      <c r="L40" s="15">
        <v>0</v>
      </c>
      <c r="M40" s="15">
        <v>290137</v>
      </c>
      <c r="N40" s="15">
        <v>15177</v>
      </c>
      <c r="O40" s="15">
        <v>35566</v>
      </c>
      <c r="P40" s="15">
        <v>729</v>
      </c>
      <c r="Q40" s="15">
        <v>1538</v>
      </c>
      <c r="R40" s="15">
        <v>392</v>
      </c>
    </row>
    <row r="41" spans="1:22" ht="12.75">
      <c r="A41" s="6">
        <f>A40+1</f>
        <v>25</v>
      </c>
      <c r="B41" s="32" t="s">
        <v>40</v>
      </c>
      <c r="C41" s="33"/>
      <c r="D41" s="13">
        <f>ROUND(F41/1000,0)</f>
        <v>1</v>
      </c>
      <c r="E41" s="3"/>
      <c r="F41" s="14">
        <f>SUM(G41:R41)</f>
        <v>1238</v>
      </c>
      <c r="G41" s="15">
        <v>14</v>
      </c>
      <c r="H41" s="15">
        <v>41</v>
      </c>
      <c r="I41" s="15">
        <v>51</v>
      </c>
      <c r="J41" s="15">
        <v>93</v>
      </c>
      <c r="K41" s="15">
        <v>87</v>
      </c>
      <c r="L41" s="15">
        <v>182</v>
      </c>
      <c r="M41" s="15">
        <v>326</v>
      </c>
      <c r="N41" s="15">
        <v>158</v>
      </c>
      <c r="O41" s="15">
        <v>150</v>
      </c>
      <c r="P41" s="15">
        <v>97</v>
      </c>
      <c r="Q41" s="15">
        <v>28</v>
      </c>
      <c r="R41" s="15">
        <v>11</v>
      </c>
      <c r="T41" s="51" t="s">
        <v>97</v>
      </c>
    </row>
    <row r="42" spans="1:22" ht="12.75">
      <c r="A42" s="6">
        <f>A41+1</f>
        <v>26</v>
      </c>
      <c r="B42" s="3" t="s">
        <v>41</v>
      </c>
      <c r="D42" s="34">
        <f>SUM(D29:D41)</f>
        <v>60132.642</v>
      </c>
      <c r="E42" s="3"/>
      <c r="F42" s="22">
        <f>SUM(F29:F32,F39:F41)+F38</f>
        <v>60132262</v>
      </c>
      <c r="G42" s="22">
        <f>SUM(G29:G32,G39:G41)</f>
        <v>3063714</v>
      </c>
      <c r="H42" s="22">
        <f t="shared" ref="H42:R42" si="7">SUM(H29:H32,H39)</f>
        <v>5549870</v>
      </c>
      <c r="I42" s="22">
        <f t="shared" si="7"/>
        <v>3209852</v>
      </c>
      <c r="J42" s="22">
        <f t="shared" si="7"/>
        <v>3989821</v>
      </c>
      <c r="K42" s="22">
        <f t="shared" si="7"/>
        <v>7884641</v>
      </c>
      <c r="L42" s="22">
        <f t="shared" si="7"/>
        <v>6811282</v>
      </c>
      <c r="M42" s="22">
        <f t="shared" si="7"/>
        <v>4365075</v>
      </c>
      <c r="N42" s="22">
        <f t="shared" si="7"/>
        <v>6114634</v>
      </c>
      <c r="O42" s="22">
        <f t="shared" si="7"/>
        <v>4503606</v>
      </c>
      <c r="P42" s="22">
        <f t="shared" si="7"/>
        <v>4756438</v>
      </c>
      <c r="Q42" s="22">
        <f t="shared" si="7"/>
        <v>4721049</v>
      </c>
      <c r="R42" s="22">
        <f t="shared" si="7"/>
        <v>4730686</v>
      </c>
      <c r="S42" s="24">
        <f>D42</f>
        <v>60132.642</v>
      </c>
      <c r="T42" s="28" t="s">
        <v>27</v>
      </c>
    </row>
    <row r="43" spans="1:22" ht="12.75">
      <c r="A43" s="6"/>
      <c r="D43" s="23"/>
      <c r="E43" s="3"/>
      <c r="S43" s="24">
        <f>5398639/1000</f>
        <v>5398.6390000000001</v>
      </c>
      <c r="T43" s="3" t="s">
        <v>42</v>
      </c>
    </row>
    <row r="44" spans="1:22" ht="12.75">
      <c r="A44" s="6"/>
      <c r="B44" s="11" t="s">
        <v>43</v>
      </c>
      <c r="D44" s="23"/>
      <c r="E44" s="3"/>
      <c r="S44" s="24">
        <f>892145/1000</f>
        <v>892.14499999999998</v>
      </c>
      <c r="T44" s="3" t="s">
        <v>44</v>
      </c>
    </row>
    <row r="45" spans="1:22" ht="12.75">
      <c r="A45" s="6">
        <f>A42+1</f>
        <v>27</v>
      </c>
      <c r="B45" s="3" t="s">
        <v>99</v>
      </c>
      <c r="C45" s="6"/>
      <c r="D45" s="13">
        <f t="shared" ref="D45:D48" si="8">ROUND(F45/1000,0)</f>
        <v>7374</v>
      </c>
      <c r="E45" s="3"/>
      <c r="F45" s="14">
        <f t="shared" ref="F45:F48" si="9">SUM(G45:R45)</f>
        <v>7374168</v>
      </c>
      <c r="G45" s="35">
        <v>572049</v>
      </c>
      <c r="H45" s="35">
        <v>499776</v>
      </c>
      <c r="I45" s="35">
        <v>642433</v>
      </c>
      <c r="J45" s="35">
        <v>531571</v>
      </c>
      <c r="K45" s="35">
        <v>65737</v>
      </c>
      <c r="L45" s="35">
        <v>619807</v>
      </c>
      <c r="M45" s="35">
        <v>695119</v>
      </c>
      <c r="N45" s="35">
        <v>799548</v>
      </c>
      <c r="O45" s="35">
        <v>709445</v>
      </c>
      <c r="P45" s="35">
        <v>750950</v>
      </c>
      <c r="Q45" s="35">
        <v>712022</v>
      </c>
      <c r="R45" s="35">
        <v>775711</v>
      </c>
      <c r="S45" s="24">
        <f>-32718221/1000</f>
        <v>-32718.221000000001</v>
      </c>
      <c r="T45" s="3" t="s">
        <v>45</v>
      </c>
    </row>
    <row r="46" spans="1:22" ht="12.75">
      <c r="A46" s="6">
        <f>A45+1</f>
        <v>28</v>
      </c>
      <c r="B46" s="3" t="s">
        <v>100</v>
      </c>
      <c r="C46" s="6"/>
      <c r="D46" s="13">
        <f t="shared" si="8"/>
        <v>16</v>
      </c>
      <c r="E46" s="3"/>
      <c r="F46" s="14">
        <f t="shared" si="9"/>
        <v>16034</v>
      </c>
      <c r="G46" s="35">
        <v>1028</v>
      </c>
      <c r="H46" s="35">
        <v>8827</v>
      </c>
      <c r="I46" s="35">
        <v>-4157</v>
      </c>
      <c r="J46" s="35">
        <v>529</v>
      </c>
      <c r="K46" s="35">
        <v>3152</v>
      </c>
      <c r="L46" s="35">
        <v>1765</v>
      </c>
      <c r="M46" s="35">
        <v>3629</v>
      </c>
      <c r="N46" s="35">
        <v>104</v>
      </c>
      <c r="O46" s="35">
        <v>396</v>
      </c>
      <c r="P46" s="35">
        <v>-2900</v>
      </c>
      <c r="Q46" s="35">
        <v>3589</v>
      </c>
      <c r="R46" s="35">
        <v>72</v>
      </c>
      <c r="S46" s="36">
        <f>SUM(S42:S45)</f>
        <v>33705.205000000002</v>
      </c>
      <c r="T46" s="3" t="s">
        <v>34</v>
      </c>
      <c r="U46" s="27">
        <f>33704825/1000</f>
        <v>33704.824999999997</v>
      </c>
      <c r="V46" s="28">
        <f>S46-U46</f>
        <v>0.38000000000465661</v>
      </c>
    </row>
    <row r="47" spans="1:22" ht="12.75">
      <c r="A47" s="6">
        <f>A46+1</f>
        <v>29</v>
      </c>
      <c r="B47" s="3" t="s">
        <v>102</v>
      </c>
      <c r="C47" s="6"/>
      <c r="D47" s="13">
        <f t="shared" si="8"/>
        <v>25691</v>
      </c>
      <c r="E47" s="3"/>
      <c r="F47" s="14">
        <f t="shared" si="9"/>
        <v>25690548</v>
      </c>
      <c r="G47" s="35">
        <v>2481260</v>
      </c>
      <c r="H47" s="35">
        <v>2015723</v>
      </c>
      <c r="I47" s="35">
        <v>2602101</v>
      </c>
      <c r="J47" s="35">
        <v>1151931</v>
      </c>
      <c r="K47" s="35">
        <v>1254952</v>
      </c>
      <c r="L47" s="35">
        <v>1346485</v>
      </c>
      <c r="M47" s="35">
        <v>2298442</v>
      </c>
      <c r="N47" s="35">
        <v>2066924</v>
      </c>
      <c r="O47" s="35">
        <v>3025844</v>
      </c>
      <c r="P47" s="35">
        <v>2770730</v>
      </c>
      <c r="Q47" s="35">
        <v>3036234</v>
      </c>
      <c r="R47" s="35">
        <v>1639922</v>
      </c>
    </row>
    <row r="48" spans="1:22" ht="12.75">
      <c r="A48" s="6">
        <f>A47+1</f>
        <v>30</v>
      </c>
      <c r="B48" s="33" t="s">
        <v>101</v>
      </c>
      <c r="C48" s="37"/>
      <c r="D48" s="13">
        <f t="shared" si="8"/>
        <v>185</v>
      </c>
      <c r="E48" s="3"/>
      <c r="F48" s="14">
        <f t="shared" si="9"/>
        <v>184541</v>
      </c>
      <c r="G48" s="35">
        <v>22561</v>
      </c>
      <c r="H48" s="35">
        <v>3835</v>
      </c>
      <c r="I48" s="35">
        <v>16432</v>
      </c>
      <c r="J48" s="35">
        <v>984</v>
      </c>
      <c r="K48" s="35">
        <v>26054</v>
      </c>
      <c r="L48" s="35">
        <v>1325</v>
      </c>
      <c r="M48" s="35">
        <v>33637</v>
      </c>
      <c r="N48" s="35">
        <v>21262</v>
      </c>
      <c r="O48" s="35">
        <v>43160</v>
      </c>
      <c r="P48" s="35">
        <v>12015</v>
      </c>
      <c r="Q48" s="35">
        <v>3276</v>
      </c>
      <c r="R48" s="35">
        <v>0</v>
      </c>
      <c r="S48" s="28"/>
    </row>
    <row r="49" spans="1:22" ht="12.75">
      <c r="A49" s="6">
        <f>A48+1</f>
        <v>31</v>
      </c>
      <c r="B49" s="3" t="s">
        <v>46</v>
      </c>
      <c r="D49" s="21">
        <f>SUM(D45:D48)</f>
        <v>33266</v>
      </c>
      <c r="E49" s="3"/>
      <c r="F49" s="22">
        <f>SUM(F45:F48)</f>
        <v>33265291</v>
      </c>
      <c r="G49" s="22">
        <f t="shared" ref="G49:R49" si="10">SUM(G45:G48)</f>
        <v>3076898</v>
      </c>
      <c r="H49" s="22">
        <f t="shared" si="10"/>
        <v>2528161</v>
      </c>
      <c r="I49" s="22">
        <f t="shared" si="10"/>
        <v>3256809</v>
      </c>
      <c r="J49" s="22">
        <f t="shared" si="10"/>
        <v>1685015</v>
      </c>
      <c r="K49" s="22">
        <f t="shared" si="10"/>
        <v>1349895</v>
      </c>
      <c r="L49" s="22">
        <f t="shared" si="10"/>
        <v>1969382</v>
      </c>
      <c r="M49" s="22">
        <f t="shared" si="10"/>
        <v>3030827</v>
      </c>
      <c r="N49" s="22">
        <f t="shared" si="10"/>
        <v>2887838</v>
      </c>
      <c r="O49" s="22">
        <f t="shared" si="10"/>
        <v>3778845</v>
      </c>
      <c r="P49" s="22">
        <f t="shared" si="10"/>
        <v>3530795</v>
      </c>
      <c r="Q49" s="22">
        <f t="shared" si="10"/>
        <v>3755121</v>
      </c>
      <c r="R49" s="22">
        <f t="shared" si="10"/>
        <v>2415705</v>
      </c>
      <c r="T49" s="51" t="s">
        <v>98</v>
      </c>
    </row>
    <row r="50" spans="1:22" ht="12.75">
      <c r="A50" s="6"/>
      <c r="D50" s="23"/>
      <c r="E50" s="3"/>
      <c r="S50" s="24">
        <f>D49</f>
        <v>33266</v>
      </c>
      <c r="T50" s="3" t="s">
        <v>47</v>
      </c>
    </row>
    <row r="51" spans="1:22" ht="12.75">
      <c r="A51" s="6"/>
      <c r="B51" s="11" t="s">
        <v>48</v>
      </c>
      <c r="D51" s="23"/>
      <c r="E51" s="3"/>
      <c r="S51" s="28">
        <f>1289717/1000</f>
        <v>1289.7170000000001</v>
      </c>
      <c r="T51" s="38" t="s">
        <v>49</v>
      </c>
    </row>
    <row r="52" spans="1:22" ht="12.75">
      <c r="A52" s="6">
        <f>A49+1</f>
        <v>32</v>
      </c>
      <c r="B52" s="3" t="s">
        <v>50</v>
      </c>
      <c r="D52" s="13">
        <f t="shared" ref="D52:D57" si="11">ROUND(F52/1000,0)</f>
        <v>82</v>
      </c>
      <c r="E52" s="3"/>
      <c r="F52" s="14">
        <f t="shared" ref="F52:F55" si="12">SUM(G52:R52)</f>
        <v>81939</v>
      </c>
      <c r="G52" s="14">
        <v>113</v>
      </c>
      <c r="H52" s="14">
        <v>-12</v>
      </c>
      <c r="I52" s="14">
        <v>87</v>
      </c>
      <c r="J52" s="14">
        <v>-1</v>
      </c>
      <c r="K52" s="14">
        <v>772</v>
      </c>
      <c r="L52" s="14">
        <v>27234</v>
      </c>
      <c r="M52" s="14">
        <v>7587</v>
      </c>
      <c r="N52" s="14">
        <v>5</v>
      </c>
      <c r="O52" s="14">
        <v>655</v>
      </c>
      <c r="P52" s="14">
        <v>45919</v>
      </c>
      <c r="Q52" s="14">
        <v>-312</v>
      </c>
      <c r="R52" s="14">
        <v>-108</v>
      </c>
      <c r="S52" s="36">
        <f>SUM(S50:S51)-1</f>
        <v>34554.716999999997</v>
      </c>
      <c r="T52" s="38" t="s">
        <v>34</v>
      </c>
      <c r="U52" s="27">
        <f>34555011/1000</f>
        <v>34555.010999999999</v>
      </c>
      <c r="V52" s="28">
        <f>S52-U52</f>
        <v>-0.29400000000168802</v>
      </c>
    </row>
    <row r="53" spans="1:22" ht="12.75">
      <c r="A53" s="6">
        <f t="shared" ref="A53:A57" si="13">A52+1</f>
        <v>33</v>
      </c>
      <c r="B53" s="3" t="s">
        <v>51</v>
      </c>
      <c r="C53" s="3" t="s">
        <v>52</v>
      </c>
      <c r="D53" s="13">
        <f t="shared" si="11"/>
        <v>2337</v>
      </c>
      <c r="E53" s="3"/>
      <c r="F53" s="14">
        <f t="shared" si="12"/>
        <v>2337491</v>
      </c>
      <c r="G53" s="14">
        <v>13515</v>
      </c>
      <c r="H53" s="14">
        <v>102792</v>
      </c>
      <c r="I53" s="14">
        <v>114417</v>
      </c>
      <c r="J53" s="14">
        <v>126490</v>
      </c>
      <c r="K53" s="14">
        <v>97758</v>
      </c>
      <c r="L53" s="14">
        <v>216747</v>
      </c>
      <c r="M53" s="14">
        <v>294175</v>
      </c>
      <c r="N53" s="14">
        <v>307223</v>
      </c>
      <c r="O53" s="14">
        <v>304119</v>
      </c>
      <c r="P53" s="14">
        <v>403646</v>
      </c>
      <c r="Q53" s="14">
        <v>122366</v>
      </c>
      <c r="R53" s="14">
        <v>234243</v>
      </c>
    </row>
    <row r="54" spans="1:22" ht="12.75">
      <c r="A54" s="6">
        <f t="shared" si="13"/>
        <v>34</v>
      </c>
      <c r="B54" s="3" t="s">
        <v>53</v>
      </c>
      <c r="D54" s="13">
        <f t="shared" si="11"/>
        <v>135</v>
      </c>
      <c r="E54" s="3"/>
      <c r="F54" s="14">
        <f t="shared" si="12"/>
        <v>135411</v>
      </c>
      <c r="G54" s="14">
        <v>120</v>
      </c>
      <c r="H54" s="14">
        <v>-8703</v>
      </c>
      <c r="I54" s="14">
        <v>9978</v>
      </c>
      <c r="J54" s="14">
        <v>-113</v>
      </c>
      <c r="K54" s="14">
        <v>-1973</v>
      </c>
      <c r="L54" s="14">
        <v>24727</v>
      </c>
      <c r="M54" s="14">
        <v>43163</v>
      </c>
      <c r="N54" s="14">
        <v>8996</v>
      </c>
      <c r="O54" s="14">
        <v>41513</v>
      </c>
      <c r="P54" s="14">
        <v>18469</v>
      </c>
      <c r="Q54" s="14">
        <v>-117</v>
      </c>
      <c r="R54" s="14">
        <v>-649</v>
      </c>
    </row>
    <row r="55" spans="1:22" ht="12.75">
      <c r="A55" s="6">
        <f t="shared" si="13"/>
        <v>35</v>
      </c>
      <c r="B55" s="3" t="s">
        <v>54</v>
      </c>
      <c r="C55" s="3" t="s">
        <v>55</v>
      </c>
      <c r="D55" s="13">
        <f t="shared" si="11"/>
        <v>42437</v>
      </c>
      <c r="E55" s="3"/>
      <c r="F55" s="14">
        <f t="shared" si="12"/>
        <v>42436779</v>
      </c>
      <c r="G55" s="14">
        <v>3313555</v>
      </c>
      <c r="H55" s="14">
        <v>4600091</v>
      </c>
      <c r="I55" s="14">
        <v>384055</v>
      </c>
      <c r="J55" s="14">
        <v>426040</v>
      </c>
      <c r="K55" s="14">
        <v>432238</v>
      </c>
      <c r="L55" s="14">
        <v>520235</v>
      </c>
      <c r="M55" s="14">
        <v>3981615</v>
      </c>
      <c r="N55" s="14">
        <v>4619270</v>
      </c>
      <c r="O55" s="14">
        <v>4909747</v>
      </c>
      <c r="P55" s="14">
        <v>6395380</v>
      </c>
      <c r="Q55" s="14">
        <v>6239699</v>
      </c>
      <c r="R55" s="14">
        <v>6614854</v>
      </c>
    </row>
    <row r="56" spans="1:22" ht="12.75">
      <c r="A56" s="6">
        <f t="shared" si="13"/>
        <v>36</v>
      </c>
      <c r="B56" s="3" t="s">
        <v>56</v>
      </c>
      <c r="C56" s="3" t="s">
        <v>55</v>
      </c>
      <c r="D56" s="13">
        <f t="shared" si="11"/>
        <v>45559</v>
      </c>
      <c r="E56" s="3"/>
      <c r="F56" s="14">
        <f t="shared" ref="F56:F57" si="14">SUM(G56:R56)</f>
        <v>45559060</v>
      </c>
      <c r="G56" s="14">
        <v>2848373</v>
      </c>
      <c r="H56" s="14">
        <v>4650571</v>
      </c>
      <c r="I56" s="14">
        <v>2761100</v>
      </c>
      <c r="J56" s="14">
        <v>2921481</v>
      </c>
      <c r="K56" s="14">
        <v>3106537</v>
      </c>
      <c r="L56" s="14">
        <v>957420</v>
      </c>
      <c r="M56" s="14">
        <v>3880114</v>
      </c>
      <c r="N56" s="14">
        <v>3583575</v>
      </c>
      <c r="O56" s="14">
        <v>4298927</v>
      </c>
      <c r="P56" s="14">
        <v>5890127</v>
      </c>
      <c r="Q56" s="14">
        <v>5405641</v>
      </c>
      <c r="R56" s="14">
        <v>5255194</v>
      </c>
    </row>
    <row r="57" spans="1:22" ht="12.75">
      <c r="A57" s="6">
        <f t="shared" si="13"/>
        <v>37</v>
      </c>
      <c r="B57" s="3" t="s">
        <v>57</v>
      </c>
      <c r="D57" s="13">
        <f t="shared" si="11"/>
        <v>6727</v>
      </c>
      <c r="E57" s="3"/>
      <c r="F57" s="14">
        <f t="shared" si="14"/>
        <v>6727091</v>
      </c>
      <c r="G57" s="14">
        <v>7765</v>
      </c>
      <c r="H57" s="14">
        <v>317767</v>
      </c>
      <c r="I57" s="14">
        <v>276470</v>
      </c>
      <c r="J57" s="14">
        <v>661760</v>
      </c>
      <c r="K57" s="14">
        <v>56640</v>
      </c>
      <c r="L57" s="14">
        <v>615142</v>
      </c>
      <c r="M57" s="14">
        <v>1408962</v>
      </c>
      <c r="N57" s="14">
        <v>1583437</v>
      </c>
      <c r="O57" s="14">
        <v>760690</v>
      </c>
      <c r="P57" s="14">
        <v>535669</v>
      </c>
      <c r="Q57" s="14">
        <v>126207</v>
      </c>
      <c r="R57" s="14">
        <v>376582</v>
      </c>
    </row>
    <row r="58" spans="1:22" ht="12.75">
      <c r="A58" s="6">
        <f>A57+1</f>
        <v>38</v>
      </c>
      <c r="B58" s="3" t="s">
        <v>58</v>
      </c>
      <c r="D58" s="34">
        <f>SUM(D52:D57)</f>
        <v>97277</v>
      </c>
      <c r="E58" s="3"/>
      <c r="F58" s="22">
        <f t="shared" ref="F58:R58" si="15">SUM(F52:F57)</f>
        <v>97277771</v>
      </c>
      <c r="G58" s="22">
        <f t="shared" si="15"/>
        <v>6183441</v>
      </c>
      <c r="H58" s="22">
        <f t="shared" si="15"/>
        <v>9662506</v>
      </c>
      <c r="I58" s="22">
        <f t="shared" si="15"/>
        <v>3546107</v>
      </c>
      <c r="J58" s="22">
        <f t="shared" si="15"/>
        <v>4135657</v>
      </c>
      <c r="K58" s="22">
        <f t="shared" si="15"/>
        <v>3691972</v>
      </c>
      <c r="L58" s="22">
        <f t="shared" si="15"/>
        <v>2361505</v>
      </c>
      <c r="M58" s="22">
        <f t="shared" si="15"/>
        <v>9615616</v>
      </c>
      <c r="N58" s="22">
        <f t="shared" si="15"/>
        <v>10102506</v>
      </c>
      <c r="O58" s="22">
        <f t="shared" si="15"/>
        <v>10315651</v>
      </c>
      <c r="P58" s="22">
        <f t="shared" si="15"/>
        <v>13289210</v>
      </c>
      <c r="Q58" s="22">
        <f t="shared" si="15"/>
        <v>11893484</v>
      </c>
      <c r="R58" s="22">
        <f t="shared" si="15"/>
        <v>12480116</v>
      </c>
      <c r="T58" s="51" t="s">
        <v>103</v>
      </c>
    </row>
    <row r="59" spans="1:22" ht="12.75">
      <c r="A59" s="6"/>
      <c r="E59" s="3"/>
      <c r="S59" s="23">
        <f>F58/1000</f>
        <v>97277.770999999993</v>
      </c>
      <c r="T59" s="3" t="s">
        <v>34</v>
      </c>
      <c r="U59" s="27">
        <f>97277819/1000</f>
        <v>97277.819000000003</v>
      </c>
      <c r="V59" s="28">
        <f>S59-U59</f>
        <v>-4.8000000009778887E-2</v>
      </c>
    </row>
    <row r="60" spans="1:22" ht="12.75">
      <c r="A60" s="6"/>
      <c r="D60" s="23"/>
      <c r="E60" s="3"/>
      <c r="U60" s="27"/>
      <c r="V60" s="28"/>
    </row>
    <row r="61" spans="1:22" ht="12.75">
      <c r="A61" s="6"/>
      <c r="D61" s="23"/>
      <c r="E61" s="3"/>
    </row>
    <row r="62" spans="1:22" ht="12.75">
      <c r="A62" s="6"/>
      <c r="D62" s="23"/>
      <c r="E62" s="3"/>
    </row>
    <row r="63" spans="1:22" ht="12.75">
      <c r="A63" s="6"/>
      <c r="B63" s="11" t="s">
        <v>59</v>
      </c>
      <c r="D63" s="23"/>
      <c r="E63" s="3"/>
    </row>
    <row r="64" spans="1:22" ht="12.75">
      <c r="A64" s="6">
        <f>A58+1</f>
        <v>39</v>
      </c>
      <c r="B64" s="3" t="s">
        <v>60</v>
      </c>
      <c r="D64" s="13">
        <f t="shared" ref="D64:D66" si="16">ROUND(F64/1000,0)</f>
        <v>18247</v>
      </c>
      <c r="E64" s="3"/>
      <c r="F64" s="14">
        <f t="shared" ref="F64:F66" si="17">SUM(G64:R64)</f>
        <v>18246983</v>
      </c>
      <c r="G64" s="14">
        <v>1423401</v>
      </c>
      <c r="H64" s="14">
        <v>1391371</v>
      </c>
      <c r="I64" s="14">
        <v>1452196</v>
      </c>
      <c r="J64" s="14">
        <v>1368705</v>
      </c>
      <c r="K64" s="14">
        <v>1335481</v>
      </c>
      <c r="L64" s="14">
        <v>1408813</v>
      </c>
      <c r="M64" s="14">
        <v>1748019</v>
      </c>
      <c r="N64" s="14">
        <v>1788201</v>
      </c>
      <c r="O64" s="14">
        <v>1615856</v>
      </c>
      <c r="P64" s="14">
        <v>1648252</v>
      </c>
      <c r="Q64" s="14">
        <v>1589235</v>
      </c>
      <c r="R64" s="14">
        <v>1477453</v>
      </c>
    </row>
    <row r="65" spans="1:22" ht="12.75">
      <c r="A65" s="6">
        <f>A58+1</f>
        <v>39</v>
      </c>
      <c r="B65" s="3" t="s">
        <v>61</v>
      </c>
      <c r="D65" s="13">
        <f t="shared" si="16"/>
        <v>0</v>
      </c>
      <c r="E65" s="3"/>
      <c r="F65" s="14">
        <f t="shared" si="17"/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</row>
    <row r="66" spans="1:22" ht="12.75">
      <c r="A66" s="6">
        <f>A65+1</f>
        <v>40</v>
      </c>
      <c r="B66" s="3" t="s">
        <v>62</v>
      </c>
      <c r="D66" s="13">
        <f t="shared" si="16"/>
        <v>54</v>
      </c>
      <c r="E66" s="3"/>
      <c r="F66" s="14">
        <f t="shared" si="17"/>
        <v>54432</v>
      </c>
      <c r="G66" s="14">
        <v>4536</v>
      </c>
      <c r="H66" s="14">
        <v>4536</v>
      </c>
      <c r="I66" s="14">
        <v>4536</v>
      </c>
      <c r="J66" s="14">
        <v>4536</v>
      </c>
      <c r="K66" s="14">
        <v>4536</v>
      </c>
      <c r="L66" s="14">
        <v>4536</v>
      </c>
      <c r="M66" s="14">
        <v>4536</v>
      </c>
      <c r="N66" s="14">
        <v>4536</v>
      </c>
      <c r="O66" s="14">
        <v>4536</v>
      </c>
      <c r="P66" s="14">
        <v>4536</v>
      </c>
      <c r="Q66" s="14">
        <v>4536</v>
      </c>
      <c r="R66" s="14">
        <v>4536</v>
      </c>
    </row>
    <row r="67" spans="1:22" ht="12.75">
      <c r="A67" s="6">
        <f>A66+1</f>
        <v>41</v>
      </c>
      <c r="B67" s="3" t="s">
        <v>63</v>
      </c>
      <c r="D67" s="34">
        <f>SUM(D64:D66)</f>
        <v>18301</v>
      </c>
      <c r="E67" s="3"/>
      <c r="F67" s="22">
        <f t="shared" ref="F67:R67" si="18">SUM(F64:F66)</f>
        <v>18301415</v>
      </c>
      <c r="G67" s="22">
        <f t="shared" si="18"/>
        <v>1427937</v>
      </c>
      <c r="H67" s="22">
        <f t="shared" si="18"/>
        <v>1395907</v>
      </c>
      <c r="I67" s="22">
        <f t="shared" si="18"/>
        <v>1456732</v>
      </c>
      <c r="J67" s="22">
        <f t="shared" si="18"/>
        <v>1373241</v>
      </c>
      <c r="K67" s="22">
        <f t="shared" si="18"/>
        <v>1340017</v>
      </c>
      <c r="L67" s="22">
        <f t="shared" si="18"/>
        <v>1413349</v>
      </c>
      <c r="M67" s="22">
        <f t="shared" si="18"/>
        <v>1752555</v>
      </c>
      <c r="N67" s="22">
        <f t="shared" si="18"/>
        <v>1792737</v>
      </c>
      <c r="O67" s="22">
        <f t="shared" si="18"/>
        <v>1620392</v>
      </c>
      <c r="P67" s="22">
        <f t="shared" si="18"/>
        <v>1652788</v>
      </c>
      <c r="Q67" s="22">
        <f t="shared" si="18"/>
        <v>1593771</v>
      </c>
      <c r="R67" s="22">
        <f t="shared" si="18"/>
        <v>1481989</v>
      </c>
      <c r="T67" s="51" t="s">
        <v>103</v>
      </c>
    </row>
    <row r="68" spans="1:22" ht="12.95" customHeight="1">
      <c r="A68" s="6"/>
      <c r="E68" s="3"/>
      <c r="S68" s="23">
        <f>F67/1000</f>
        <v>18301.415000000001</v>
      </c>
      <c r="T68" s="3" t="s">
        <v>34</v>
      </c>
      <c r="U68" s="27">
        <f>18301414/1000</f>
        <v>18301.414000000001</v>
      </c>
      <c r="V68" s="28">
        <f>S68-U68</f>
        <v>1.0000000002037268E-3</v>
      </c>
    </row>
    <row r="69" spans="1:22" ht="12" customHeight="1">
      <c r="A69" s="6"/>
      <c r="B69" s="11" t="s">
        <v>64</v>
      </c>
      <c r="D69" s="23"/>
      <c r="E69" s="3"/>
    </row>
    <row r="70" spans="1:22" ht="12" customHeight="1">
      <c r="A70" s="6">
        <f>A67+1</f>
        <v>42</v>
      </c>
      <c r="B70" s="3" t="s">
        <v>65</v>
      </c>
      <c r="D70" s="23"/>
      <c r="E70" s="3"/>
      <c r="F70" s="14">
        <f t="shared" ref="F70" si="19">SUM(G70:R70)</f>
        <v>0</v>
      </c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22" ht="12" customHeight="1">
      <c r="A71" s="6"/>
      <c r="D71" s="23"/>
      <c r="E71" s="3"/>
    </row>
    <row r="72" spans="1:22" ht="12" customHeight="1">
      <c r="A72" s="6">
        <f>A70+1</f>
        <v>43</v>
      </c>
      <c r="B72" s="39" t="s">
        <v>66</v>
      </c>
      <c r="C72" s="40"/>
      <c r="D72" s="253">
        <f>D26+D42+D49+D58+D67+D70</f>
        <v>353131.64199999999</v>
      </c>
      <c r="E72" s="3"/>
    </row>
    <row r="73" spans="1:22" ht="12" customHeight="1">
      <c r="A73" s="6"/>
      <c r="B73" s="42"/>
      <c r="D73" s="23"/>
      <c r="E73" s="3"/>
    </row>
    <row r="74" spans="1:22" ht="12" customHeight="1">
      <c r="A74" s="6"/>
      <c r="B74" s="11" t="s">
        <v>67</v>
      </c>
      <c r="D74" s="23"/>
      <c r="E74" s="3"/>
    </row>
    <row r="75" spans="1:22" ht="12.95" customHeight="1">
      <c r="A75" s="6">
        <f>A72+1</f>
        <v>44</v>
      </c>
      <c r="B75" t="s">
        <v>68</v>
      </c>
      <c r="D75" s="13">
        <f>-ROUND(F75/1000,0)</f>
        <v>71762</v>
      </c>
      <c r="E75" s="3"/>
      <c r="F75" s="14">
        <f t="shared" ref="F75:F79" si="20">SUM(G75:R75)</f>
        <v>-71762492</v>
      </c>
      <c r="G75" s="14">
        <v>-4624428</v>
      </c>
      <c r="H75" s="14">
        <v>-8898576</v>
      </c>
      <c r="I75" s="14">
        <v>-3005420</v>
      </c>
      <c r="J75" s="14">
        <v>-3078048</v>
      </c>
      <c r="K75" s="14">
        <v>-7154724</v>
      </c>
      <c r="L75" s="14">
        <v>2318837</v>
      </c>
      <c r="M75" s="14">
        <v>-708083</v>
      </c>
      <c r="N75" s="14">
        <v>-5920066</v>
      </c>
      <c r="O75" s="14">
        <v>-11640138</v>
      </c>
      <c r="P75" s="14">
        <v>-11150477</v>
      </c>
      <c r="Q75" s="14">
        <v>-7747374</v>
      </c>
      <c r="R75" s="14">
        <v>-10153995</v>
      </c>
    </row>
    <row r="76" spans="1:22" ht="12.95" customHeight="1">
      <c r="A76" s="6">
        <f t="shared" ref="A76:A79" si="21">A75+1</f>
        <v>45</v>
      </c>
      <c r="B76" t="s">
        <v>69</v>
      </c>
      <c r="D76" s="13">
        <f t="shared" ref="D76:D79" si="22">-ROUND(F76/1000,0)</f>
        <v>2223</v>
      </c>
      <c r="E76" s="3"/>
      <c r="F76" s="14">
        <f t="shared" si="20"/>
        <v>-2223198</v>
      </c>
      <c r="G76" s="14">
        <v>-60959</v>
      </c>
      <c r="H76" s="14">
        <v>-111784</v>
      </c>
      <c r="I76" s="14">
        <v>-73106</v>
      </c>
      <c r="J76" s="14">
        <v>-101368</v>
      </c>
      <c r="K76" s="14">
        <v>-89143</v>
      </c>
      <c r="L76" s="14">
        <v>-148390</v>
      </c>
      <c r="M76" s="14">
        <v>-419352</v>
      </c>
      <c r="N76" s="14">
        <v>-298929</v>
      </c>
      <c r="O76" s="14">
        <v>-318691</v>
      </c>
      <c r="P76" s="14">
        <v>-238971</v>
      </c>
      <c r="Q76" s="14">
        <v>-167784</v>
      </c>
      <c r="R76" s="14">
        <v>-194721</v>
      </c>
    </row>
    <row r="77" spans="1:22" ht="12.95" customHeight="1">
      <c r="A77" s="6">
        <f t="shared" si="21"/>
        <v>46</v>
      </c>
      <c r="B77" t="s">
        <v>70</v>
      </c>
      <c r="D77" s="13">
        <f t="shared" si="22"/>
        <v>136</v>
      </c>
      <c r="E77" s="3"/>
      <c r="F77" s="14">
        <f t="shared" si="20"/>
        <v>-135566</v>
      </c>
      <c r="G77" s="14">
        <v>-10659</v>
      </c>
      <c r="H77" s="14">
        <v>-10198</v>
      </c>
      <c r="I77" s="14">
        <v>-11351</v>
      </c>
      <c r="J77" s="14">
        <v>-10838</v>
      </c>
      <c r="K77" s="14">
        <v>-11692</v>
      </c>
      <c r="L77" s="14">
        <v>-10899</v>
      </c>
      <c r="M77" s="14">
        <v>-11363</v>
      </c>
      <c r="N77" s="14">
        <v>-11528</v>
      </c>
      <c r="O77" s="14">
        <v>-10925</v>
      </c>
      <c r="P77" s="14">
        <v>-11860</v>
      </c>
      <c r="Q77" s="14">
        <v>-11788</v>
      </c>
      <c r="R77" s="14">
        <v>-12465</v>
      </c>
    </row>
    <row r="78" spans="1:22">
      <c r="A78" s="6">
        <f t="shared" si="21"/>
        <v>47</v>
      </c>
      <c r="B78" t="s">
        <v>71</v>
      </c>
      <c r="D78" s="13">
        <f t="shared" si="22"/>
        <v>322</v>
      </c>
      <c r="E78" s="3"/>
      <c r="F78" s="14">
        <f t="shared" si="20"/>
        <v>-322050</v>
      </c>
      <c r="G78" s="14">
        <v>-31587</v>
      </c>
      <c r="H78" s="14">
        <v>-29894</v>
      </c>
      <c r="I78" s="14">
        <v>-25068</v>
      </c>
      <c r="J78" s="14">
        <v>-24353</v>
      </c>
      <c r="K78" s="14">
        <v>-27884</v>
      </c>
      <c r="L78" s="14">
        <v>-24944</v>
      </c>
      <c r="M78" s="14">
        <v>-23394</v>
      </c>
      <c r="N78" s="14">
        <v>-19353</v>
      </c>
      <c r="O78" s="14">
        <v>-21213</v>
      </c>
      <c r="P78" s="14">
        <v>-29067</v>
      </c>
      <c r="Q78" s="14">
        <v>-29245</v>
      </c>
      <c r="R78" s="14">
        <v>-36048</v>
      </c>
    </row>
    <row r="79" spans="1:22">
      <c r="A79" s="6">
        <f t="shared" si="21"/>
        <v>48</v>
      </c>
      <c r="B79" t="s">
        <v>72</v>
      </c>
      <c r="D79" s="13">
        <f t="shared" si="22"/>
        <v>17311</v>
      </c>
      <c r="E79" s="3"/>
      <c r="F79" s="14">
        <f t="shared" si="20"/>
        <v>-17311196</v>
      </c>
      <c r="G79" s="14">
        <v>-1413667</v>
      </c>
      <c r="H79" s="14">
        <v>-1601847</v>
      </c>
      <c r="I79" s="14">
        <v>-1346586</v>
      </c>
      <c r="J79" s="14">
        <v>-1314136</v>
      </c>
      <c r="K79" s="14">
        <v>-2000095</v>
      </c>
      <c r="L79" s="14">
        <v>-1352090</v>
      </c>
      <c r="M79" s="14">
        <v>-1088554</v>
      </c>
      <c r="N79" s="14">
        <v>-1083312</v>
      </c>
      <c r="O79" s="14">
        <v>-1181434</v>
      </c>
      <c r="P79" s="14">
        <v>-1567080</v>
      </c>
      <c r="Q79" s="14">
        <v>-1656976</v>
      </c>
      <c r="R79" s="14">
        <v>-1705419</v>
      </c>
    </row>
    <row r="80" spans="1:22" ht="12.75">
      <c r="A80" s="6">
        <f>A79+1</f>
        <v>49</v>
      </c>
      <c r="B80" s="3" t="s">
        <v>73</v>
      </c>
      <c r="D80" s="21">
        <f>SUM(D75:D79)</f>
        <v>91754</v>
      </c>
      <c r="E80" s="3"/>
      <c r="F80" s="22">
        <f t="shared" ref="F80:R80" si="23">SUM(F75:F79)</f>
        <v>-91754502</v>
      </c>
      <c r="G80" s="22">
        <f t="shared" si="23"/>
        <v>-6141300</v>
      </c>
      <c r="H80" s="22">
        <f t="shared" si="23"/>
        <v>-10652299</v>
      </c>
      <c r="I80" s="22">
        <f t="shared" si="23"/>
        <v>-4461531</v>
      </c>
      <c r="J80" s="22">
        <f t="shared" si="23"/>
        <v>-4528743</v>
      </c>
      <c r="K80" s="22">
        <f t="shared" si="23"/>
        <v>-9283538</v>
      </c>
      <c r="L80" s="22">
        <f t="shared" si="23"/>
        <v>782514</v>
      </c>
      <c r="M80" s="22">
        <f t="shared" si="23"/>
        <v>-2250746</v>
      </c>
      <c r="N80" s="22">
        <f t="shared" si="23"/>
        <v>-7333188</v>
      </c>
      <c r="O80" s="22">
        <f t="shared" si="23"/>
        <v>-13172401</v>
      </c>
      <c r="P80" s="22">
        <f t="shared" si="23"/>
        <v>-12997455</v>
      </c>
      <c r="Q80" s="22">
        <f t="shared" si="23"/>
        <v>-9613167</v>
      </c>
      <c r="R80" s="22">
        <f t="shared" si="23"/>
        <v>-12102648</v>
      </c>
      <c r="T80" s="51" t="s">
        <v>104</v>
      </c>
    </row>
    <row r="81" spans="1:22" ht="12.75">
      <c r="A81" s="6"/>
      <c r="E81" s="3"/>
      <c r="S81" s="23">
        <f>D80</f>
        <v>91754</v>
      </c>
    </row>
    <row r="82" spans="1:22" ht="12.75">
      <c r="A82" s="6"/>
      <c r="B82" s="11" t="s">
        <v>74</v>
      </c>
      <c r="D82" s="23"/>
      <c r="E82" s="3"/>
      <c r="S82" s="12">
        <f>1831303/1000</f>
        <v>1831.3030000000001</v>
      </c>
      <c r="T82" s="3" t="s">
        <v>75</v>
      </c>
    </row>
    <row r="83" spans="1:22" ht="12.75">
      <c r="A83" s="6">
        <f>A80+1</f>
        <v>50</v>
      </c>
      <c r="B83" s="3" t="s">
        <v>76</v>
      </c>
      <c r="C83" s="3" t="s">
        <v>77</v>
      </c>
      <c r="D83" s="13">
        <f>-F83/1000</f>
        <v>5893.8040000000001</v>
      </c>
      <c r="E83" s="3"/>
      <c r="F83" s="48">
        <f>SUM(G83:R83)</f>
        <v>-5893804</v>
      </c>
      <c r="G83" s="48">
        <v>-478216</v>
      </c>
      <c r="H83" s="48">
        <v>-266329</v>
      </c>
      <c r="I83" s="48">
        <v>-386437</v>
      </c>
      <c r="J83" s="48">
        <v>-455504</v>
      </c>
      <c r="K83" s="48">
        <v>-470697</v>
      </c>
      <c r="L83" s="48">
        <v>-535013</v>
      </c>
      <c r="M83" s="48">
        <v>-604207</v>
      </c>
      <c r="N83" s="48">
        <v>-850626</v>
      </c>
      <c r="O83" s="48">
        <v>-367708</v>
      </c>
      <c r="P83" s="48">
        <v>-460690</v>
      </c>
      <c r="Q83" s="48">
        <v>-360567</v>
      </c>
      <c r="R83" s="48">
        <v>-657810</v>
      </c>
      <c r="S83" s="36">
        <f>SUM(S81:S82)</f>
        <v>93585.303</v>
      </c>
      <c r="U83" s="27">
        <f>93585802/1000</f>
        <v>93585.801999999996</v>
      </c>
      <c r="V83" s="28">
        <f>S83-U83</f>
        <v>-0.49899999999615829</v>
      </c>
    </row>
    <row r="84" spans="1:22" ht="12.75" hidden="1" outlineLevel="1">
      <c r="A84" s="6"/>
      <c r="B84" s="3" t="s">
        <v>78</v>
      </c>
      <c r="D84" s="13">
        <f t="shared" ref="D84:D91" si="24">-ROUND(F84/1000,0)</f>
        <v>-7770</v>
      </c>
      <c r="E84" s="3"/>
      <c r="F84" s="14">
        <f t="shared" ref="F84:F88" si="25">SUM(G84:R84)</f>
        <v>7770450</v>
      </c>
      <c r="G84" s="48">
        <v>1882010</v>
      </c>
      <c r="H84" s="48">
        <v>342468</v>
      </c>
      <c r="I84" s="48">
        <v>266445</v>
      </c>
      <c r="J84" s="48">
        <v>574200</v>
      </c>
      <c r="K84" s="48">
        <v>875363</v>
      </c>
      <c r="L84" s="48">
        <v>928200</v>
      </c>
      <c r="M84" s="48">
        <v>1141087</v>
      </c>
      <c r="N84" s="48">
        <v>880927</v>
      </c>
      <c r="O84" s="48">
        <v>879750</v>
      </c>
      <c r="P84" s="48"/>
      <c r="Q84" s="48"/>
      <c r="R84" s="48"/>
    </row>
    <row r="85" spans="1:22" ht="12.75" hidden="1" outlineLevel="1">
      <c r="A85" s="6"/>
      <c r="B85" s="3" t="s">
        <v>79</v>
      </c>
      <c r="D85" s="13">
        <f t="shared" si="24"/>
        <v>4757</v>
      </c>
      <c r="E85" s="3"/>
      <c r="F85" s="14">
        <f t="shared" si="25"/>
        <v>-4756770</v>
      </c>
      <c r="G85" s="48">
        <v>-1280600</v>
      </c>
      <c r="H85" s="48">
        <v>-83595</v>
      </c>
      <c r="I85" s="48">
        <v>-18180</v>
      </c>
      <c r="J85" s="48">
        <v>-107775</v>
      </c>
      <c r="K85" s="48">
        <v>-2289799</v>
      </c>
      <c r="L85" s="48">
        <v>-324473</v>
      </c>
      <c r="M85" s="48">
        <v>-652348</v>
      </c>
      <c r="N85" s="48">
        <v>0</v>
      </c>
      <c r="O85" s="48">
        <v>0</v>
      </c>
      <c r="P85" s="48"/>
      <c r="Q85" s="48"/>
      <c r="R85" s="48"/>
    </row>
    <row r="86" spans="1:22" ht="12.75" hidden="1" outlineLevel="1">
      <c r="A86" s="6"/>
      <c r="B86" s="3" t="s">
        <v>80</v>
      </c>
      <c r="D86" s="13">
        <f t="shared" si="24"/>
        <v>139</v>
      </c>
      <c r="E86" s="3"/>
      <c r="F86" s="14">
        <f t="shared" si="25"/>
        <v>-138567</v>
      </c>
      <c r="G86" s="48">
        <v>-25507</v>
      </c>
      <c r="H86" s="48">
        <v>-22738</v>
      </c>
      <c r="I86" s="48">
        <v>-16974</v>
      </c>
      <c r="J86" s="48">
        <v>-7021</v>
      </c>
      <c r="K86" s="48">
        <v>-9386</v>
      </c>
      <c r="L86" s="48">
        <v>-14749</v>
      </c>
      <c r="M86" s="48">
        <v>-17235</v>
      </c>
      <c r="N86" s="48">
        <v>-11500</v>
      </c>
      <c r="O86" s="48">
        <v>-13457</v>
      </c>
      <c r="P86" s="48"/>
      <c r="Q86" s="48"/>
      <c r="R86" s="48"/>
    </row>
    <row r="87" spans="1:22" ht="12.75" hidden="1" outlineLevel="1">
      <c r="A87" s="6"/>
      <c r="B87" s="3" t="s">
        <v>81</v>
      </c>
      <c r="D87" s="13">
        <f t="shared" si="24"/>
        <v>434</v>
      </c>
      <c r="E87" s="3"/>
      <c r="F87" s="14">
        <f t="shared" si="25"/>
        <v>-434331</v>
      </c>
      <c r="G87" s="48">
        <v>-141375</v>
      </c>
      <c r="H87" s="48">
        <v>-21125</v>
      </c>
      <c r="I87" s="48">
        <v>0</v>
      </c>
      <c r="J87" s="48">
        <v>-89920</v>
      </c>
      <c r="K87" s="48">
        <v>-92668</v>
      </c>
      <c r="L87" s="48">
        <v>-89243</v>
      </c>
      <c r="M87" s="48">
        <v>0</v>
      </c>
      <c r="N87" s="48">
        <v>0</v>
      </c>
      <c r="O87" s="48">
        <v>0</v>
      </c>
      <c r="P87" s="48"/>
      <c r="Q87" s="48"/>
      <c r="R87" s="48"/>
    </row>
    <row r="88" spans="1:22" ht="12.75" hidden="1" outlineLevel="1">
      <c r="A88" s="6"/>
      <c r="B88" s="3" t="s">
        <v>82</v>
      </c>
      <c r="D88" s="13">
        <f t="shared" si="24"/>
        <v>25077</v>
      </c>
      <c r="E88" s="3"/>
      <c r="F88" s="14">
        <f t="shared" si="25"/>
        <v>-25077220</v>
      </c>
      <c r="G88" s="48">
        <v>-2112693</v>
      </c>
      <c r="H88" s="48">
        <v>-1793764</v>
      </c>
      <c r="I88" s="48">
        <v>-2219955</v>
      </c>
      <c r="J88" s="48">
        <v>-2874242</v>
      </c>
      <c r="K88" s="48">
        <v>-2434321</v>
      </c>
      <c r="L88" s="48">
        <v>-3443792</v>
      </c>
      <c r="M88" s="48">
        <v>-2753235</v>
      </c>
      <c r="N88" s="48">
        <v>-4156543</v>
      </c>
      <c r="O88" s="48">
        <v>-3288675</v>
      </c>
      <c r="P88" s="48"/>
      <c r="Q88" s="48"/>
      <c r="R88" s="48"/>
    </row>
    <row r="89" spans="1:22" ht="12.75" hidden="1" outlineLevel="1">
      <c r="A89" s="6"/>
      <c r="B89" s="3" t="s">
        <v>83</v>
      </c>
      <c r="D89" s="13">
        <f t="shared" si="24"/>
        <v>-916</v>
      </c>
      <c r="E89" s="3"/>
      <c r="F89" s="14">
        <f t="shared" ref="F89:F90" si="26">SUM(G89:R89)</f>
        <v>916050</v>
      </c>
      <c r="G89" s="48">
        <v>32000</v>
      </c>
      <c r="H89" s="48">
        <v>8300</v>
      </c>
      <c r="I89" s="48">
        <v>0</v>
      </c>
      <c r="J89" s="48">
        <v>0</v>
      </c>
      <c r="K89" s="48">
        <v>515375</v>
      </c>
      <c r="L89" s="48">
        <v>0</v>
      </c>
      <c r="M89" s="48">
        <v>360375</v>
      </c>
      <c r="N89" s="48">
        <v>0</v>
      </c>
      <c r="O89" s="48">
        <v>0</v>
      </c>
      <c r="P89" s="48"/>
      <c r="Q89" s="48"/>
      <c r="R89" s="48"/>
    </row>
    <row r="90" spans="1:22" ht="12.75" hidden="1" outlineLevel="1">
      <c r="A90" s="6"/>
      <c r="B90" s="3" t="s">
        <v>84</v>
      </c>
      <c r="D90" s="13">
        <f t="shared" si="24"/>
        <v>916</v>
      </c>
      <c r="E90" s="3"/>
      <c r="F90" s="14">
        <f t="shared" si="26"/>
        <v>-916050</v>
      </c>
      <c r="G90" s="48">
        <v>-32000</v>
      </c>
      <c r="H90" s="48">
        <v>-8300</v>
      </c>
      <c r="I90" s="48">
        <v>0</v>
      </c>
      <c r="J90" s="48">
        <v>0</v>
      </c>
      <c r="K90" s="48">
        <v>-515375</v>
      </c>
      <c r="L90" s="48">
        <v>0</v>
      </c>
      <c r="M90" s="48">
        <v>-360375</v>
      </c>
      <c r="N90" s="48">
        <v>0</v>
      </c>
      <c r="O90" s="48">
        <v>0</v>
      </c>
      <c r="P90" s="48"/>
      <c r="Q90" s="48"/>
      <c r="R90" s="48"/>
    </row>
    <row r="91" spans="1:22" ht="12.75" collapsed="1">
      <c r="A91" s="6">
        <f>A38+1</f>
        <v>52</v>
      </c>
      <c r="B91" s="33" t="s">
        <v>85</v>
      </c>
      <c r="C91" s="33"/>
      <c r="D91" s="52">
        <f t="shared" si="24"/>
        <v>66197</v>
      </c>
      <c r="E91" s="3"/>
      <c r="F91" s="14">
        <f>SUM(G91:R91)-57128</f>
        <v>-66196648</v>
      </c>
      <c r="G91" s="48">
        <v>-2596567</v>
      </c>
      <c r="H91" s="48">
        <v>-6030107</v>
      </c>
      <c r="I91" s="48">
        <v>-3697865</v>
      </c>
      <c r="J91" s="48">
        <v>-4426520</v>
      </c>
      <c r="K91" s="48">
        <v>-8401085</v>
      </c>
      <c r="L91" s="48">
        <v>-7412368</v>
      </c>
      <c r="M91" s="48">
        <v>-4230309</v>
      </c>
      <c r="N91" s="48">
        <v>-7266735</v>
      </c>
      <c r="O91" s="48">
        <v>-5840533</v>
      </c>
      <c r="P91" s="48">
        <v>-5736831</v>
      </c>
      <c r="Q91" s="48">
        <v>-5378251</v>
      </c>
      <c r="R91" s="48">
        <v>-5122349</v>
      </c>
    </row>
    <row r="92" spans="1:22" ht="12.75">
      <c r="A92" s="6">
        <f>A91+1</f>
        <v>53</v>
      </c>
      <c r="B92" s="3" t="s">
        <v>86</v>
      </c>
      <c r="D92" s="34">
        <f>D91+D83</f>
        <v>72090.804000000004</v>
      </c>
      <c r="E92" s="3"/>
      <c r="F92" s="22">
        <f t="shared" ref="F92:R92" si="27">SUM(F83:F83,F91)</f>
        <v>-72090452</v>
      </c>
      <c r="G92" s="49">
        <f t="shared" si="27"/>
        <v>-3074783</v>
      </c>
      <c r="H92" s="49">
        <f t="shared" si="27"/>
        <v>-6296436</v>
      </c>
      <c r="I92" s="49">
        <f t="shared" si="27"/>
        <v>-4084302</v>
      </c>
      <c r="J92" s="49">
        <f t="shared" si="27"/>
        <v>-4882024</v>
      </c>
      <c r="K92" s="49">
        <f t="shared" si="27"/>
        <v>-8871782</v>
      </c>
      <c r="L92" s="49">
        <f t="shared" si="27"/>
        <v>-7947381</v>
      </c>
      <c r="M92" s="49">
        <f t="shared" si="27"/>
        <v>-4834516</v>
      </c>
      <c r="N92" s="49">
        <f t="shared" si="27"/>
        <v>-8117361</v>
      </c>
      <c r="O92" s="49">
        <f t="shared" si="27"/>
        <v>-6208241</v>
      </c>
      <c r="P92" s="49">
        <f t="shared" si="27"/>
        <v>-6197521</v>
      </c>
      <c r="Q92" s="49">
        <f t="shared" si="27"/>
        <v>-5738818</v>
      </c>
      <c r="R92" s="49">
        <f t="shared" si="27"/>
        <v>-5780159</v>
      </c>
      <c r="T92" s="51" t="s">
        <v>97</v>
      </c>
    </row>
    <row r="93" spans="1:22" ht="13.15" customHeight="1">
      <c r="A93" s="6" t="s">
        <v>87</v>
      </c>
      <c r="D93" s="23"/>
      <c r="E93" s="3"/>
      <c r="F93" s="14">
        <f t="shared" ref="F93:F95" si="28">SUM(G93:R93)</f>
        <v>-22378031</v>
      </c>
      <c r="G93" s="48">
        <v>-1152745</v>
      </c>
      <c r="H93" s="48">
        <v>-1459637</v>
      </c>
      <c r="I93" s="48">
        <v>-1197340</v>
      </c>
      <c r="J93" s="48">
        <v>-1166811</v>
      </c>
      <c r="K93" s="48">
        <v>-1770478</v>
      </c>
      <c r="L93" s="48">
        <v>-2216150</v>
      </c>
      <c r="M93" s="48">
        <v>-2759025</v>
      </c>
      <c r="N93" s="48">
        <v>-2687385</v>
      </c>
      <c r="O93" s="48">
        <v>-2240835</v>
      </c>
      <c r="P93" s="48">
        <v>-2096664</v>
      </c>
      <c r="Q93" s="48">
        <v>-1749209</v>
      </c>
      <c r="R93" s="48">
        <v>-1881752</v>
      </c>
      <c r="S93" s="24">
        <f>D92</f>
        <v>72090.804000000004</v>
      </c>
      <c r="T93" s="28">
        <f>S93-D92</f>
        <v>0</v>
      </c>
      <c r="U93" s="18">
        <f>S94-(F93/1000)</f>
        <v>43796.319000000003</v>
      </c>
    </row>
    <row r="94" spans="1:22" ht="12.75">
      <c r="A94" s="6"/>
      <c r="B94" s="11" t="s">
        <v>88</v>
      </c>
      <c r="D94" s="23"/>
      <c r="E94" s="3"/>
      <c r="S94" s="24">
        <f>21418288/1000</f>
        <v>21418.288</v>
      </c>
      <c r="T94" s="3" t="s">
        <v>89</v>
      </c>
      <c r="U94" s="3" t="s">
        <v>90</v>
      </c>
    </row>
    <row r="95" spans="1:22" ht="12.75">
      <c r="A95" s="6">
        <f>A92+1</f>
        <v>54</v>
      </c>
      <c r="B95" s="3" t="s">
        <v>91</v>
      </c>
      <c r="D95" s="23">
        <v>0</v>
      </c>
      <c r="E95" s="3"/>
      <c r="F95" s="14">
        <f t="shared" si="28"/>
        <v>0</v>
      </c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24">
        <f>-19524643/1000</f>
        <v>-19524.643</v>
      </c>
      <c r="T95" s="3" t="s">
        <v>92</v>
      </c>
    </row>
    <row r="96" spans="1:22" ht="12.6" customHeight="1">
      <c r="A96" s="6"/>
      <c r="D96" s="23"/>
      <c r="E96" s="3"/>
      <c r="S96" s="43">
        <f>3106013/1000</f>
        <v>3106.0129999999999</v>
      </c>
      <c r="T96" s="3" t="s">
        <v>93</v>
      </c>
    </row>
    <row r="97" spans="1:22" ht="18" customHeight="1">
      <c r="A97" s="6"/>
      <c r="D97" s="23"/>
      <c r="E97" s="3"/>
      <c r="S97" s="24">
        <f>SUM(S93:S96)</f>
        <v>77090.462000000014</v>
      </c>
      <c r="U97" s="27">
        <f>77090109/1000</f>
        <v>77090.108999999997</v>
      </c>
      <c r="V97" s="28">
        <f>S97-U97</f>
        <v>0.35300000001734588</v>
      </c>
    </row>
    <row r="98" spans="1:22" ht="12.75">
      <c r="A98" s="6">
        <f>A95+1</f>
        <v>55</v>
      </c>
      <c r="B98" s="39" t="s">
        <v>94</v>
      </c>
      <c r="C98" s="40"/>
      <c r="D98" s="41">
        <f>D80+D92+D95</f>
        <v>163844.804</v>
      </c>
      <c r="E98" s="3"/>
      <c r="S98" s="44"/>
    </row>
    <row r="99" spans="1:22" ht="18.75" customHeight="1">
      <c r="A99" s="6"/>
      <c r="B99" s="250" t="s">
        <v>296</v>
      </c>
      <c r="D99" s="251">
        <f>D98+S94</f>
        <v>185263.092</v>
      </c>
      <c r="E99" s="3"/>
    </row>
    <row r="100" spans="1:22" ht="12.75">
      <c r="A100" s="6">
        <f>A98+1</f>
        <v>56</v>
      </c>
      <c r="B100" s="45" t="s">
        <v>95</v>
      </c>
      <c r="C100" s="46"/>
      <c r="D100" s="41">
        <f>D72-D99</f>
        <v>167868.55</v>
      </c>
      <c r="E100" s="3"/>
    </row>
    <row r="101" spans="1:22" ht="6" customHeight="1">
      <c r="A101" s="6"/>
      <c r="D101" s="23"/>
      <c r="E101" s="3"/>
    </row>
    <row r="102" spans="1:22" ht="12.75" customHeight="1">
      <c r="A102" s="6"/>
      <c r="B102" s="42"/>
      <c r="D102" s="23"/>
      <c r="E102" s="3"/>
    </row>
    <row r="103" spans="1:22" ht="12.75">
      <c r="A103" s="302"/>
      <c r="B103" s="302"/>
      <c r="C103" s="302"/>
      <c r="D103" s="302"/>
      <c r="E103" s="3"/>
    </row>
    <row r="104" spans="1:22" ht="12.75">
      <c r="A104" s="302"/>
      <c r="B104" s="302"/>
      <c r="C104" s="302"/>
      <c r="D104" s="302"/>
      <c r="E104" s="3"/>
    </row>
    <row r="105" spans="1:22" ht="12.75">
      <c r="A105" s="302"/>
      <c r="B105" s="302"/>
      <c r="C105" s="302"/>
      <c r="D105" s="302"/>
      <c r="E105" s="3"/>
    </row>
    <row r="106" spans="1:22" ht="12.75">
      <c r="A106" s="302"/>
      <c r="B106" s="302"/>
      <c r="C106" s="302"/>
      <c r="D106" s="302"/>
      <c r="E106" s="3"/>
    </row>
    <row r="107" spans="1:22" ht="12.75">
      <c r="A107" s="302"/>
      <c r="B107" s="302"/>
      <c r="C107" s="302"/>
      <c r="D107" s="302"/>
      <c r="E107" s="3"/>
    </row>
    <row r="108" spans="1:22" ht="12.75">
      <c r="A108" s="302"/>
      <c r="B108" s="302"/>
      <c r="C108" s="302"/>
      <c r="D108" s="302"/>
      <c r="E108" s="3"/>
    </row>
    <row r="109" spans="1:22" ht="12.75">
      <c r="D109" s="24"/>
      <c r="E109" s="3"/>
    </row>
    <row r="110" spans="1:22" ht="12.75">
      <c r="D110" s="19"/>
      <c r="E110" s="3"/>
    </row>
    <row r="111" spans="1:22" ht="12.75">
      <c r="D111" s="19"/>
      <c r="E111" s="3"/>
    </row>
    <row r="112" spans="1:22" ht="12.75">
      <c r="D112" s="19"/>
      <c r="E112" s="3"/>
    </row>
    <row r="113" spans="5:5" ht="12.75">
      <c r="E113" s="3"/>
    </row>
    <row r="114" spans="5:5" ht="12.75">
      <c r="E114" s="3"/>
    </row>
  </sheetData>
  <mergeCells count="7">
    <mergeCell ref="A107:D107"/>
    <mergeCell ref="A108:D108"/>
    <mergeCell ref="S6:U6"/>
    <mergeCell ref="A103:D103"/>
    <mergeCell ref="A104:D104"/>
    <mergeCell ref="A105:D105"/>
    <mergeCell ref="A106:D106"/>
  </mergeCells>
  <pageMargins left="0.75" right="0.75" top="1" bottom="1" header="0.5" footer="0.5"/>
  <pageSetup scale="80" orientation="portrait" r:id="rId1"/>
  <headerFooter scaleWithDoc="0">
    <oddFooter>&amp;C&amp;F / &amp;A&amp;RPage &amp;P</oddFooter>
  </headerFooter>
  <rowBreaks count="1" manualBreakCount="1">
    <brk id="61" max="1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1671-2369-4ABE-957C-BE476593F837}">
  <sheetPr codeName="Sheet29"/>
  <dimension ref="A1:S50"/>
  <sheetViews>
    <sheetView zoomScaleNormal="100" workbookViewId="0">
      <pane xSplit="9" ySplit="6" topLeftCell="J12" activePane="bottomRight" state="frozen"/>
      <selection activeCell="H8" sqref="H8"/>
      <selection pane="topRight" activeCell="H8" sqref="H8"/>
      <selection pane="bottomLeft" activeCell="H8" sqref="H8"/>
      <selection pane="bottomRight" activeCell="M41" sqref="M41"/>
    </sheetView>
  </sheetViews>
  <sheetFormatPr defaultColWidth="9.42578125" defaultRowHeight="12.75"/>
  <cols>
    <col min="1" max="4" width="12.5703125" style="187" hidden="1" customWidth="1"/>
    <col min="5" max="5" width="13.5703125" style="232" customWidth="1"/>
    <col min="6" max="6" width="13.5703125" style="187" customWidth="1"/>
    <col min="7" max="7" width="11.42578125" style="187" customWidth="1"/>
    <col min="8" max="8" width="31.5703125" style="187" customWidth="1"/>
    <col min="9" max="9" width="17.85546875" style="187" customWidth="1"/>
    <col min="10" max="11" width="16.85546875" style="245" customWidth="1"/>
    <col min="12" max="12" width="16.85546875" style="247" customWidth="1"/>
    <col min="13" max="18" width="16.85546875" style="187" customWidth="1"/>
    <col min="19" max="16384" width="9.42578125" style="187"/>
  </cols>
  <sheetData>
    <row r="1" spans="1:19" ht="18" customHeight="1">
      <c r="E1" s="188"/>
      <c r="F1" s="189"/>
      <c r="G1" s="190"/>
      <c r="H1" s="191"/>
      <c r="I1" s="191"/>
      <c r="J1" s="233"/>
      <c r="K1" s="233"/>
      <c r="L1" s="234"/>
      <c r="M1" s="190"/>
      <c r="N1" s="190"/>
      <c r="O1" s="190"/>
      <c r="P1" s="190"/>
      <c r="Q1" s="190"/>
      <c r="R1" s="190"/>
      <c r="S1" s="192"/>
    </row>
    <row r="2" spans="1:19" ht="18" customHeight="1">
      <c r="E2" s="193" t="s">
        <v>250</v>
      </c>
      <c r="F2" s="194"/>
      <c r="G2" s="195"/>
      <c r="H2" s="196"/>
      <c r="I2" s="197" t="s">
        <v>251</v>
      </c>
      <c r="J2" s="233"/>
      <c r="K2" s="235" t="s">
        <v>87</v>
      </c>
      <c r="L2" s="234" t="s">
        <v>252</v>
      </c>
      <c r="M2" s="190"/>
      <c r="N2" s="190"/>
      <c r="O2" s="190"/>
      <c r="P2" s="190"/>
      <c r="Q2" s="190"/>
      <c r="R2" s="190"/>
    </row>
    <row r="3" spans="1:19" ht="18" customHeight="1">
      <c r="E3" s="198" t="s">
        <v>253</v>
      </c>
      <c r="F3" s="194"/>
      <c r="G3" s="195"/>
      <c r="H3" s="196"/>
      <c r="I3" s="199" t="s">
        <v>299</v>
      </c>
      <c r="J3" s="233" t="str">
        <f>IF(LEFT(UPPER([1]Data!S2),4)="RATE",[1]Data!S2,"")</f>
        <v/>
      </c>
      <c r="K3" s="235"/>
      <c r="L3" s="234"/>
      <c r="M3" s="190"/>
      <c r="N3" s="190"/>
      <c r="O3" s="190"/>
      <c r="P3" s="190"/>
      <c r="Q3" s="190"/>
      <c r="R3" s="190"/>
    </row>
    <row r="4" spans="1:19" ht="18" customHeight="1">
      <c r="E4" s="200" t="s">
        <v>298</v>
      </c>
      <c r="F4" s="201"/>
      <c r="G4" s="191"/>
      <c r="H4" s="202"/>
      <c r="I4" s="203"/>
      <c r="J4" s="233"/>
      <c r="K4" s="236"/>
      <c r="L4" s="234"/>
      <c r="M4" s="190"/>
      <c r="N4" s="190"/>
      <c r="O4" s="190"/>
      <c r="P4" s="190"/>
      <c r="Q4" s="190"/>
      <c r="R4" s="190"/>
    </row>
    <row r="5" spans="1:19" ht="18" customHeight="1">
      <c r="E5" s="204" t="s">
        <v>297</v>
      </c>
      <c r="F5" s="205"/>
      <c r="G5" s="206"/>
      <c r="H5" s="207"/>
      <c r="I5" s="208"/>
      <c r="J5" s="233" t="s">
        <v>254</v>
      </c>
      <c r="K5" s="233"/>
      <c r="L5" s="234"/>
      <c r="M5" s="190" t="s">
        <v>255</v>
      </c>
      <c r="N5" s="190"/>
      <c r="O5" s="190"/>
      <c r="P5" s="190" t="s">
        <v>256</v>
      </c>
      <c r="Q5" s="190"/>
      <c r="R5" s="190"/>
    </row>
    <row r="6" spans="1:19" ht="18" customHeight="1">
      <c r="A6" s="187" t="s">
        <v>257</v>
      </c>
      <c r="B6" s="187" t="s">
        <v>258</v>
      </c>
      <c r="C6" s="187" t="s">
        <v>257</v>
      </c>
      <c r="D6" s="187" t="s">
        <v>258</v>
      </c>
      <c r="E6" s="209" t="s">
        <v>259</v>
      </c>
      <c r="F6" s="210" t="s">
        <v>260</v>
      </c>
      <c r="G6" s="211" t="s">
        <v>261</v>
      </c>
      <c r="H6" s="206"/>
      <c r="I6" s="206"/>
      <c r="J6" s="237" t="s">
        <v>257</v>
      </c>
      <c r="K6" s="237" t="s">
        <v>258</v>
      </c>
      <c r="L6" s="238" t="s">
        <v>7</v>
      </c>
      <c r="M6" s="212" t="s">
        <v>257</v>
      </c>
      <c r="N6" s="212" t="s">
        <v>258</v>
      </c>
      <c r="O6" s="212" t="s">
        <v>7</v>
      </c>
      <c r="P6" s="212" t="s">
        <v>257</v>
      </c>
      <c r="Q6" s="212" t="s">
        <v>258</v>
      </c>
      <c r="R6" s="212" t="s">
        <v>7</v>
      </c>
      <c r="S6" s="213"/>
    </row>
    <row r="7" spans="1:19" ht="18" customHeight="1">
      <c r="A7" s="187">
        <v>40027</v>
      </c>
      <c r="B7" s="187">
        <v>40292</v>
      </c>
      <c r="E7" s="188">
        <v>1</v>
      </c>
      <c r="F7" s="214">
        <v>456000</v>
      </c>
      <c r="G7" s="191" t="s">
        <v>262</v>
      </c>
      <c r="H7" s="191"/>
      <c r="I7" s="191"/>
      <c r="J7" s="239">
        <f t="shared" ref="J7:J31" si="0">M7+P7</f>
        <v>-32905</v>
      </c>
      <c r="K7" s="239">
        <f>N7+Q7</f>
        <v>800369</v>
      </c>
      <c r="L7" s="240">
        <f t="shared" ref="L7:L31" si="1">J7+K7</f>
        <v>767464</v>
      </c>
      <c r="M7" s="215">
        <v>-40310</v>
      </c>
      <c r="N7" s="215">
        <v>524482</v>
      </c>
      <c r="O7" s="216">
        <f t="shared" ref="O7:O31" si="2">M7+N7</f>
        <v>484172</v>
      </c>
      <c r="P7" s="215">
        <v>7405</v>
      </c>
      <c r="Q7" s="215">
        <v>275887</v>
      </c>
      <c r="R7" s="217">
        <f t="shared" ref="R7:R31" si="3">P7+Q7</f>
        <v>283292</v>
      </c>
      <c r="S7" s="218"/>
    </row>
    <row r="8" spans="1:19" ht="18" customHeight="1">
      <c r="A8" s="187">
        <v>372145</v>
      </c>
      <c r="B8" s="187">
        <v>372150</v>
      </c>
      <c r="E8" s="188">
        <v>1</v>
      </c>
      <c r="F8" s="214">
        <v>456010</v>
      </c>
      <c r="G8" s="191" t="s">
        <v>263</v>
      </c>
      <c r="H8" s="191"/>
      <c r="I8" s="191"/>
      <c r="J8" s="239">
        <f>M8+P8</f>
        <v>0</v>
      </c>
      <c r="K8" s="239">
        <f t="shared" ref="K8:K33" si="4">N8+Q8</f>
        <v>-7567528</v>
      </c>
      <c r="L8" s="240">
        <f>J8+K8</f>
        <v>-7567528</v>
      </c>
      <c r="M8" s="215">
        <v>0</v>
      </c>
      <c r="N8" s="215">
        <v>-4959001</v>
      </c>
      <c r="O8" s="216">
        <f>M8+N8</f>
        <v>-4959001</v>
      </c>
      <c r="P8" s="215">
        <v>0</v>
      </c>
      <c r="Q8" s="215">
        <v>-2608527</v>
      </c>
      <c r="R8" s="217">
        <f>P8+Q8</f>
        <v>-2608527</v>
      </c>
      <c r="S8" s="218"/>
    </row>
    <row r="9" spans="1:19" ht="18" customHeight="1">
      <c r="A9" s="187">
        <v>372131</v>
      </c>
      <c r="B9" s="187">
        <v>372136</v>
      </c>
      <c r="E9" s="188">
        <v>1</v>
      </c>
      <c r="F9" s="214">
        <v>456015</v>
      </c>
      <c r="G9" s="191" t="s">
        <v>264</v>
      </c>
      <c r="H9" s="191"/>
      <c r="I9" s="191"/>
      <c r="J9" s="239">
        <f t="shared" si="0"/>
        <v>0</v>
      </c>
      <c r="K9" s="239">
        <f t="shared" si="4"/>
        <v>44400011</v>
      </c>
      <c r="L9" s="240">
        <f t="shared" si="1"/>
        <v>44400011</v>
      </c>
      <c r="M9" s="215">
        <v>0</v>
      </c>
      <c r="N9" s="215">
        <v>29095327</v>
      </c>
      <c r="O9" s="216">
        <f t="shared" si="2"/>
        <v>29095327</v>
      </c>
      <c r="P9" s="215">
        <v>0</v>
      </c>
      <c r="Q9" s="215">
        <v>15304684</v>
      </c>
      <c r="R9" s="217">
        <f t="shared" si="3"/>
        <v>15304684</v>
      </c>
      <c r="S9" s="218"/>
    </row>
    <row r="10" spans="1:19" ht="18" customHeight="1">
      <c r="A10" s="187">
        <v>372117</v>
      </c>
      <c r="B10" s="187">
        <v>372122</v>
      </c>
      <c r="E10" s="188">
        <v>1</v>
      </c>
      <c r="F10" s="214">
        <v>456016</v>
      </c>
      <c r="G10" s="191" t="s">
        <v>265</v>
      </c>
      <c r="H10" s="191"/>
      <c r="I10" s="191"/>
      <c r="J10" s="239">
        <f t="shared" si="0"/>
        <v>0</v>
      </c>
      <c r="K10" s="239">
        <f t="shared" si="4"/>
        <v>5893804</v>
      </c>
      <c r="L10" s="240">
        <f t="shared" si="1"/>
        <v>5893804</v>
      </c>
      <c r="M10" s="215">
        <v>0</v>
      </c>
      <c r="N10" s="215">
        <v>3862210</v>
      </c>
      <c r="O10" s="216">
        <f t="shared" si="2"/>
        <v>3862210</v>
      </c>
      <c r="P10" s="215">
        <v>0</v>
      </c>
      <c r="Q10" s="215">
        <v>2031594</v>
      </c>
      <c r="R10" s="217">
        <f t="shared" si="3"/>
        <v>2031594</v>
      </c>
      <c r="S10" s="218"/>
    </row>
    <row r="11" spans="1:19" ht="18" customHeight="1">
      <c r="A11" s="187">
        <v>372103</v>
      </c>
      <c r="B11" s="187">
        <v>372108</v>
      </c>
      <c r="E11" s="188" t="s">
        <v>266</v>
      </c>
      <c r="F11" s="214">
        <v>456017</v>
      </c>
      <c r="G11" s="191" t="s">
        <v>267</v>
      </c>
      <c r="H11" s="191"/>
      <c r="I11" s="191"/>
      <c r="J11" s="239">
        <f t="shared" si="0"/>
        <v>0</v>
      </c>
      <c r="K11" s="239">
        <f t="shared" si="4"/>
        <v>96246</v>
      </c>
      <c r="L11" s="219">
        <f t="shared" si="1"/>
        <v>96246</v>
      </c>
      <c r="M11" s="215">
        <v>0</v>
      </c>
      <c r="N11" s="215">
        <v>63070</v>
      </c>
      <c r="O11" s="216">
        <f t="shared" si="2"/>
        <v>63070</v>
      </c>
      <c r="P11" s="215">
        <v>0</v>
      </c>
      <c r="Q11" s="215">
        <v>33176</v>
      </c>
      <c r="R11" s="217">
        <f t="shared" si="3"/>
        <v>33176</v>
      </c>
      <c r="S11" s="218"/>
    </row>
    <row r="12" spans="1:19" ht="18" customHeight="1">
      <c r="A12" s="187">
        <v>437098</v>
      </c>
      <c r="B12" s="187">
        <v>437103</v>
      </c>
      <c r="E12" s="188">
        <v>1</v>
      </c>
      <c r="F12" s="214">
        <v>456018</v>
      </c>
      <c r="G12" s="191" t="s">
        <v>268</v>
      </c>
      <c r="H12" s="191"/>
      <c r="I12" s="191"/>
      <c r="J12" s="239">
        <f t="shared" si="0"/>
        <v>0</v>
      </c>
      <c r="K12" s="239">
        <f t="shared" si="4"/>
        <v>576665</v>
      </c>
      <c r="L12" s="240">
        <f t="shared" si="1"/>
        <v>576665</v>
      </c>
      <c r="M12" s="215">
        <v>0</v>
      </c>
      <c r="N12" s="215">
        <v>377889</v>
      </c>
      <c r="O12" s="216">
        <f t="shared" si="2"/>
        <v>377889</v>
      </c>
      <c r="P12" s="215">
        <v>0</v>
      </c>
      <c r="Q12" s="215">
        <v>198776</v>
      </c>
      <c r="R12" s="217">
        <f t="shared" si="3"/>
        <v>198776</v>
      </c>
      <c r="S12" s="218"/>
    </row>
    <row r="13" spans="1:19" ht="18" customHeight="1">
      <c r="A13" s="187">
        <v>452875</v>
      </c>
      <c r="B13" s="187">
        <v>452880</v>
      </c>
      <c r="E13" s="188">
        <v>1</v>
      </c>
      <c r="F13" s="214">
        <v>456019</v>
      </c>
      <c r="G13" s="191" t="s">
        <v>269</v>
      </c>
      <c r="H13" s="191"/>
      <c r="I13" s="191"/>
      <c r="J13" s="239">
        <f t="shared" si="0"/>
        <v>0</v>
      </c>
      <c r="K13" s="239">
        <f t="shared" si="4"/>
        <v>0</v>
      </c>
      <c r="L13" s="240">
        <f t="shared" si="1"/>
        <v>0</v>
      </c>
      <c r="M13" s="215">
        <v>0</v>
      </c>
      <c r="N13" s="215">
        <v>0</v>
      </c>
      <c r="O13" s="216">
        <f t="shared" si="2"/>
        <v>0</v>
      </c>
      <c r="P13" s="215">
        <v>0</v>
      </c>
      <c r="Q13" s="215">
        <v>0</v>
      </c>
      <c r="R13" s="217">
        <f t="shared" si="3"/>
        <v>0</v>
      </c>
      <c r="S13" s="218"/>
    </row>
    <row r="14" spans="1:19" ht="18" customHeight="1">
      <c r="A14" s="187">
        <v>372089</v>
      </c>
      <c r="B14" s="187">
        <v>372094</v>
      </c>
      <c r="E14" s="188">
        <v>1</v>
      </c>
      <c r="F14" s="214">
        <v>456020</v>
      </c>
      <c r="G14" s="191" t="s">
        <v>270</v>
      </c>
      <c r="H14" s="191"/>
      <c r="I14" s="191"/>
      <c r="J14" s="239">
        <f t="shared" si="0"/>
        <v>0</v>
      </c>
      <c r="K14" s="239">
        <f t="shared" si="4"/>
        <v>57128</v>
      </c>
      <c r="L14" s="240">
        <f t="shared" si="1"/>
        <v>57128</v>
      </c>
      <c r="M14" s="215">
        <v>0</v>
      </c>
      <c r="N14" s="215">
        <v>37436</v>
      </c>
      <c r="O14" s="216">
        <f t="shared" si="2"/>
        <v>37436</v>
      </c>
      <c r="P14" s="215">
        <v>0</v>
      </c>
      <c r="Q14" s="215">
        <v>19692</v>
      </c>
      <c r="R14" s="217">
        <f t="shared" si="3"/>
        <v>19692</v>
      </c>
      <c r="S14" s="218"/>
    </row>
    <row r="15" spans="1:19" ht="18" customHeight="1">
      <c r="A15" s="187">
        <v>447323</v>
      </c>
      <c r="B15" s="187">
        <v>447328</v>
      </c>
      <c r="E15" s="188">
        <v>1</v>
      </c>
      <c r="F15" s="214">
        <v>456030</v>
      </c>
      <c r="G15" s="191" t="s">
        <v>271</v>
      </c>
      <c r="H15" s="191"/>
      <c r="I15" s="191"/>
      <c r="J15" s="239">
        <f t="shared" si="0"/>
        <v>-124470</v>
      </c>
      <c r="K15" s="239">
        <f t="shared" si="4"/>
        <v>1282202</v>
      </c>
      <c r="L15" s="240">
        <f t="shared" si="1"/>
        <v>1157732</v>
      </c>
      <c r="M15" s="215">
        <v>0</v>
      </c>
      <c r="N15" s="215">
        <v>840227</v>
      </c>
      <c r="O15" s="216">
        <f t="shared" si="2"/>
        <v>840227</v>
      </c>
      <c r="P15" s="215">
        <v>-124470</v>
      </c>
      <c r="Q15" s="215">
        <v>441975</v>
      </c>
      <c r="R15" s="217">
        <f t="shared" si="3"/>
        <v>317505</v>
      </c>
      <c r="S15" s="218"/>
    </row>
    <row r="16" spans="1:19" ht="18" customHeight="1">
      <c r="A16" s="187">
        <v>451279</v>
      </c>
      <c r="B16" s="187">
        <v>451284</v>
      </c>
      <c r="E16" s="188">
        <v>1</v>
      </c>
      <c r="F16" s="214">
        <v>456050</v>
      </c>
      <c r="G16" s="191" t="s">
        <v>272</v>
      </c>
      <c r="H16" s="191"/>
      <c r="I16" s="191"/>
      <c r="J16" s="239">
        <f t="shared" si="0"/>
        <v>1180577</v>
      </c>
      <c r="K16" s="239">
        <f t="shared" si="4"/>
        <v>240</v>
      </c>
      <c r="L16" s="240">
        <f t="shared" si="1"/>
        <v>1180817</v>
      </c>
      <c r="M16" s="215">
        <v>1006488</v>
      </c>
      <c r="N16" s="215">
        <v>157</v>
      </c>
      <c r="O16" s="216">
        <f t="shared" si="2"/>
        <v>1006645</v>
      </c>
      <c r="P16" s="215">
        <v>174089</v>
      </c>
      <c r="Q16" s="215">
        <v>83</v>
      </c>
      <c r="R16" s="217">
        <f t="shared" si="3"/>
        <v>174172</v>
      </c>
      <c r="S16" s="218"/>
    </row>
    <row r="17" spans="1:19" ht="18" customHeight="1">
      <c r="A17" s="187">
        <v>372075</v>
      </c>
      <c r="B17" s="187">
        <v>372080</v>
      </c>
      <c r="E17" s="188">
        <v>1</v>
      </c>
      <c r="F17" s="214">
        <v>456100</v>
      </c>
      <c r="G17" s="191" t="s">
        <v>273</v>
      </c>
      <c r="H17" s="191"/>
      <c r="I17" s="191"/>
      <c r="J17" s="239">
        <f t="shared" si="0"/>
        <v>0</v>
      </c>
      <c r="K17" s="239">
        <f t="shared" si="4"/>
        <v>16607134</v>
      </c>
      <c r="L17" s="219">
        <f t="shared" si="1"/>
        <v>16607134</v>
      </c>
      <c r="M17" s="215">
        <v>0</v>
      </c>
      <c r="N17" s="215">
        <v>10882655</v>
      </c>
      <c r="O17" s="216">
        <f t="shared" si="2"/>
        <v>10882655</v>
      </c>
      <c r="P17" s="215">
        <v>0</v>
      </c>
      <c r="Q17" s="215">
        <v>5724479</v>
      </c>
      <c r="R17" s="217">
        <f t="shared" si="3"/>
        <v>5724479</v>
      </c>
      <c r="S17" s="218"/>
    </row>
    <row r="18" spans="1:19" ht="18" customHeight="1">
      <c r="A18" s="187">
        <v>372061</v>
      </c>
      <c r="B18" s="187">
        <v>372066</v>
      </c>
      <c r="E18" s="188">
        <v>1</v>
      </c>
      <c r="F18" s="214">
        <v>456120</v>
      </c>
      <c r="G18" s="191" t="s">
        <v>274</v>
      </c>
      <c r="H18" s="191"/>
      <c r="I18" s="191"/>
      <c r="J18" s="239">
        <f t="shared" si="0"/>
        <v>0</v>
      </c>
      <c r="K18" s="239">
        <f t="shared" si="4"/>
        <v>924000</v>
      </c>
      <c r="L18" s="219">
        <f t="shared" si="1"/>
        <v>924000</v>
      </c>
      <c r="M18" s="215">
        <v>0</v>
      </c>
      <c r="N18" s="215">
        <v>605497</v>
      </c>
      <c r="O18" s="216">
        <f t="shared" si="2"/>
        <v>605497</v>
      </c>
      <c r="P18" s="215">
        <v>0</v>
      </c>
      <c r="Q18" s="215">
        <v>318503</v>
      </c>
      <c r="R18" s="217">
        <f t="shared" si="3"/>
        <v>318503</v>
      </c>
      <c r="S18" s="218"/>
    </row>
    <row r="19" spans="1:19" ht="18" customHeight="1">
      <c r="A19" s="187">
        <v>409476</v>
      </c>
      <c r="B19" s="187">
        <v>409481</v>
      </c>
      <c r="E19" s="221" t="s">
        <v>266</v>
      </c>
      <c r="F19" s="214">
        <v>456130</v>
      </c>
      <c r="G19" s="191" t="s">
        <v>275</v>
      </c>
      <c r="H19" s="191"/>
      <c r="I19" s="191"/>
      <c r="J19" s="239">
        <f t="shared" si="0"/>
        <v>0</v>
      </c>
      <c r="K19" s="239">
        <f t="shared" si="4"/>
        <v>1514192</v>
      </c>
      <c r="L19" s="219">
        <f t="shared" si="1"/>
        <v>1514192</v>
      </c>
      <c r="M19" s="215">
        <v>0</v>
      </c>
      <c r="N19" s="215">
        <v>992250</v>
      </c>
      <c r="O19" s="216">
        <f t="shared" si="2"/>
        <v>992250</v>
      </c>
      <c r="P19" s="215">
        <v>0</v>
      </c>
      <c r="Q19" s="215">
        <v>521942</v>
      </c>
      <c r="R19" s="217">
        <f t="shared" si="3"/>
        <v>521942</v>
      </c>
      <c r="S19" s="218"/>
    </row>
    <row r="20" spans="1:19" ht="18" customHeight="1">
      <c r="A20" s="187">
        <v>372047</v>
      </c>
      <c r="B20" s="187">
        <v>372052</v>
      </c>
      <c r="E20" s="188" t="s">
        <v>266</v>
      </c>
      <c r="F20" s="214">
        <v>456150</v>
      </c>
      <c r="G20" s="191" t="s">
        <v>264</v>
      </c>
      <c r="H20" s="191"/>
      <c r="I20" s="191"/>
      <c r="J20" s="239">
        <f t="shared" si="0"/>
        <v>0</v>
      </c>
      <c r="K20" s="239">
        <f t="shared" si="4"/>
        <v>0</v>
      </c>
      <c r="L20" s="240">
        <f t="shared" si="1"/>
        <v>0</v>
      </c>
      <c r="M20" s="215">
        <v>0</v>
      </c>
      <c r="N20" s="215">
        <v>0</v>
      </c>
      <c r="O20" s="216">
        <f t="shared" si="2"/>
        <v>0</v>
      </c>
      <c r="P20" s="215">
        <v>0</v>
      </c>
      <c r="Q20" s="215">
        <v>0</v>
      </c>
      <c r="R20" s="217">
        <f t="shared" si="3"/>
        <v>0</v>
      </c>
      <c r="S20" s="218"/>
    </row>
    <row r="21" spans="1:19" ht="18" customHeight="1">
      <c r="A21" s="187">
        <v>372033</v>
      </c>
      <c r="B21" s="187">
        <v>372038</v>
      </c>
      <c r="E21" s="188" t="s">
        <v>266</v>
      </c>
      <c r="F21" s="214">
        <v>456160</v>
      </c>
      <c r="G21" s="191" t="s">
        <v>276</v>
      </c>
      <c r="H21" s="191"/>
      <c r="I21" s="191"/>
      <c r="J21" s="239">
        <f t="shared" si="0"/>
        <v>0</v>
      </c>
      <c r="K21" s="239">
        <f t="shared" si="4"/>
        <v>0</v>
      </c>
      <c r="L21" s="240">
        <f t="shared" si="1"/>
        <v>0</v>
      </c>
      <c r="M21" s="215">
        <v>0</v>
      </c>
      <c r="N21" s="215">
        <v>0</v>
      </c>
      <c r="O21" s="216">
        <f t="shared" si="2"/>
        <v>0</v>
      </c>
      <c r="P21" s="215">
        <v>0</v>
      </c>
      <c r="Q21" s="215">
        <v>0</v>
      </c>
      <c r="R21" s="217">
        <f t="shared" si="3"/>
        <v>0</v>
      </c>
      <c r="S21" s="218"/>
    </row>
    <row r="22" spans="1:19" ht="18" customHeight="1">
      <c r="A22" s="187">
        <v>422075</v>
      </c>
      <c r="B22" s="187">
        <v>422080</v>
      </c>
      <c r="E22" s="188" t="s">
        <v>266</v>
      </c>
      <c r="F22" s="214">
        <v>456311</v>
      </c>
      <c r="G22" s="191" t="s">
        <v>277</v>
      </c>
      <c r="H22" s="191"/>
      <c r="I22" s="191"/>
      <c r="J22" s="239">
        <f t="shared" si="0"/>
        <v>0</v>
      </c>
      <c r="K22" s="239">
        <f t="shared" si="4"/>
        <v>0</v>
      </c>
      <c r="L22" s="240">
        <f t="shared" si="1"/>
        <v>0</v>
      </c>
      <c r="M22" s="215">
        <v>0</v>
      </c>
      <c r="N22" s="215">
        <v>0</v>
      </c>
      <c r="O22" s="216">
        <f t="shared" si="2"/>
        <v>0</v>
      </c>
      <c r="P22" s="215">
        <v>0</v>
      </c>
      <c r="Q22" s="215">
        <v>0</v>
      </c>
      <c r="R22" s="217">
        <f t="shared" si="3"/>
        <v>0</v>
      </c>
      <c r="S22" s="218"/>
    </row>
    <row r="23" spans="1:19" ht="18" customHeight="1">
      <c r="A23" s="187">
        <v>411526</v>
      </c>
      <c r="B23" s="187">
        <v>411531</v>
      </c>
      <c r="C23" s="187">
        <v>411898</v>
      </c>
      <c r="D23" s="187">
        <v>411903</v>
      </c>
      <c r="E23" s="188" t="s">
        <v>266</v>
      </c>
      <c r="F23" s="214">
        <v>456328</v>
      </c>
      <c r="G23" s="191" t="s">
        <v>278</v>
      </c>
      <c r="H23" s="191"/>
      <c r="I23" s="191"/>
      <c r="J23" s="239">
        <f t="shared" si="0"/>
        <v>-7795284</v>
      </c>
      <c r="K23" s="239">
        <f t="shared" si="4"/>
        <v>0</v>
      </c>
      <c r="L23" s="240">
        <f t="shared" si="1"/>
        <v>-7795284</v>
      </c>
      <c r="M23" s="215">
        <v>-5048326</v>
      </c>
      <c r="N23" s="215">
        <v>0</v>
      </c>
      <c r="O23" s="216">
        <f t="shared" si="2"/>
        <v>-5048326</v>
      </c>
      <c r="P23" s="215">
        <v>-2746958</v>
      </c>
      <c r="Q23" s="215">
        <v>0</v>
      </c>
      <c r="R23" s="217">
        <f t="shared" si="3"/>
        <v>-2746958</v>
      </c>
      <c r="S23" s="218"/>
    </row>
    <row r="24" spans="1:19" ht="18" customHeight="1">
      <c r="A24" s="187">
        <v>411512</v>
      </c>
      <c r="B24" s="187">
        <v>411517</v>
      </c>
      <c r="C24" s="187">
        <v>411912</v>
      </c>
      <c r="D24" s="187">
        <v>411917</v>
      </c>
      <c r="E24" s="188">
        <v>1</v>
      </c>
      <c r="F24" s="214">
        <v>456329</v>
      </c>
      <c r="G24" s="191" t="s">
        <v>279</v>
      </c>
      <c r="H24" s="191"/>
      <c r="I24" s="191"/>
      <c r="J24" s="239">
        <f t="shared" si="0"/>
        <v>-2763088</v>
      </c>
      <c r="K24" s="239">
        <f t="shared" si="4"/>
        <v>0</v>
      </c>
      <c r="L24" s="240">
        <f t="shared" si="1"/>
        <v>-2763088</v>
      </c>
      <c r="M24" s="215">
        <v>-3132455</v>
      </c>
      <c r="N24" s="215">
        <v>0</v>
      </c>
      <c r="O24" s="216">
        <f t="shared" si="2"/>
        <v>-3132455</v>
      </c>
      <c r="P24" s="215">
        <v>369367</v>
      </c>
      <c r="Q24" s="215">
        <v>0</v>
      </c>
      <c r="R24" s="217">
        <f t="shared" si="3"/>
        <v>369367</v>
      </c>
      <c r="S24" s="218"/>
    </row>
    <row r="25" spans="1:19" ht="18" customHeight="1">
      <c r="A25" s="187">
        <v>411498</v>
      </c>
      <c r="B25" s="187">
        <v>411503</v>
      </c>
      <c r="C25" s="187">
        <v>411926</v>
      </c>
      <c r="D25" s="187">
        <v>411931</v>
      </c>
      <c r="E25" s="221" t="s">
        <v>266</v>
      </c>
      <c r="F25" s="214">
        <v>456338</v>
      </c>
      <c r="G25" s="191" t="s">
        <v>280</v>
      </c>
      <c r="H25" s="191"/>
      <c r="I25" s="191"/>
      <c r="J25" s="239">
        <f t="shared" si="0"/>
        <v>1742117</v>
      </c>
      <c r="K25" s="239">
        <f t="shared" si="4"/>
        <v>0</v>
      </c>
      <c r="L25" s="240">
        <f t="shared" si="1"/>
        <v>1742117</v>
      </c>
      <c r="M25" s="215">
        <v>2321385</v>
      </c>
      <c r="N25" s="215">
        <v>0</v>
      </c>
      <c r="O25" s="216">
        <f t="shared" si="2"/>
        <v>2321385</v>
      </c>
      <c r="P25" s="215">
        <v>-579268</v>
      </c>
      <c r="Q25" s="215">
        <v>0</v>
      </c>
      <c r="R25" s="217">
        <f t="shared" si="3"/>
        <v>-579268</v>
      </c>
      <c r="S25" s="218"/>
    </row>
    <row r="26" spans="1:19" ht="18" customHeight="1">
      <c r="A26" s="187">
        <v>411484</v>
      </c>
      <c r="B26" s="187">
        <v>411489</v>
      </c>
      <c r="C26" s="187">
        <v>411940</v>
      </c>
      <c r="D26" s="187">
        <v>411945</v>
      </c>
      <c r="E26" s="221" t="s">
        <v>266</v>
      </c>
      <c r="F26" s="214">
        <v>456339</v>
      </c>
      <c r="G26" s="191" t="s">
        <v>281</v>
      </c>
      <c r="H26" s="191"/>
      <c r="I26" s="191"/>
      <c r="J26" s="239">
        <f t="shared" si="0"/>
        <v>-10708388</v>
      </c>
      <c r="K26" s="239">
        <f t="shared" si="4"/>
        <v>0</v>
      </c>
      <c r="L26" s="240">
        <f t="shared" si="1"/>
        <v>-10708388</v>
      </c>
      <c r="M26" s="215">
        <v>-10102151</v>
      </c>
      <c r="N26" s="215">
        <v>0</v>
      </c>
      <c r="O26" s="216">
        <f t="shared" si="2"/>
        <v>-10102151</v>
      </c>
      <c r="P26" s="215">
        <v>-606237</v>
      </c>
      <c r="Q26" s="215">
        <v>0</v>
      </c>
      <c r="R26" s="217">
        <f t="shared" si="3"/>
        <v>-606237</v>
      </c>
      <c r="S26" s="218"/>
    </row>
    <row r="27" spans="1:19" ht="18" customHeight="1">
      <c r="A27" s="187">
        <v>448885</v>
      </c>
      <c r="B27" s="187">
        <v>448890</v>
      </c>
      <c r="E27" s="221" t="s">
        <v>266</v>
      </c>
      <c r="F27" s="214">
        <v>456380</v>
      </c>
      <c r="G27" s="191" t="s">
        <v>282</v>
      </c>
      <c r="H27" s="191"/>
      <c r="I27" s="191"/>
      <c r="J27" s="239">
        <f t="shared" si="0"/>
        <v>316803</v>
      </c>
      <c r="K27" s="239">
        <f t="shared" si="4"/>
        <v>0</v>
      </c>
      <c r="L27" s="240">
        <f t="shared" si="1"/>
        <v>316803</v>
      </c>
      <c r="M27" s="215">
        <v>0</v>
      </c>
      <c r="N27" s="215">
        <v>0</v>
      </c>
      <c r="O27" s="216">
        <f t="shared" si="2"/>
        <v>0</v>
      </c>
      <c r="P27" s="215">
        <v>316803</v>
      </c>
      <c r="Q27" s="215">
        <v>0</v>
      </c>
      <c r="R27" s="217">
        <f t="shared" si="3"/>
        <v>316803</v>
      </c>
      <c r="S27" s="218"/>
    </row>
    <row r="28" spans="1:19" ht="18" customHeight="1">
      <c r="A28" s="187">
        <v>372019</v>
      </c>
      <c r="B28" s="187">
        <v>372024</v>
      </c>
      <c r="E28" s="188" t="s">
        <v>266</v>
      </c>
      <c r="F28" s="214">
        <v>456700</v>
      </c>
      <c r="G28" s="191" t="s">
        <v>283</v>
      </c>
      <c r="H28" s="191"/>
      <c r="I28" s="191"/>
      <c r="J28" s="239">
        <f t="shared" si="0"/>
        <v>177065</v>
      </c>
      <c r="K28" s="239">
        <f t="shared" si="4"/>
        <v>0</v>
      </c>
      <c r="L28" s="219">
        <f t="shared" si="1"/>
        <v>177065</v>
      </c>
      <c r="M28" s="220">
        <v>114274</v>
      </c>
      <c r="N28" s="220">
        <v>0</v>
      </c>
      <c r="O28" s="222">
        <f t="shared" si="2"/>
        <v>114274</v>
      </c>
      <c r="P28" s="220">
        <v>62791</v>
      </c>
      <c r="Q28" s="220">
        <v>0</v>
      </c>
      <c r="R28" s="220">
        <f t="shared" si="3"/>
        <v>62791</v>
      </c>
      <c r="S28" s="218"/>
    </row>
    <row r="29" spans="1:19" ht="18" customHeight="1">
      <c r="A29" s="187">
        <v>372005</v>
      </c>
      <c r="B29" s="187">
        <v>372010</v>
      </c>
      <c r="E29" s="188" t="s">
        <v>266</v>
      </c>
      <c r="F29" s="214">
        <v>456705</v>
      </c>
      <c r="G29" s="191" t="s">
        <v>284</v>
      </c>
      <c r="H29" s="191"/>
      <c r="I29" s="191"/>
      <c r="J29" s="239">
        <f t="shared" si="0"/>
        <v>0</v>
      </c>
      <c r="K29" s="239">
        <f t="shared" si="4"/>
        <v>1782848</v>
      </c>
      <c r="L29" s="219">
        <f t="shared" si="1"/>
        <v>1782848</v>
      </c>
      <c r="M29" s="215">
        <v>0</v>
      </c>
      <c r="N29" s="215">
        <v>1168300</v>
      </c>
      <c r="O29" s="216">
        <f t="shared" si="2"/>
        <v>1168300</v>
      </c>
      <c r="P29" s="215">
        <v>0</v>
      </c>
      <c r="Q29" s="215">
        <v>614548</v>
      </c>
      <c r="R29" s="217">
        <f t="shared" si="3"/>
        <v>614548</v>
      </c>
      <c r="S29" s="218"/>
    </row>
    <row r="30" spans="1:19" ht="18" customHeight="1">
      <c r="A30" s="187">
        <v>371991</v>
      </c>
      <c r="B30" s="187">
        <v>371996</v>
      </c>
      <c r="E30" s="188" t="s">
        <v>266</v>
      </c>
      <c r="F30" s="214">
        <v>456710</v>
      </c>
      <c r="G30" s="191" t="s">
        <v>285</v>
      </c>
      <c r="H30" s="191"/>
      <c r="I30" s="191"/>
      <c r="J30" s="239">
        <f t="shared" si="0"/>
        <v>0</v>
      </c>
      <c r="K30" s="239">
        <f t="shared" si="4"/>
        <v>0</v>
      </c>
      <c r="L30" s="240">
        <f t="shared" si="1"/>
        <v>0</v>
      </c>
      <c r="M30" s="215">
        <v>0</v>
      </c>
      <c r="N30" s="215">
        <v>0</v>
      </c>
      <c r="O30" s="216">
        <f t="shared" si="2"/>
        <v>0</v>
      </c>
      <c r="P30" s="215">
        <v>0</v>
      </c>
      <c r="Q30" s="215">
        <v>0</v>
      </c>
      <c r="R30" s="217">
        <f t="shared" si="3"/>
        <v>0</v>
      </c>
      <c r="S30" s="218"/>
    </row>
    <row r="31" spans="1:19" ht="18" customHeight="1">
      <c r="A31" s="187">
        <v>371977</v>
      </c>
      <c r="B31" s="187">
        <v>371982</v>
      </c>
      <c r="E31" s="188">
        <v>1</v>
      </c>
      <c r="F31" s="214">
        <v>456711</v>
      </c>
      <c r="G31" s="191" t="s">
        <v>286</v>
      </c>
      <c r="H31" s="191"/>
      <c r="I31" s="191"/>
      <c r="J31" s="239">
        <f t="shared" si="0"/>
        <v>0</v>
      </c>
      <c r="K31" s="239">
        <f t="shared" si="4"/>
        <v>-1198047</v>
      </c>
      <c r="L31" s="240">
        <f t="shared" si="1"/>
        <v>-1198047</v>
      </c>
      <c r="M31" s="215">
        <v>0</v>
      </c>
      <c r="N31" s="215">
        <v>-785080</v>
      </c>
      <c r="O31" s="216">
        <f t="shared" si="2"/>
        <v>-785080</v>
      </c>
      <c r="P31" s="215">
        <v>0</v>
      </c>
      <c r="Q31" s="215">
        <v>-412967</v>
      </c>
      <c r="R31" s="217">
        <f t="shared" si="3"/>
        <v>-412967</v>
      </c>
      <c r="S31" s="218"/>
    </row>
    <row r="32" spans="1:19" ht="18" customHeight="1">
      <c r="A32" s="187">
        <v>371963</v>
      </c>
      <c r="B32" s="187">
        <v>371968</v>
      </c>
      <c r="E32" s="188">
        <v>1</v>
      </c>
      <c r="F32" s="214">
        <v>456720</v>
      </c>
      <c r="G32" s="191" t="s">
        <v>287</v>
      </c>
      <c r="H32" s="191"/>
      <c r="I32" s="191"/>
      <c r="J32" s="239">
        <f>M32+P32</f>
        <v>0</v>
      </c>
      <c r="K32" s="239">
        <f t="shared" si="4"/>
        <v>1198047</v>
      </c>
      <c r="L32" s="240">
        <f>J32+K32</f>
        <v>1198047</v>
      </c>
      <c r="M32" s="215">
        <v>0</v>
      </c>
      <c r="N32" s="215">
        <v>785080</v>
      </c>
      <c r="O32" s="216">
        <f>M32+N32</f>
        <v>785080</v>
      </c>
      <c r="P32" s="215">
        <v>0</v>
      </c>
      <c r="Q32" s="215">
        <v>412967</v>
      </c>
      <c r="R32" s="217">
        <f>P32+Q32</f>
        <v>412967</v>
      </c>
      <c r="S32" s="218"/>
    </row>
    <row r="33" spans="1:19" ht="18" customHeight="1">
      <c r="A33" s="187">
        <v>371949</v>
      </c>
      <c r="B33" s="187">
        <v>371954</v>
      </c>
      <c r="E33" s="188">
        <v>1</v>
      </c>
      <c r="F33" s="214">
        <v>456730</v>
      </c>
      <c r="G33" s="191" t="s">
        <v>288</v>
      </c>
      <c r="H33" s="191"/>
      <c r="I33" s="191"/>
      <c r="J33" s="239">
        <f>M33+P33</f>
        <v>0</v>
      </c>
      <c r="K33" s="239">
        <f t="shared" si="4"/>
        <v>28730371</v>
      </c>
      <c r="L33" s="240">
        <f>J33+K33</f>
        <v>28730371</v>
      </c>
      <c r="M33" s="215">
        <v>0</v>
      </c>
      <c r="N33" s="215">
        <v>18827012</v>
      </c>
      <c r="O33" s="216">
        <f>M33+N33</f>
        <v>18827012</v>
      </c>
      <c r="P33" s="215">
        <v>0</v>
      </c>
      <c r="Q33" s="215">
        <v>9903359</v>
      </c>
      <c r="R33" s="217">
        <f>P33+Q33</f>
        <v>9903359</v>
      </c>
      <c r="S33" s="218"/>
    </row>
    <row r="34" spans="1:19" ht="18" customHeight="1">
      <c r="E34" s="188"/>
      <c r="F34" s="223"/>
      <c r="G34" s="190"/>
      <c r="H34" s="191"/>
      <c r="I34" s="191"/>
      <c r="J34" s="239"/>
      <c r="K34" s="239"/>
      <c r="L34" s="240"/>
      <c r="M34" s="217"/>
      <c r="N34" s="217"/>
      <c r="O34" s="216"/>
      <c r="P34" s="217"/>
      <c r="Q34" s="217"/>
      <c r="R34" s="217"/>
      <c r="S34" s="218"/>
    </row>
    <row r="35" spans="1:19" ht="18" customHeight="1">
      <c r="E35" s="188"/>
      <c r="F35" s="189"/>
      <c r="G35" s="190" t="s">
        <v>289</v>
      </c>
      <c r="H35" s="191"/>
      <c r="I35" s="191"/>
      <c r="J35" s="241">
        <f t="shared" ref="J35:R35" si="5">SUM(J7:J34)</f>
        <v>-18007573</v>
      </c>
      <c r="K35" s="241">
        <f t="shared" si="5"/>
        <v>95097682</v>
      </c>
      <c r="L35" s="242">
        <f>SUM(L7:L34)</f>
        <v>77090109</v>
      </c>
      <c r="M35" s="224">
        <f t="shared" si="5"/>
        <v>-14881095</v>
      </c>
      <c r="N35" s="224">
        <f t="shared" si="5"/>
        <v>62317511</v>
      </c>
      <c r="O35" s="225">
        <f t="shared" si="5"/>
        <v>47436416</v>
      </c>
      <c r="P35" s="224">
        <f t="shared" si="5"/>
        <v>-3126478</v>
      </c>
      <c r="Q35" s="224">
        <f t="shared" si="5"/>
        <v>32780171</v>
      </c>
      <c r="R35" s="224">
        <f t="shared" si="5"/>
        <v>29653693</v>
      </c>
      <c r="S35" s="218"/>
    </row>
    <row r="36" spans="1:19" ht="18" customHeight="1">
      <c r="E36" s="188"/>
      <c r="F36" s="189"/>
      <c r="G36" s="190"/>
      <c r="H36" s="191"/>
      <c r="I36" s="191"/>
      <c r="J36" s="239"/>
      <c r="K36" s="239"/>
      <c r="L36" s="243"/>
      <c r="M36" s="217"/>
      <c r="N36" s="217"/>
      <c r="O36" s="217"/>
      <c r="P36" s="217"/>
      <c r="Q36" s="217"/>
      <c r="R36" s="217"/>
      <c r="S36" s="218"/>
    </row>
    <row r="37" spans="1:19" ht="18" customHeight="1">
      <c r="E37" s="188"/>
      <c r="F37" s="189"/>
      <c r="G37" s="190"/>
      <c r="H37" s="191"/>
      <c r="I37" s="191"/>
      <c r="J37" s="239"/>
      <c r="K37" s="239" t="s">
        <v>290</v>
      </c>
      <c r="L37" s="249">
        <f>L29+L28+L19+L17+L11+L18+L27</f>
        <v>21418288</v>
      </c>
      <c r="M37" s="217"/>
      <c r="N37" s="217"/>
      <c r="O37" s="217"/>
      <c r="P37" s="217"/>
      <c r="Q37" s="217"/>
      <c r="R37" s="217"/>
      <c r="S37" s="218"/>
    </row>
    <row r="38" spans="1:19" ht="18" customHeight="1">
      <c r="E38" s="188"/>
      <c r="F38" s="189"/>
      <c r="G38" s="190"/>
      <c r="H38" s="191"/>
      <c r="I38" s="191"/>
      <c r="J38" s="239"/>
      <c r="K38" s="239" t="s">
        <v>92</v>
      </c>
      <c r="L38" s="243">
        <f>L26+L25+L24+L23</f>
        <v>-19524643</v>
      </c>
      <c r="M38" s="217"/>
      <c r="N38" s="217"/>
      <c r="O38" s="217"/>
      <c r="P38" s="217"/>
      <c r="Q38" s="217"/>
      <c r="R38" s="217"/>
      <c r="S38" s="218"/>
    </row>
    <row r="39" spans="1:19" ht="18" customHeight="1">
      <c r="E39" s="188"/>
      <c r="F39" s="189"/>
      <c r="G39" s="190"/>
      <c r="H39" s="191"/>
      <c r="I39" s="191"/>
      <c r="J39" s="239"/>
      <c r="K39" s="239" t="s">
        <v>291</v>
      </c>
      <c r="L39" s="243">
        <f>L33+L32+L31+L13+L12+L9+L8+L14</f>
        <v>66196647</v>
      </c>
      <c r="M39" s="217"/>
      <c r="N39" s="217"/>
      <c r="O39" s="217"/>
      <c r="P39" s="217"/>
      <c r="Q39" s="217"/>
      <c r="R39" s="217"/>
      <c r="S39" s="218"/>
    </row>
    <row r="40" spans="1:19" ht="18" customHeight="1">
      <c r="E40" s="188"/>
      <c r="F40" s="189"/>
      <c r="G40" s="190"/>
      <c r="H40" s="190"/>
      <c r="I40" s="190"/>
      <c r="J40" s="233"/>
      <c r="K40" s="239" t="s">
        <v>295</v>
      </c>
      <c r="L40" s="243">
        <f>L10</f>
        <v>5893804</v>
      </c>
      <c r="M40" s="190">
        <f>SUM(L39:L40)</f>
        <v>72090451</v>
      </c>
      <c r="N40" s="190"/>
      <c r="O40" s="190"/>
      <c r="P40" s="190"/>
      <c r="Q40" s="190"/>
      <c r="R40" s="190" t="str">
        <f>IF(R35+O35-L35=0," ","ERROR")</f>
        <v xml:space="preserve"> </v>
      </c>
      <c r="S40" s="218"/>
    </row>
    <row r="41" spans="1:19" ht="18" customHeight="1">
      <c r="E41" s="188"/>
      <c r="F41" s="189"/>
      <c r="G41" s="190"/>
      <c r="H41" s="190"/>
      <c r="I41" s="190"/>
      <c r="J41" s="233"/>
      <c r="K41" s="233" t="s">
        <v>292</v>
      </c>
      <c r="L41" s="248">
        <f>L15+L16+L7</f>
        <v>3106013</v>
      </c>
      <c r="M41" s="190"/>
      <c r="N41" s="190"/>
      <c r="O41" s="190"/>
      <c r="P41" s="190"/>
      <c r="Q41" s="190"/>
      <c r="R41" s="190"/>
      <c r="S41" s="218"/>
    </row>
    <row r="42" spans="1:19" ht="18" customHeight="1">
      <c r="E42" s="188"/>
      <c r="F42" s="189"/>
      <c r="G42" s="190"/>
      <c r="H42" s="190"/>
      <c r="I42" s="190"/>
      <c r="J42" s="233"/>
      <c r="K42" s="233"/>
      <c r="L42" s="234">
        <f>SUM(L37:L41)</f>
        <v>77090109</v>
      </c>
      <c r="M42" s="190">
        <f>L35-L42</f>
        <v>0</v>
      </c>
      <c r="N42" s="190"/>
      <c r="O42" s="190"/>
      <c r="P42" s="190"/>
      <c r="Q42" s="190"/>
      <c r="R42" s="190"/>
      <c r="S42" s="218"/>
    </row>
    <row r="43" spans="1:19" ht="18" customHeight="1">
      <c r="E43" s="226" t="s">
        <v>293</v>
      </c>
      <c r="F43" s="189"/>
      <c r="G43" s="190"/>
      <c r="H43" s="191"/>
      <c r="I43" s="191"/>
      <c r="J43" s="233"/>
      <c r="K43" s="233"/>
      <c r="L43" s="234"/>
      <c r="M43" s="190"/>
      <c r="N43" s="190"/>
      <c r="O43" s="190"/>
      <c r="P43" s="190"/>
      <c r="Q43" s="190"/>
      <c r="R43" s="190"/>
      <c r="S43" s="192"/>
    </row>
    <row r="44" spans="1:19" ht="18" customHeight="1">
      <c r="E44" s="188" t="s">
        <v>294</v>
      </c>
      <c r="F44" s="227">
        <v>1</v>
      </c>
      <c r="G44" s="190" t="str">
        <f>'[1]E-ALL'!E8</f>
        <v>Production/Transmission  Ratio</v>
      </c>
      <c r="H44" s="191"/>
      <c r="I44" s="191"/>
      <c r="J44" s="233"/>
      <c r="K44" s="233"/>
      <c r="L44" s="234"/>
      <c r="M44" s="228"/>
      <c r="N44" s="228">
        <f>'[1]E-ALL'!H8</f>
        <v>0.65529999999999999</v>
      </c>
      <c r="O44" s="228"/>
      <c r="P44" s="228"/>
      <c r="Q44" s="228">
        <f>'[1]E-ALL'!I8</f>
        <v>0.34470000000000001</v>
      </c>
      <c r="R44" s="229"/>
      <c r="S44" s="230"/>
    </row>
    <row r="45" spans="1:19" ht="18" customHeight="1">
      <c r="E45" s="188"/>
      <c r="F45" s="227"/>
      <c r="G45" s="190"/>
      <c r="H45" s="191"/>
      <c r="I45" s="191"/>
      <c r="J45" s="233"/>
      <c r="K45" s="244">
        <f>'[1]E-ALL'!G8</f>
        <v>1</v>
      </c>
      <c r="L45" s="234"/>
      <c r="M45" s="228"/>
      <c r="N45" s="228"/>
      <c r="O45" s="228"/>
      <c r="P45" s="228"/>
      <c r="Q45" s="228"/>
      <c r="R45" s="190"/>
      <c r="S45" s="218"/>
    </row>
    <row r="46" spans="1:19" ht="18" customHeight="1">
      <c r="E46" s="188"/>
      <c r="F46" s="227"/>
      <c r="G46" s="190"/>
      <c r="H46" s="191"/>
      <c r="I46" s="231"/>
      <c r="J46" s="233"/>
      <c r="K46" s="244"/>
      <c r="L46" s="234"/>
      <c r="M46" s="229"/>
      <c r="N46" s="229"/>
      <c r="O46" s="229"/>
      <c r="P46" s="229"/>
      <c r="Q46" s="229"/>
      <c r="R46" s="190"/>
      <c r="S46" s="218"/>
    </row>
    <row r="47" spans="1:19" ht="15.75">
      <c r="K47" s="244"/>
      <c r="L47" s="234"/>
    </row>
    <row r="48" spans="1:19" ht="15.75">
      <c r="L48" s="246"/>
    </row>
    <row r="49" spans="12:12" ht="15.75">
      <c r="L49" s="246"/>
    </row>
    <row r="50" spans="12:12" ht="15.75">
      <c r="L50" s="246"/>
    </row>
  </sheetData>
  <pageMargins left="0.2" right="0.2" top="0.75" bottom="0.75" header="0.5" footer="0.5"/>
  <pageSetup scale="60" orientation="landscape" r:id="rId1"/>
  <headerFooter alignWithMargins="0">
    <oddFooter>&amp;CPage &amp;P of &amp;N&amp;RPrint Date-Time  &amp;D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212F5-322E-47E7-9732-98B6441D18B6}">
  <sheetPr>
    <pageSetUpPr fitToPage="1"/>
  </sheetPr>
  <dimension ref="A1:Q32"/>
  <sheetViews>
    <sheetView zoomScale="80" zoomScaleNormal="80" workbookViewId="0">
      <selection activeCell="B23" sqref="B23"/>
    </sheetView>
  </sheetViews>
  <sheetFormatPr defaultColWidth="7.7109375" defaultRowHeight="15"/>
  <cols>
    <col min="1" max="1" width="32.42578125" style="255" customWidth="1"/>
    <col min="2" max="2" width="15.7109375" style="255" bestFit="1" customWidth="1"/>
    <col min="3" max="3" width="15.85546875" style="255" bestFit="1" customWidth="1"/>
    <col min="4" max="4" width="15.140625" style="255" bestFit="1" customWidth="1"/>
    <col min="5" max="5" width="16.42578125" style="255" bestFit="1" customWidth="1"/>
    <col min="6" max="6" width="16.5703125" style="255" bestFit="1" customWidth="1"/>
    <col min="7" max="7" width="15" style="255" bestFit="1" customWidth="1"/>
    <col min="8" max="8" width="15.140625" style="255" bestFit="1" customWidth="1"/>
    <col min="9" max="9" width="16.42578125" style="255" bestFit="1" customWidth="1"/>
    <col min="10" max="10" width="15" style="255" bestFit="1" customWidth="1"/>
    <col min="11" max="11" width="15.140625" style="255" bestFit="1" customWidth="1"/>
    <col min="12" max="12" width="15.5703125" style="255" customWidth="1"/>
    <col min="13" max="13" width="15" style="255" bestFit="1" customWidth="1"/>
    <col min="14" max="14" width="17" style="255" bestFit="1" customWidth="1"/>
    <col min="15" max="15" width="7.7109375" style="255"/>
    <col min="16" max="16" width="23" style="255" bestFit="1" customWidth="1"/>
    <col min="17" max="17" width="10.85546875" style="255" bestFit="1" customWidth="1"/>
    <col min="18" max="16384" width="7.7109375" style="255"/>
  </cols>
  <sheetData>
    <row r="1" spans="1:17" ht="15.75">
      <c r="A1" s="306" t="s">
        <v>303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</row>
    <row r="2" spans="1:17" ht="20.25">
      <c r="A2" s="307" t="s">
        <v>304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</row>
    <row r="3" spans="1:17" ht="23.25">
      <c r="A3" s="308" t="s">
        <v>305</v>
      </c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</row>
    <row r="4" spans="1:17" ht="15.75">
      <c r="A4" s="309"/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09"/>
      <c r="M4" s="309"/>
      <c r="N4" s="309"/>
    </row>
    <row r="7" spans="1:17" ht="27" customHeight="1">
      <c r="A7" s="256" t="s">
        <v>306</v>
      </c>
      <c r="B7" s="257">
        <v>44227</v>
      </c>
      <c r="C7" s="257">
        <f>EOMONTH(B7,1)</f>
        <v>44255</v>
      </c>
      <c r="D7" s="257">
        <f t="shared" ref="D7:M7" si="0">EOMONTH(C7,1)</f>
        <v>44286</v>
      </c>
      <c r="E7" s="257">
        <f t="shared" si="0"/>
        <v>44316</v>
      </c>
      <c r="F7" s="257">
        <f t="shared" si="0"/>
        <v>44347</v>
      </c>
      <c r="G7" s="257">
        <f t="shared" si="0"/>
        <v>44377</v>
      </c>
      <c r="H7" s="257">
        <f t="shared" si="0"/>
        <v>44408</v>
      </c>
      <c r="I7" s="257">
        <f t="shared" si="0"/>
        <v>44439</v>
      </c>
      <c r="J7" s="257">
        <f t="shared" si="0"/>
        <v>44469</v>
      </c>
      <c r="K7" s="257">
        <f t="shared" si="0"/>
        <v>44500</v>
      </c>
      <c r="L7" s="257">
        <f t="shared" si="0"/>
        <v>44530</v>
      </c>
      <c r="M7" s="257">
        <f t="shared" si="0"/>
        <v>44561</v>
      </c>
      <c r="N7" s="258" t="s">
        <v>307</v>
      </c>
    </row>
    <row r="8" spans="1:17" ht="24.95" customHeight="1">
      <c r="A8" s="259" t="s">
        <v>308</v>
      </c>
      <c r="B8" s="260">
        <f>'[2]Input Tab'!C54</f>
        <v>523729</v>
      </c>
      <c r="C8" s="260">
        <f>'[2]Input Tab'!D54</f>
        <v>501047</v>
      </c>
      <c r="D8" s="260">
        <f>'[2]Input Tab'!E54</f>
        <v>536506</v>
      </c>
      <c r="E8" s="260">
        <f>'[2]Input Tab'!F54</f>
        <v>441255</v>
      </c>
      <c r="F8" s="260">
        <f>'[2]Input Tab'!G54</f>
        <v>400880</v>
      </c>
      <c r="G8" s="260">
        <f>'[2]Input Tab'!H54</f>
        <v>432739</v>
      </c>
      <c r="H8" s="260">
        <f>'[2]Input Tab'!I54</f>
        <v>533586</v>
      </c>
      <c r="I8" s="260">
        <f>'[2]Input Tab'!J54</f>
        <v>533857</v>
      </c>
      <c r="J8" s="260">
        <f>'[2]Input Tab'!K54</f>
        <v>457882</v>
      </c>
      <c r="K8" s="260">
        <f>'[2]Input Tab'!L54</f>
        <v>409808</v>
      </c>
      <c r="L8" s="260">
        <f>'[2]Input Tab'!M54</f>
        <v>438575</v>
      </c>
      <c r="M8" s="260">
        <f>'[2]Input Tab'!N54</f>
        <v>519183</v>
      </c>
      <c r="N8" s="261">
        <f t="shared" ref="N8:N13" si="1">SUM(B8:M8)</f>
        <v>5729047</v>
      </c>
      <c r="P8" s="262"/>
    </row>
    <row r="9" spans="1:17" ht="24.95" customHeight="1">
      <c r="A9" s="263" t="s">
        <v>309</v>
      </c>
      <c r="B9" s="264">
        <f>-310534094/1000</f>
        <v>-310534.09399999998</v>
      </c>
      <c r="C9" s="265">
        <f>IF(C8=0,0,-B10)</f>
        <v>-291212</v>
      </c>
      <c r="D9" s="265">
        <f t="shared" ref="D9:M9" si="2">IF(D8=0,0,-C10)</f>
        <v>-272741</v>
      </c>
      <c r="E9" s="265">
        <f t="shared" si="2"/>
        <v>-225056</v>
      </c>
      <c r="F9" s="265">
        <f t="shared" si="2"/>
        <v>-200672</v>
      </c>
      <c r="G9" s="265">
        <f t="shared" si="2"/>
        <v>-224333</v>
      </c>
      <c r="H9" s="265">
        <f t="shared" si="2"/>
        <v>-285426</v>
      </c>
      <c r="I9" s="265">
        <f t="shared" si="2"/>
        <v>-298640</v>
      </c>
      <c r="J9" s="265">
        <f t="shared" si="2"/>
        <v>-270063</v>
      </c>
      <c r="K9" s="265">
        <f t="shared" si="2"/>
        <v>-234260</v>
      </c>
      <c r="L9" s="265">
        <f t="shared" si="2"/>
        <v>-259081</v>
      </c>
      <c r="M9" s="265">
        <f t="shared" si="2"/>
        <v>-283011</v>
      </c>
      <c r="N9" s="261">
        <f t="shared" si="1"/>
        <v>-3155029.094</v>
      </c>
    </row>
    <row r="10" spans="1:17" ht="24.95" customHeight="1">
      <c r="A10" s="263" t="s">
        <v>310</v>
      </c>
      <c r="B10" s="260">
        <f>'[2]Input Tab'!C55</f>
        <v>291212</v>
      </c>
      <c r="C10" s="260">
        <f>'[2]Input Tab'!D55</f>
        <v>272741</v>
      </c>
      <c r="D10" s="260">
        <f>'[2]Input Tab'!E55</f>
        <v>225056</v>
      </c>
      <c r="E10" s="260">
        <f>'[2]Input Tab'!F55</f>
        <v>200672</v>
      </c>
      <c r="F10" s="260">
        <f>'[2]Input Tab'!G55</f>
        <v>224333</v>
      </c>
      <c r="G10" s="260">
        <f>'[2]Input Tab'!H55</f>
        <v>285426</v>
      </c>
      <c r="H10" s="260">
        <f>'[2]Input Tab'!I55</f>
        <v>298640</v>
      </c>
      <c r="I10" s="260">
        <f>'[2]Input Tab'!J55</f>
        <v>270063</v>
      </c>
      <c r="J10" s="260">
        <f>'[2]Input Tab'!K55</f>
        <v>234260</v>
      </c>
      <c r="K10" s="260">
        <f>'[2]Input Tab'!L55</f>
        <v>259081</v>
      </c>
      <c r="L10" s="260">
        <f>'[2]Input Tab'!M55</f>
        <v>283011</v>
      </c>
      <c r="M10" s="260">
        <f>'[2]Input Tab'!N55</f>
        <v>312074</v>
      </c>
      <c r="N10" s="261">
        <f t="shared" si="1"/>
        <v>3156569</v>
      </c>
      <c r="P10" s="266"/>
      <c r="Q10" s="266"/>
    </row>
    <row r="11" spans="1:17" ht="30.75" customHeight="1">
      <c r="A11" s="267" t="s">
        <v>311</v>
      </c>
      <c r="B11" s="268">
        <f t="shared" ref="B11:L11" si="3">SUM(B8:B10)</f>
        <v>504406.90600000002</v>
      </c>
      <c r="C11" s="268">
        <f t="shared" si="3"/>
        <v>482576</v>
      </c>
      <c r="D11" s="268">
        <f t="shared" si="3"/>
        <v>488821</v>
      </c>
      <c r="E11" s="268">
        <f t="shared" si="3"/>
        <v>416871</v>
      </c>
      <c r="F11" s="268">
        <f t="shared" si="3"/>
        <v>424541</v>
      </c>
      <c r="G11" s="268">
        <f t="shared" si="3"/>
        <v>493832</v>
      </c>
      <c r="H11" s="268">
        <f t="shared" si="3"/>
        <v>546800</v>
      </c>
      <c r="I11" s="268">
        <f t="shared" si="3"/>
        <v>505280</v>
      </c>
      <c r="J11" s="268">
        <f t="shared" si="3"/>
        <v>422079</v>
      </c>
      <c r="K11" s="268">
        <f t="shared" si="3"/>
        <v>434629</v>
      </c>
      <c r="L11" s="268">
        <f t="shared" si="3"/>
        <v>462505</v>
      </c>
      <c r="M11" s="268">
        <f>SUM(M8:M10)</f>
        <v>548246</v>
      </c>
      <c r="N11" s="269">
        <f t="shared" si="1"/>
        <v>5730586.9059999995</v>
      </c>
      <c r="P11" s="264"/>
      <c r="Q11" s="262"/>
    </row>
    <row r="12" spans="1:17" ht="32.25" customHeight="1">
      <c r="A12" s="270" t="s">
        <v>312</v>
      </c>
      <c r="B12" s="271">
        <f>'[2]Input Tab'!C56</f>
        <v>556117</v>
      </c>
      <c r="C12" s="271">
        <f>'[2]Input Tab'!D56</f>
        <v>486363</v>
      </c>
      <c r="D12" s="271">
        <f>'[2]Input Tab'!E56</f>
        <v>477535</v>
      </c>
      <c r="E12" s="271">
        <f>'[2]Input Tab'!F56</f>
        <v>431246</v>
      </c>
      <c r="F12" s="271">
        <f>'[2]Input Tab'!G56</f>
        <v>432473</v>
      </c>
      <c r="G12" s="271">
        <f>'[2]Input Tab'!H56</f>
        <v>424693</v>
      </c>
      <c r="H12" s="271">
        <f>'[2]Input Tab'!I56</f>
        <v>490670</v>
      </c>
      <c r="I12" s="271">
        <f>'[2]Input Tab'!J56</f>
        <v>464617</v>
      </c>
      <c r="J12" s="271">
        <f>'[2]Input Tab'!K56</f>
        <v>435934</v>
      </c>
      <c r="K12" s="271">
        <f>'[2]Input Tab'!L56</f>
        <v>453843</v>
      </c>
      <c r="L12" s="271">
        <f>'[2]Input Tab'!M56</f>
        <v>464733</v>
      </c>
      <c r="M12" s="271">
        <f>'[2]Input Tab'!N56</f>
        <v>551297</v>
      </c>
      <c r="N12" s="272">
        <f>SUM(B12:M12)</f>
        <v>5669521</v>
      </c>
      <c r="P12" s="126" t="s">
        <v>313</v>
      </c>
    </row>
    <row r="13" spans="1:17" ht="38.25" customHeight="1">
      <c r="A13" s="273" t="s">
        <v>314</v>
      </c>
      <c r="B13" s="274">
        <f>B11-B12</f>
        <v>-51710.093999999983</v>
      </c>
      <c r="C13" s="274">
        <f>IF(C8=0," ",C11-C12)</f>
        <v>-3787</v>
      </c>
      <c r="D13" s="274">
        <f t="shared" ref="D13:M13" si="4">IF(D8=0," ",D11-D12)</f>
        <v>11286</v>
      </c>
      <c r="E13" s="274">
        <f t="shared" si="4"/>
        <v>-14375</v>
      </c>
      <c r="F13" s="274">
        <f t="shared" si="4"/>
        <v>-7932</v>
      </c>
      <c r="G13" s="274">
        <f t="shared" si="4"/>
        <v>69139</v>
      </c>
      <c r="H13" s="274">
        <f t="shared" si="4"/>
        <v>56130</v>
      </c>
      <c r="I13" s="274">
        <f t="shared" si="4"/>
        <v>40663</v>
      </c>
      <c r="J13" s="274">
        <f t="shared" si="4"/>
        <v>-13855</v>
      </c>
      <c r="K13" s="274">
        <f t="shared" si="4"/>
        <v>-19214</v>
      </c>
      <c r="L13" s="274">
        <f t="shared" si="4"/>
        <v>-2228</v>
      </c>
      <c r="M13" s="274">
        <f t="shared" si="4"/>
        <v>-3051</v>
      </c>
      <c r="N13" s="275">
        <f t="shared" si="1"/>
        <v>61065.906000000017</v>
      </c>
    </row>
    <row r="14" spans="1:17" ht="42.75" customHeight="1">
      <c r="A14" s="273" t="s">
        <v>315</v>
      </c>
      <c r="B14" s="276">
        <f>'[2]Input Tab'!C57</f>
        <v>18.11</v>
      </c>
      <c r="C14" s="276">
        <f>'[2]Input Tab'!D57</f>
        <v>18.11</v>
      </c>
      <c r="D14" s="276">
        <f>'[2]Input Tab'!E57</f>
        <v>18.11</v>
      </c>
      <c r="E14" s="276">
        <f>'[2]Input Tab'!F57</f>
        <v>18.11</v>
      </c>
      <c r="F14" s="276">
        <f>'[2]Input Tab'!G57</f>
        <v>18.11</v>
      </c>
      <c r="G14" s="276">
        <f>'[2]Input Tab'!H57</f>
        <v>18.11</v>
      </c>
      <c r="H14" s="276">
        <f>'[2]Input Tab'!I57</f>
        <v>18.11</v>
      </c>
      <c r="I14" s="276">
        <f>'[2]Input Tab'!J57</f>
        <v>18.11</v>
      </c>
      <c r="J14" s="276">
        <f>'[2]Input Tab'!K57</f>
        <v>18.11</v>
      </c>
      <c r="K14" s="276">
        <f>'[2]Input Tab'!L57</f>
        <v>13</v>
      </c>
      <c r="L14" s="276">
        <f>'[2]Input Tab'!M57</f>
        <v>13</v>
      </c>
      <c r="M14" s="276">
        <f>'[2]Input Tab'!N57</f>
        <v>13</v>
      </c>
      <c r="N14" s="289"/>
      <c r="P14" s="287"/>
    </row>
    <row r="15" spans="1:17" ht="30.75" customHeight="1" thickBot="1">
      <c r="A15" s="277" t="s">
        <v>316</v>
      </c>
      <c r="B15" s="278">
        <f>B13*B14</f>
        <v>-936469.8023399997</v>
      </c>
      <c r="C15" s="278">
        <f>IF(C8=0,0,C13*C14)</f>
        <v>-68582.569999999992</v>
      </c>
      <c r="D15" s="278">
        <f t="shared" ref="D15:L15" si="5">IF(D8=0,0,D13*D14)</f>
        <v>204389.46</v>
      </c>
      <c r="E15" s="278">
        <f t="shared" si="5"/>
        <v>-260331.25</v>
      </c>
      <c r="F15" s="278">
        <f t="shared" si="5"/>
        <v>-143648.51999999999</v>
      </c>
      <c r="G15" s="278">
        <f t="shared" si="5"/>
        <v>1252107.29</v>
      </c>
      <c r="H15" s="278">
        <f t="shared" si="5"/>
        <v>1016514.2999999999</v>
      </c>
      <c r="I15" s="278">
        <f t="shared" si="5"/>
        <v>736406.92999999993</v>
      </c>
      <c r="J15" s="278">
        <f t="shared" si="5"/>
        <v>-250914.05</v>
      </c>
      <c r="K15" s="278">
        <f t="shared" si="5"/>
        <v>-249782</v>
      </c>
      <c r="L15" s="278">
        <f t="shared" si="5"/>
        <v>-28964</v>
      </c>
      <c r="M15" s="278">
        <f>IF(M8=0,0,M13*M14)</f>
        <v>-39663</v>
      </c>
      <c r="N15" s="278">
        <f>SUM(B15:M15)</f>
        <v>1231062.7876599999</v>
      </c>
    </row>
    <row r="16" spans="1:17" ht="20.100000000000001" customHeight="1" thickTop="1">
      <c r="B16" s="290"/>
      <c r="C16" s="290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88"/>
    </row>
    <row r="17" spans="1:14" ht="20.100000000000001" customHeight="1">
      <c r="A17" s="279"/>
      <c r="N17" s="262"/>
    </row>
    <row r="18" spans="1:14" ht="36.75" customHeight="1">
      <c r="A18" s="280" t="s">
        <v>317</v>
      </c>
      <c r="B18" s="281">
        <f>B7</f>
        <v>44227</v>
      </c>
      <c r="C18" s="281">
        <f t="shared" ref="C18:N18" si="6">C7</f>
        <v>44255</v>
      </c>
      <c r="D18" s="281">
        <f t="shared" si="6"/>
        <v>44286</v>
      </c>
      <c r="E18" s="281">
        <f t="shared" si="6"/>
        <v>44316</v>
      </c>
      <c r="F18" s="281">
        <f t="shared" si="6"/>
        <v>44347</v>
      </c>
      <c r="G18" s="281">
        <f t="shared" si="6"/>
        <v>44377</v>
      </c>
      <c r="H18" s="281">
        <f t="shared" si="6"/>
        <v>44408</v>
      </c>
      <c r="I18" s="281">
        <f t="shared" si="6"/>
        <v>44439</v>
      </c>
      <c r="J18" s="281">
        <f t="shared" si="6"/>
        <v>44469</v>
      </c>
      <c r="K18" s="281">
        <f t="shared" si="6"/>
        <v>44500</v>
      </c>
      <c r="L18" s="281">
        <f t="shared" si="6"/>
        <v>44530</v>
      </c>
      <c r="M18" s="281">
        <f t="shared" si="6"/>
        <v>44561</v>
      </c>
      <c r="N18" s="257" t="str">
        <f t="shared" si="6"/>
        <v>YTD</v>
      </c>
    </row>
    <row r="19" spans="1:14" ht="29.25" customHeight="1">
      <c r="A19" s="282" t="s">
        <v>318</v>
      </c>
      <c r="B19" s="283">
        <f>IF(B8=0," ",B15*-1)</f>
        <v>936469.8023399997</v>
      </c>
      <c r="C19" s="283">
        <f>IF(C8=0," ",C15*-1)</f>
        <v>68582.569999999992</v>
      </c>
      <c r="D19" s="283">
        <f t="shared" ref="D19:M19" si="7">IF(D8=0," ",D15*-1)</f>
        <v>-204389.46</v>
      </c>
      <c r="E19" s="283">
        <f t="shared" si="7"/>
        <v>260331.25</v>
      </c>
      <c r="F19" s="283">
        <f t="shared" si="7"/>
        <v>143648.51999999999</v>
      </c>
      <c r="G19" s="283">
        <f t="shared" si="7"/>
        <v>-1252107.29</v>
      </c>
      <c r="H19" s="283">
        <f t="shared" si="7"/>
        <v>-1016514.2999999999</v>
      </c>
      <c r="I19" s="283">
        <f t="shared" si="7"/>
        <v>-736406.92999999993</v>
      </c>
      <c r="J19" s="283">
        <f t="shared" si="7"/>
        <v>250914.05</v>
      </c>
      <c r="K19" s="283">
        <f t="shared" si="7"/>
        <v>249782</v>
      </c>
      <c r="L19" s="283">
        <f t="shared" si="7"/>
        <v>28964</v>
      </c>
      <c r="M19" s="283">
        <f t="shared" si="7"/>
        <v>39663</v>
      </c>
      <c r="N19" s="283">
        <f>N15*-1</f>
        <v>-1231062.7876599999</v>
      </c>
    </row>
    <row r="20" spans="1:14" ht="15.75">
      <c r="A20" s="284"/>
      <c r="B20" s="285" t="str">
        <f>IF(B19&lt;0,"Rebate","Surcharge")</f>
        <v>Surcharge</v>
      </c>
      <c r="C20" s="285" t="str">
        <f t="shared" ref="C20:N20" si="8">IF(C19&lt;0,"Rebate","Surcharge")</f>
        <v>Surcharge</v>
      </c>
      <c r="D20" s="285" t="str">
        <f t="shared" si="8"/>
        <v>Rebate</v>
      </c>
      <c r="E20" s="285" t="str">
        <f t="shared" si="8"/>
        <v>Surcharge</v>
      </c>
      <c r="F20" s="285" t="str">
        <f t="shared" si="8"/>
        <v>Surcharge</v>
      </c>
      <c r="G20" s="285" t="str">
        <f t="shared" si="8"/>
        <v>Rebate</v>
      </c>
      <c r="H20" s="285" t="str">
        <f t="shared" si="8"/>
        <v>Rebate</v>
      </c>
      <c r="I20" s="285" t="str">
        <f t="shared" si="8"/>
        <v>Rebate</v>
      </c>
      <c r="J20" s="285" t="str">
        <f t="shared" si="8"/>
        <v>Surcharge</v>
      </c>
      <c r="K20" s="285" t="str">
        <f t="shared" si="8"/>
        <v>Surcharge</v>
      </c>
      <c r="L20" s="285" t="str">
        <f t="shared" si="8"/>
        <v>Surcharge</v>
      </c>
      <c r="M20" s="285" t="str">
        <f t="shared" si="8"/>
        <v>Surcharge</v>
      </c>
      <c r="N20" s="285" t="str">
        <f t="shared" si="8"/>
        <v>Rebate</v>
      </c>
    </row>
    <row r="23" spans="1:14">
      <c r="D23" s="262"/>
      <c r="E23" s="262"/>
      <c r="F23" s="262"/>
      <c r="G23" s="262"/>
    </row>
    <row r="24" spans="1:14">
      <c r="D24" s="291"/>
      <c r="E24" s="291"/>
      <c r="F24" s="291"/>
    </row>
    <row r="25" spans="1:14">
      <c r="E25" s="292"/>
    </row>
    <row r="32" spans="1:14">
      <c r="A32" s="286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1356504AB494B4AB6832ED677B739CB" ma:contentTypeVersion="28" ma:contentTypeDescription="" ma:contentTypeScope="" ma:versionID="43faf8a4d2971cfbb02977b0798031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2022-05-27T07:00:00+00:00</OpenedDate>
    <SignificantOrder xmlns="dc463f71-b30c-4ab2-9473-d307f9d35888">false</SignificantOrder>
    <Date1 xmlns="dc463f71-b30c-4ab2-9473-d307f9d35888">2022-05-27T07:00:00+00:00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220382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40909E-8A1E-4489-8F00-954F6235ACEE}"/>
</file>

<file path=customXml/itemProps2.xml><?xml version="1.0" encoding="utf-8"?>
<ds:datastoreItem xmlns:ds="http://schemas.openxmlformats.org/officeDocument/2006/customXml" ds:itemID="{D4829008-A645-4699-BA46-86EE0AE00698}"/>
</file>

<file path=customXml/itemProps3.xml><?xml version="1.0" encoding="utf-8"?>
<ds:datastoreItem xmlns:ds="http://schemas.openxmlformats.org/officeDocument/2006/customXml" ds:itemID="{B0F325D0-1998-4C2F-98F5-80687A5C7FA9}"/>
</file>

<file path=customXml/itemProps4.xml><?xml version="1.0" encoding="utf-8"?>
<ds:datastoreItem xmlns:ds="http://schemas.openxmlformats.org/officeDocument/2006/customXml" ds:itemID="{2CC7142F-6939-4590-920C-A50A05BBE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PF Power Supply Adjustments</vt:lpstr>
      <vt:lpstr>Monthly Authorized </vt:lpstr>
      <vt:lpstr>12 ME 12.31.21</vt:lpstr>
      <vt:lpstr>E-456</vt:lpstr>
      <vt:lpstr>WA RRC</vt:lpstr>
      <vt:lpstr>'E-456'!E_557</vt:lpstr>
      <vt:lpstr>'12 ME 12.31.21'!Print_Area</vt:lpstr>
      <vt:lpstr>'E-456'!Print_Area</vt:lpstr>
      <vt:lpstr>'Monthly Authorized '!Print_Area</vt:lpstr>
      <vt:lpstr>'PF Power Supply Adjustments'!Print_Area</vt:lpstr>
      <vt:lpstr>'WA RRC'!Print_Area</vt:lpstr>
      <vt:lpstr>'12 ME 12.31.21'!Print_Titles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Anderson, Joel</cp:lastModifiedBy>
  <dcterms:created xsi:type="dcterms:W3CDTF">2022-03-18T14:37:54Z</dcterms:created>
  <dcterms:modified xsi:type="dcterms:W3CDTF">2022-05-17T18:02:09Z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0x0101006E56B4D1795A2E4DB2F0B01679ED314A00B1356504AB494B4AB6832ED677B739CB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